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Dropbox\PSDM\HIWIN 上銀\"/>
    </mc:Choice>
  </mc:AlternateContent>
  <xr:revisionPtr revIDLastSave="0" documentId="13_ncr:1_{DE21B59D-233C-47D7-9692-A11F651B54CC}" xr6:coauthVersionLast="47" xr6:coauthVersionMax="47" xr10:uidLastSave="{00000000-0000-0000-0000-000000000000}"/>
  <bookViews>
    <workbookView xWindow="-1763" yWindow="3270" windowWidth="17266" windowHeight="11873" firstSheet="5" activeTab="5" xr2:uid="{192D65DF-C15D-404D-B220-FF5CC6DB7DEC}"/>
  </bookViews>
  <sheets>
    <sheet name="ABC-XYZ" sheetId="1" r:id="rId1"/>
    <sheet name="基本統計" sheetId="3" r:id="rId2"/>
    <sheet name="簡單平均&amp;移動平均" sheetId="6" r:id="rId3"/>
    <sheet name="平滑指數" sheetId="5" r:id="rId4"/>
    <sheet name="預測工作表 ETS" sheetId="7" r:id="rId5"/>
    <sheet name="Croston" sheetId="4" r:id="rId6"/>
    <sheet name="SS &amp; ROP" sheetId="2" r:id="rId7"/>
    <sheet name="Bass Model (新產品)" sheetId="8" r:id="rId8"/>
  </sheets>
  <definedNames>
    <definedName name="_xlchart.v1.0" hidden="1">'ABC-XYZ'!$C$2:$C$23</definedName>
    <definedName name="_xlchart.v1.1" hidden="1">'ABC-XYZ'!$D$1</definedName>
    <definedName name="_xlchart.v1.2" hidden="1">'ABC-XYZ'!$D$2:$D$23</definedName>
    <definedName name="_xlchart.v1.3" hidden="1">基本統計!$C$3:$C$14</definedName>
    <definedName name="solver_adj" localSheetId="7" hidden="1">'Bass Model (新產品)'!$C$42:$C$43</definedName>
    <definedName name="solver_adj" localSheetId="5" hidden="1">Croston!$C$55:$C$56</definedName>
    <definedName name="solver_adj" localSheetId="3" hidden="1">平滑指數!$B$143:$B$145</definedName>
    <definedName name="solver_cvg" localSheetId="7" hidden="1">0.0001</definedName>
    <definedName name="solver_cvg" localSheetId="5" hidden="1">0.0001</definedName>
    <definedName name="solver_cvg" localSheetId="3" hidden="1">0.0001</definedName>
    <definedName name="solver_drv" localSheetId="7" hidden="1">1</definedName>
    <definedName name="solver_drv" localSheetId="5" hidden="1">1</definedName>
    <definedName name="solver_drv" localSheetId="3" hidden="1">1</definedName>
    <definedName name="solver_eng" localSheetId="7" hidden="1">1</definedName>
    <definedName name="solver_eng" localSheetId="5" hidden="1">1</definedName>
    <definedName name="solver_eng" localSheetId="3" hidden="1">1</definedName>
    <definedName name="solver_est" localSheetId="7" hidden="1">1</definedName>
    <definedName name="solver_est" localSheetId="5" hidden="1">1</definedName>
    <definedName name="solver_est" localSheetId="3" hidden="1">1</definedName>
    <definedName name="solver_itr" localSheetId="7" hidden="1">2147483647</definedName>
    <definedName name="solver_itr" localSheetId="5" hidden="1">2147483647</definedName>
    <definedName name="solver_itr" localSheetId="3" hidden="1">2147483647</definedName>
    <definedName name="solver_lhs1" localSheetId="7" hidden="1">'Bass Model (新產品)'!$C$42</definedName>
    <definedName name="solver_lhs1" localSheetId="5" hidden="1">Croston!$C$55</definedName>
    <definedName name="solver_lhs1" localSheetId="3" hidden="1">平滑指數!$B$143</definedName>
    <definedName name="solver_lhs2" localSheetId="7" hidden="1">'Bass Model (新產品)'!$C$42</definedName>
    <definedName name="solver_lhs2" localSheetId="5" hidden="1">Croston!$C$55</definedName>
    <definedName name="solver_lhs2" localSheetId="3" hidden="1">平滑指數!$B$143</definedName>
    <definedName name="solver_lhs3" localSheetId="7" hidden="1">'Bass Model (新產品)'!$C$43</definedName>
    <definedName name="solver_lhs3" localSheetId="5" hidden="1">Croston!$C$56</definedName>
    <definedName name="solver_lhs3" localSheetId="3" hidden="1">平滑指數!$B$144</definedName>
    <definedName name="solver_lhs4" localSheetId="7" hidden="1">'Bass Model (新產品)'!$C$43</definedName>
    <definedName name="solver_lhs4" localSheetId="5" hidden="1">Croston!$C$56</definedName>
    <definedName name="solver_lhs4" localSheetId="3" hidden="1">平滑指數!$B$144</definedName>
    <definedName name="solver_lhs5" localSheetId="3" hidden="1">平滑指數!$B$145</definedName>
    <definedName name="solver_lhs6" localSheetId="3" hidden="1">平滑指數!$B$145</definedName>
    <definedName name="solver_mip" localSheetId="7" hidden="1">2147483647</definedName>
    <definedName name="solver_mip" localSheetId="5" hidden="1">2147483647</definedName>
    <definedName name="solver_mip" localSheetId="3" hidden="1">2147483647</definedName>
    <definedName name="solver_mni" localSheetId="7" hidden="1">30</definedName>
    <definedName name="solver_mni" localSheetId="5" hidden="1">30</definedName>
    <definedName name="solver_mni" localSheetId="3" hidden="1">30</definedName>
    <definedName name="solver_mrt" localSheetId="7" hidden="1">0.075</definedName>
    <definedName name="solver_mrt" localSheetId="5" hidden="1">0.075</definedName>
    <definedName name="solver_mrt" localSheetId="3" hidden="1">0.075</definedName>
    <definedName name="solver_msl" localSheetId="7" hidden="1">2</definedName>
    <definedName name="solver_msl" localSheetId="5" hidden="1">2</definedName>
    <definedName name="solver_msl" localSheetId="3" hidden="1">2</definedName>
    <definedName name="solver_neg" localSheetId="7" hidden="1">1</definedName>
    <definedName name="solver_neg" localSheetId="5" hidden="1">1</definedName>
    <definedName name="solver_neg" localSheetId="3" hidden="1">1</definedName>
    <definedName name="solver_nod" localSheetId="7" hidden="1">2147483647</definedName>
    <definedName name="solver_nod" localSheetId="5" hidden="1">2147483647</definedName>
    <definedName name="solver_nod" localSheetId="3" hidden="1">2147483647</definedName>
    <definedName name="solver_num" localSheetId="7" hidden="1">4</definedName>
    <definedName name="solver_num" localSheetId="5" hidden="1">4</definedName>
    <definedName name="solver_num" localSheetId="3" hidden="1">6</definedName>
    <definedName name="solver_nwt" localSheetId="7" hidden="1">1</definedName>
    <definedName name="solver_nwt" localSheetId="5" hidden="1">1</definedName>
    <definedName name="solver_nwt" localSheetId="3" hidden="1">1</definedName>
    <definedName name="solver_opt" localSheetId="7" hidden="1">'Bass Model (新產品)'!$G$41</definedName>
    <definedName name="solver_opt" localSheetId="5" hidden="1">Croston!$H$52</definedName>
    <definedName name="solver_opt" localSheetId="3" hidden="1">平滑指數!$J$142</definedName>
    <definedName name="solver_pre" localSheetId="7" hidden="1">0.000001</definedName>
    <definedName name="solver_pre" localSheetId="5" hidden="1">0.000001</definedName>
    <definedName name="solver_pre" localSheetId="3" hidden="1">0.000001</definedName>
    <definedName name="solver_rbv" localSheetId="7" hidden="1">1</definedName>
    <definedName name="solver_rbv" localSheetId="5" hidden="1">1</definedName>
    <definedName name="solver_rbv" localSheetId="3" hidden="1">1</definedName>
    <definedName name="solver_rel1" localSheetId="7" hidden="1">1</definedName>
    <definedName name="solver_rel1" localSheetId="5" hidden="1">1</definedName>
    <definedName name="solver_rel1" localSheetId="3" hidden="1">1</definedName>
    <definedName name="solver_rel2" localSheetId="7" hidden="1">3</definedName>
    <definedName name="solver_rel2" localSheetId="5" hidden="1">3</definedName>
    <definedName name="solver_rel2" localSheetId="3" hidden="1">3</definedName>
    <definedName name="solver_rel3" localSheetId="7" hidden="1">1</definedName>
    <definedName name="solver_rel3" localSheetId="5" hidden="1">1</definedName>
    <definedName name="solver_rel3" localSheetId="3" hidden="1">1</definedName>
    <definedName name="solver_rel4" localSheetId="7" hidden="1">3</definedName>
    <definedName name="solver_rel4" localSheetId="5" hidden="1">3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hs1" localSheetId="7" hidden="1">1</definedName>
    <definedName name="solver_rhs1" localSheetId="5" hidden="1">1</definedName>
    <definedName name="solver_rhs1" localSheetId="3" hidden="1">1</definedName>
    <definedName name="solver_rhs2" localSheetId="7" hidden="1">0</definedName>
    <definedName name="solver_rhs2" localSheetId="5" hidden="1">0</definedName>
    <definedName name="solver_rhs2" localSheetId="3" hidden="1">0</definedName>
    <definedName name="solver_rhs3" localSheetId="7" hidden="1">1</definedName>
    <definedName name="solver_rhs3" localSheetId="5" hidden="1">1</definedName>
    <definedName name="solver_rhs3" localSheetId="3" hidden="1">1</definedName>
    <definedName name="solver_rhs4" localSheetId="7" hidden="1">0</definedName>
    <definedName name="solver_rhs4" localSheetId="5" hidden="1">0</definedName>
    <definedName name="solver_rhs4" localSheetId="3" hidden="1">0</definedName>
    <definedName name="solver_rhs5" localSheetId="3" hidden="1">1</definedName>
    <definedName name="solver_rhs6" localSheetId="3" hidden="1">0</definedName>
    <definedName name="solver_rlx" localSheetId="7" hidden="1">2</definedName>
    <definedName name="solver_rlx" localSheetId="5" hidden="1">2</definedName>
    <definedName name="solver_rlx" localSheetId="3" hidden="1">2</definedName>
    <definedName name="solver_rsd" localSheetId="7" hidden="1">0</definedName>
    <definedName name="solver_rsd" localSheetId="5" hidden="1">0</definedName>
    <definedName name="solver_rsd" localSheetId="3" hidden="1">0</definedName>
    <definedName name="solver_scl" localSheetId="7" hidden="1">1</definedName>
    <definedName name="solver_scl" localSheetId="5" hidden="1">1</definedName>
    <definedName name="solver_scl" localSheetId="3" hidden="1">1</definedName>
    <definedName name="solver_sho" localSheetId="7" hidden="1">2</definedName>
    <definedName name="solver_sho" localSheetId="5" hidden="1">2</definedName>
    <definedName name="solver_sho" localSheetId="3" hidden="1">2</definedName>
    <definedName name="solver_ssz" localSheetId="7" hidden="1">100</definedName>
    <definedName name="solver_ssz" localSheetId="5" hidden="1">100</definedName>
    <definedName name="solver_ssz" localSheetId="3" hidden="1">100</definedName>
    <definedName name="solver_tim" localSheetId="7" hidden="1">2147483647</definedName>
    <definedName name="solver_tim" localSheetId="5" hidden="1">2147483647</definedName>
    <definedName name="solver_tim" localSheetId="3" hidden="1">2147483647</definedName>
    <definedName name="solver_tol" localSheetId="7" hidden="1">0.01</definedName>
    <definedName name="solver_tol" localSheetId="5" hidden="1">0.01</definedName>
    <definedName name="solver_tol" localSheetId="3" hidden="1">0.01</definedName>
    <definedName name="solver_typ" localSheetId="7" hidden="1">2</definedName>
    <definedName name="solver_typ" localSheetId="5" hidden="1">2</definedName>
    <definedName name="solver_typ" localSheetId="3" hidden="1">2</definedName>
    <definedName name="solver_val" localSheetId="7" hidden="1">0</definedName>
    <definedName name="solver_val" localSheetId="5" hidden="1">0</definedName>
    <definedName name="solver_val" localSheetId="3" hidden="1">0</definedName>
    <definedName name="solver_ver" localSheetId="7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F49" i="4"/>
  <c r="C49" i="4"/>
  <c r="T26" i="4"/>
  <c r="H28" i="8"/>
  <c r="F40" i="8"/>
  <c r="F29" i="8"/>
  <c r="C29" i="4"/>
  <c r="C30" i="4"/>
  <c r="F28" i="8" l="1"/>
  <c r="F4" i="8"/>
  <c r="E5" i="8"/>
  <c r="F5" i="8" s="1"/>
  <c r="H5" i="8" s="1"/>
  <c r="E28" i="8"/>
  <c r="E4" i="8"/>
  <c r="J135" i="5"/>
  <c r="K135" i="5"/>
  <c r="I135" i="5"/>
  <c r="F135" i="5"/>
  <c r="G135" i="5" s="1"/>
  <c r="F134" i="5"/>
  <c r="H134" i="5"/>
  <c r="H133" i="5"/>
  <c r="H132" i="5"/>
  <c r="H131" i="5"/>
  <c r="G134" i="5"/>
  <c r="G113" i="5"/>
  <c r="F113" i="5"/>
  <c r="H113" i="5" s="1"/>
  <c r="C11" i="7"/>
  <c r="C12" i="7"/>
  <c r="C13" i="7"/>
  <c r="C14" i="7"/>
  <c r="G28" i="8" l="1"/>
  <c r="E29" i="8"/>
  <c r="H4" i="8"/>
  <c r="G5" i="8"/>
  <c r="G4" i="8"/>
  <c r="E6" i="8"/>
  <c r="I136" i="5"/>
  <c r="F136" i="5"/>
  <c r="H135" i="5"/>
  <c r="H110" i="5"/>
  <c r="F114" i="5" s="1"/>
  <c r="G114" i="5" s="1"/>
  <c r="H111" i="5"/>
  <c r="H112" i="5"/>
  <c r="H114" i="5"/>
  <c r="D14" i="7"/>
  <c r="E14" i="7"/>
  <c r="E13" i="7"/>
  <c r="D13" i="7"/>
  <c r="E12" i="7"/>
  <c r="D12" i="7"/>
  <c r="E11" i="7"/>
  <c r="D11" i="7"/>
  <c r="F6" i="8" l="1"/>
  <c r="E7" i="8" s="1"/>
  <c r="F7" i="8" s="1"/>
  <c r="H136" i="5"/>
  <c r="G136" i="5"/>
  <c r="I137" i="5" s="1"/>
  <c r="K136" i="5"/>
  <c r="J136" i="5"/>
  <c r="F115" i="5"/>
  <c r="H115" i="5" s="1"/>
  <c r="G115" i="5"/>
  <c r="F116" i="5" s="1"/>
  <c r="H29" i="8" l="1"/>
  <c r="G29" i="8"/>
  <c r="E30" i="8"/>
  <c r="F30" i="8" s="1"/>
  <c r="E8" i="8"/>
  <c r="G7" i="8"/>
  <c r="H7" i="8"/>
  <c r="H6" i="8"/>
  <c r="G6" i="8"/>
  <c r="F137" i="5"/>
  <c r="G137" i="5" s="1"/>
  <c r="I138" i="5" s="1"/>
  <c r="J137" i="5"/>
  <c r="K137" i="5"/>
  <c r="G116" i="5"/>
  <c r="F117" i="5"/>
  <c r="H116" i="5"/>
  <c r="Z45" i="5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V45" i="5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E31" i="8" l="1"/>
  <c r="F31" i="8" s="1"/>
  <c r="F8" i="8"/>
  <c r="H137" i="5"/>
  <c r="K138" i="5"/>
  <c r="K142" i="5" s="1"/>
  <c r="J138" i="5"/>
  <c r="J142" i="5" s="1"/>
  <c r="F138" i="5"/>
  <c r="H117" i="5"/>
  <c r="G117" i="5"/>
  <c r="I119" i="5" s="1"/>
  <c r="X54" i="5"/>
  <c r="X49" i="5"/>
  <c r="W56" i="5"/>
  <c r="W51" i="5"/>
  <c r="W48" i="5"/>
  <c r="W47" i="5"/>
  <c r="X45" i="5"/>
  <c r="X46" i="5"/>
  <c r="W54" i="5"/>
  <c r="W46" i="5"/>
  <c r="X52" i="5"/>
  <c r="W53" i="5"/>
  <c r="W45" i="5"/>
  <c r="X51" i="5"/>
  <c r="W55" i="5"/>
  <c r="X53" i="5"/>
  <c r="W52" i="5"/>
  <c r="X50" i="5"/>
  <c r="W50" i="5"/>
  <c r="X56" i="5"/>
  <c r="X48" i="5"/>
  <c r="W49" i="5"/>
  <c r="X55" i="5"/>
  <c r="X47" i="5"/>
  <c r="H30" i="8" l="1"/>
  <c r="G30" i="8"/>
  <c r="G8" i="8"/>
  <c r="H8" i="8"/>
  <c r="E9" i="8"/>
  <c r="F9" i="8" s="1"/>
  <c r="H138" i="5"/>
  <c r="G138" i="5"/>
  <c r="I121" i="5"/>
  <c r="I118" i="5"/>
  <c r="I120" i="5"/>
  <c r="W63" i="5"/>
  <c r="X64" i="5"/>
  <c r="H31" i="8" l="1"/>
  <c r="G31" i="8"/>
  <c r="E32" i="8"/>
  <c r="F32" i="8" s="1"/>
  <c r="E10" i="8"/>
  <c r="G9" i="8"/>
  <c r="H9" i="8"/>
  <c r="I142" i="5"/>
  <c r="I139" i="5"/>
  <c r="I140" i="5"/>
  <c r="I141" i="5"/>
  <c r="G21" i="5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F10" i="8" l="1"/>
  <c r="E11" i="8" s="1"/>
  <c r="F11" i="8" s="1"/>
  <c r="D21" i="5"/>
  <c r="M4" i="5"/>
  <c r="M5" i="5" s="1"/>
  <c r="H32" i="8" l="1"/>
  <c r="G32" i="8"/>
  <c r="E33" i="8"/>
  <c r="F33" i="8" s="1"/>
  <c r="E12" i="8"/>
  <c r="F12" i="8" s="1"/>
  <c r="G11" i="8"/>
  <c r="H11" i="8"/>
  <c r="G10" i="8"/>
  <c r="H10" i="8"/>
  <c r="M6" i="5"/>
  <c r="N7" i="5"/>
  <c r="E21" i="5"/>
  <c r="F21" i="5"/>
  <c r="D22" i="5"/>
  <c r="AE5" i="6"/>
  <c r="AG5" i="6" s="1"/>
  <c r="AE6" i="6"/>
  <c r="AF6" i="6" s="1"/>
  <c r="AH6" i="6"/>
  <c r="AJ6" i="6" s="1"/>
  <c r="AE7" i="6"/>
  <c r="AF7" i="6" s="1"/>
  <c r="AH7" i="6"/>
  <c r="AI7" i="6" s="1"/>
  <c r="AE8" i="6"/>
  <c r="AF8" i="6" s="1"/>
  <c r="AH8" i="6"/>
  <c r="AI8" i="6" s="1"/>
  <c r="AJ8" i="6"/>
  <c r="AK8" i="6"/>
  <c r="AL8" i="6" s="1"/>
  <c r="AE9" i="6"/>
  <c r="AG9" i="6" s="1"/>
  <c r="AF9" i="6"/>
  <c r="AH9" i="6"/>
  <c r="AI9" i="6" s="1"/>
  <c r="AK9" i="6"/>
  <c r="AM9" i="6" s="1"/>
  <c r="AE10" i="6"/>
  <c r="AF10" i="6" s="1"/>
  <c r="AH10" i="6"/>
  <c r="AI10" i="6" s="1"/>
  <c r="AK10" i="6"/>
  <c r="AL10" i="6" s="1"/>
  <c r="AE11" i="6"/>
  <c r="AF11" i="6" s="1"/>
  <c r="AG11" i="6"/>
  <c r="AH11" i="6"/>
  <c r="AI11" i="6"/>
  <c r="AJ11" i="6"/>
  <c r="AK11" i="6"/>
  <c r="AM11" i="6" s="1"/>
  <c r="AE12" i="6"/>
  <c r="AF12" i="6" s="1"/>
  <c r="AH12" i="6"/>
  <c r="AJ12" i="6" s="1"/>
  <c r="AK12" i="6"/>
  <c r="AL12" i="6" s="1"/>
  <c r="AE13" i="6"/>
  <c r="AF13" i="6" s="1"/>
  <c r="AH13" i="6"/>
  <c r="AI13" i="6" s="1"/>
  <c r="AK13" i="6"/>
  <c r="AM13" i="6" s="1"/>
  <c r="AE14" i="6"/>
  <c r="AF14" i="6"/>
  <c r="AG14" i="6"/>
  <c r="AH14" i="6"/>
  <c r="AJ14" i="6" s="1"/>
  <c r="AI14" i="6"/>
  <c r="AK14" i="6"/>
  <c r="AL14" i="6" s="1"/>
  <c r="AE15" i="6"/>
  <c r="AG15" i="6" s="1"/>
  <c r="AH15" i="6"/>
  <c r="AI15" i="6" s="1"/>
  <c r="AK15" i="6"/>
  <c r="AL15" i="6" s="1"/>
  <c r="AE16" i="6"/>
  <c r="AF16" i="6" s="1"/>
  <c r="AH16" i="6"/>
  <c r="AI16" i="6" s="1"/>
  <c r="AK16" i="6"/>
  <c r="AM16" i="6" s="1"/>
  <c r="AL16" i="6"/>
  <c r="AE17" i="6"/>
  <c r="AG17" i="6" s="1"/>
  <c r="AF17" i="6"/>
  <c r="AH17" i="6"/>
  <c r="AI17" i="6" s="1"/>
  <c r="AK17" i="6"/>
  <c r="AM17" i="6" s="1"/>
  <c r="AE18" i="6"/>
  <c r="AF18" i="6" s="1"/>
  <c r="AH18" i="6"/>
  <c r="AI18" i="6" s="1"/>
  <c r="AK18" i="6"/>
  <c r="AL18" i="6" s="1"/>
  <c r="AE19" i="6"/>
  <c r="AG19" i="6" s="1"/>
  <c r="AH19" i="6"/>
  <c r="AJ19" i="6" s="1"/>
  <c r="AI19" i="6"/>
  <c r="AK19" i="6"/>
  <c r="AL19" i="6" s="1"/>
  <c r="AE20" i="6"/>
  <c r="AF20" i="6" s="1"/>
  <c r="AH20" i="6"/>
  <c r="AJ20" i="6" s="1"/>
  <c r="AI20" i="6"/>
  <c r="AK20" i="6"/>
  <c r="AL20" i="6" s="1"/>
  <c r="AE21" i="6"/>
  <c r="AF21" i="6" s="1"/>
  <c r="AH21" i="6"/>
  <c r="AI21" i="6" s="1"/>
  <c r="AK21" i="6"/>
  <c r="AL21" i="6" s="1"/>
  <c r="AE22" i="6"/>
  <c r="AF22" i="6" s="1"/>
  <c r="AH22" i="6"/>
  <c r="AI22" i="6" s="1"/>
  <c r="AK22" i="6"/>
  <c r="AL22" i="6" s="1"/>
  <c r="AE23" i="6"/>
  <c r="AG23" i="6" s="1"/>
  <c r="AH23" i="6"/>
  <c r="AI23" i="6" s="1"/>
  <c r="AK23" i="6"/>
  <c r="AL23" i="6" s="1"/>
  <c r="AE24" i="6"/>
  <c r="AF24" i="6" s="1"/>
  <c r="AH24" i="6"/>
  <c r="AI24" i="6" s="1"/>
  <c r="AJ24" i="6"/>
  <c r="AK24" i="6"/>
  <c r="AM24" i="6" s="1"/>
  <c r="AE25" i="6"/>
  <c r="AG25" i="6" s="1"/>
  <c r="AH25" i="6"/>
  <c r="AI25" i="6" s="1"/>
  <c r="AK25" i="6"/>
  <c r="AM25" i="6" s="1"/>
  <c r="AE26" i="6"/>
  <c r="AF26" i="6" s="1"/>
  <c r="AH26" i="6"/>
  <c r="AI26" i="6" s="1"/>
  <c r="AK26" i="6"/>
  <c r="AL26" i="6" s="1"/>
  <c r="AE27" i="6"/>
  <c r="AG27" i="6" s="1"/>
  <c r="AF27" i="6"/>
  <c r="AH27" i="6"/>
  <c r="AI27" i="6" s="1"/>
  <c r="AK27" i="6"/>
  <c r="AL27" i="6" s="1"/>
  <c r="AE28" i="6"/>
  <c r="AF28" i="6" s="1"/>
  <c r="AH28" i="6"/>
  <c r="AJ28" i="6" s="1"/>
  <c r="AK28" i="6"/>
  <c r="AL28" i="6" s="1"/>
  <c r="AE29" i="6"/>
  <c r="AF29" i="6" s="1"/>
  <c r="AH29" i="6"/>
  <c r="AI29" i="6" s="1"/>
  <c r="AK29" i="6"/>
  <c r="AL29" i="6" s="1"/>
  <c r="AE30" i="6"/>
  <c r="AF30" i="6" s="1"/>
  <c r="AH30" i="6"/>
  <c r="AJ30" i="6" s="1"/>
  <c r="AI30" i="6"/>
  <c r="AK30" i="6"/>
  <c r="AL30" i="6" s="1"/>
  <c r="AE31" i="6"/>
  <c r="AG31" i="6" s="1"/>
  <c r="AH31" i="6"/>
  <c r="AI31" i="6" s="1"/>
  <c r="AK31" i="6"/>
  <c r="AL31" i="6" s="1"/>
  <c r="AE32" i="6"/>
  <c r="AF32" i="6" s="1"/>
  <c r="AG32" i="6"/>
  <c r="AH32" i="6"/>
  <c r="AJ32" i="6" s="1"/>
  <c r="AK32" i="6"/>
  <c r="AM32" i="6" s="1"/>
  <c r="AL32" i="6"/>
  <c r="AE33" i="6"/>
  <c r="AG33" i="6" s="1"/>
  <c r="AH33" i="6"/>
  <c r="AI33" i="6" s="1"/>
  <c r="AK33" i="6"/>
  <c r="AM33" i="6" s="1"/>
  <c r="AE34" i="6"/>
  <c r="AF34" i="6" s="1"/>
  <c r="AH34" i="6"/>
  <c r="AI34" i="6" s="1"/>
  <c r="AK34" i="6"/>
  <c r="AL34" i="6" s="1"/>
  <c r="AE35" i="6"/>
  <c r="AF35" i="6" s="1"/>
  <c r="AH35" i="6"/>
  <c r="AI35" i="6" s="1"/>
  <c r="AK35" i="6"/>
  <c r="AL35" i="6" s="1"/>
  <c r="AE36" i="6"/>
  <c r="AF36" i="6" s="1"/>
  <c r="AH36" i="6"/>
  <c r="AJ36" i="6" s="1"/>
  <c r="AK36" i="6"/>
  <c r="AL36" i="6" s="1"/>
  <c r="AE37" i="6"/>
  <c r="AF37" i="6" s="1"/>
  <c r="AH37" i="6"/>
  <c r="AI37" i="6" s="1"/>
  <c r="AJ37" i="6"/>
  <c r="AK37" i="6"/>
  <c r="AL37" i="6" s="1"/>
  <c r="AE38" i="6"/>
  <c r="AH38" i="6"/>
  <c r="AK38" i="6"/>
  <c r="H86" i="5"/>
  <c r="F86" i="5" s="1"/>
  <c r="G86" i="5"/>
  <c r="H83" i="5"/>
  <c r="H84" i="5"/>
  <c r="H85" i="5"/>
  <c r="D69" i="5"/>
  <c r="F69" i="5"/>
  <c r="E34" i="8" l="1"/>
  <c r="F34" i="8" s="1"/>
  <c r="E13" i="8"/>
  <c r="F13" i="8" s="1"/>
  <c r="H12" i="8"/>
  <c r="G12" i="8"/>
  <c r="F87" i="5"/>
  <c r="G69" i="5"/>
  <c r="H69" i="5"/>
  <c r="H87" i="5"/>
  <c r="G87" i="5"/>
  <c r="I88" i="5" s="1"/>
  <c r="I87" i="5"/>
  <c r="M7" i="5"/>
  <c r="D23" i="5"/>
  <c r="F22" i="5"/>
  <c r="E22" i="5"/>
  <c r="AG29" i="6"/>
  <c r="AL24" i="6"/>
  <c r="AJ34" i="6"/>
  <c r="AL13" i="6"/>
  <c r="AL33" i="6"/>
  <c r="AF25" i="6"/>
  <c r="AG21" i="6"/>
  <c r="AM37" i="6"/>
  <c r="AI36" i="6"/>
  <c r="AJ29" i="6"/>
  <c r="AJ22" i="6"/>
  <c r="AF19" i="6"/>
  <c r="AM8" i="6"/>
  <c r="AI32" i="6"/>
  <c r="AG24" i="6"/>
  <c r="AL11" i="6"/>
  <c r="AJ16" i="6"/>
  <c r="AG30" i="6"/>
  <c r="AG37" i="6"/>
  <c r="AF33" i="6"/>
  <c r="AI28" i="6"/>
  <c r="AJ26" i="6"/>
  <c r="AF23" i="6"/>
  <c r="AJ21" i="6"/>
  <c r="AJ35" i="6"/>
  <c r="AM27" i="6"/>
  <c r="AM21" i="6"/>
  <c r="AM31" i="6"/>
  <c r="AM26" i="6"/>
  <c r="AL17" i="6"/>
  <c r="AF15" i="6"/>
  <c r="AI12" i="6"/>
  <c r="AL9" i="6"/>
  <c r="AI6" i="6"/>
  <c r="AG35" i="6"/>
  <c r="AJ27" i="6"/>
  <c r="AM19" i="6"/>
  <c r="AF31" i="6"/>
  <c r="AM23" i="6"/>
  <c r="AM18" i="6"/>
  <c r="AF5" i="6"/>
  <c r="AM35" i="6"/>
  <c r="AM29" i="6"/>
  <c r="AG22" i="6"/>
  <c r="AM34" i="6"/>
  <c r="AL25" i="6"/>
  <c r="AJ18" i="6"/>
  <c r="AM15" i="6"/>
  <c r="AG13" i="6"/>
  <c r="AJ10" i="6"/>
  <c r="AJ7" i="6"/>
  <c r="AG36" i="6"/>
  <c r="AJ33" i="6"/>
  <c r="AM30" i="6"/>
  <c r="AG28" i="6"/>
  <c r="AJ25" i="6"/>
  <c r="AM22" i="6"/>
  <c r="AG20" i="6"/>
  <c r="AJ17" i="6"/>
  <c r="AM14" i="6"/>
  <c r="AG12" i="6"/>
  <c r="AJ9" i="6"/>
  <c r="AG6" i="6"/>
  <c r="AM36" i="6"/>
  <c r="AG34" i="6"/>
  <c r="AJ31" i="6"/>
  <c r="AM28" i="6"/>
  <c r="AG26" i="6"/>
  <c r="AJ23" i="6"/>
  <c r="AM20" i="6"/>
  <c r="AG18" i="6"/>
  <c r="AJ15" i="6"/>
  <c r="AM12" i="6"/>
  <c r="AG10" i="6"/>
  <c r="AG7" i="6"/>
  <c r="AG16" i="6"/>
  <c r="AJ13" i="6"/>
  <c r="AM10" i="6"/>
  <c r="AG8" i="6"/>
  <c r="F46" i="5"/>
  <c r="D46" i="5"/>
  <c r="E46" i="5" s="1"/>
  <c r="D47" i="5" s="1"/>
  <c r="E69" i="5"/>
  <c r="D70" i="5" s="1"/>
  <c r="E70" i="5" s="1"/>
  <c r="E35" i="8" l="1"/>
  <c r="F35" i="8" s="1"/>
  <c r="H33" i="8"/>
  <c r="G33" i="8"/>
  <c r="E14" i="8"/>
  <c r="F14" i="8" s="1"/>
  <c r="H13" i="8"/>
  <c r="G13" i="8"/>
  <c r="J87" i="5"/>
  <c r="K87" i="5"/>
  <c r="J88" i="5"/>
  <c r="K88" i="5"/>
  <c r="G46" i="5"/>
  <c r="H46" i="5"/>
  <c r="F88" i="5"/>
  <c r="M8" i="5"/>
  <c r="N8" i="5"/>
  <c r="D24" i="5"/>
  <c r="F23" i="5"/>
  <c r="E23" i="5"/>
  <c r="AM40" i="6"/>
  <c r="AJ40" i="6"/>
  <c r="AF39" i="6"/>
  <c r="AL39" i="6"/>
  <c r="AI39" i="6"/>
  <c r="AG40" i="6"/>
  <c r="D71" i="5"/>
  <c r="E71" i="5" s="1"/>
  <c r="D72" i="5" s="1"/>
  <c r="F71" i="5"/>
  <c r="F70" i="5"/>
  <c r="E47" i="5"/>
  <c r="D48" i="5" s="1"/>
  <c r="F47" i="5"/>
  <c r="J3" i="5"/>
  <c r="K3" i="5" s="1"/>
  <c r="H3" i="5"/>
  <c r="I3" i="5" s="1"/>
  <c r="F3" i="5"/>
  <c r="G3" i="5" s="1"/>
  <c r="D3" i="5"/>
  <c r="E3" i="5" s="1"/>
  <c r="Y38" i="6"/>
  <c r="S38" i="6"/>
  <c r="T38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7" i="6"/>
  <c r="Y6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8" i="6"/>
  <c r="S37" i="6"/>
  <c r="S36" i="6"/>
  <c r="S35" i="6"/>
  <c r="S34" i="6"/>
  <c r="S33" i="6"/>
  <c r="S32" i="6"/>
  <c r="S31" i="6"/>
  <c r="S30" i="6"/>
  <c r="S29" i="6"/>
  <c r="S28" i="6"/>
  <c r="S27" i="6"/>
  <c r="V27" i="6" s="1"/>
  <c r="S26" i="6"/>
  <c r="V26" i="6" s="1"/>
  <c r="S25" i="6"/>
  <c r="S24" i="6"/>
  <c r="S23" i="6"/>
  <c r="S22" i="6"/>
  <c r="S21" i="6"/>
  <c r="S20" i="6"/>
  <c r="S19" i="6"/>
  <c r="S18" i="6"/>
  <c r="V18" i="6" s="1"/>
  <c r="S17" i="6"/>
  <c r="S16" i="6"/>
  <c r="S15" i="6"/>
  <c r="S14" i="6"/>
  <c r="V14" i="6" s="1"/>
  <c r="S13" i="6"/>
  <c r="S12" i="6"/>
  <c r="S11" i="6"/>
  <c r="V11" i="6" s="1"/>
  <c r="S10" i="6"/>
  <c r="S9" i="6"/>
  <c r="S8" i="6"/>
  <c r="S7" i="6"/>
  <c r="S6" i="6"/>
  <c r="S5" i="6"/>
  <c r="F6" i="6"/>
  <c r="F5" i="6"/>
  <c r="F42" i="4"/>
  <c r="F43" i="4" s="1"/>
  <c r="F44" i="4" s="1"/>
  <c r="F45" i="4" s="1"/>
  <c r="F46" i="4" s="1"/>
  <c r="F47" i="4" s="1"/>
  <c r="F48" i="4" s="1"/>
  <c r="E36" i="8" l="1"/>
  <c r="F36" i="8" s="1"/>
  <c r="H34" i="8"/>
  <c r="G34" i="8"/>
  <c r="E15" i="8"/>
  <c r="H14" i="8"/>
  <c r="G14" i="8"/>
  <c r="G70" i="5"/>
  <c r="H70" i="5"/>
  <c r="G71" i="5"/>
  <c r="H71" i="5"/>
  <c r="G47" i="5"/>
  <c r="H47" i="5"/>
  <c r="H88" i="5"/>
  <c r="G88" i="5"/>
  <c r="I89" i="5" s="1"/>
  <c r="M9" i="5"/>
  <c r="N9" i="5"/>
  <c r="D25" i="5"/>
  <c r="F24" i="5"/>
  <c r="E24" i="5"/>
  <c r="D4" i="5"/>
  <c r="E4" i="5" s="1"/>
  <c r="J4" i="5"/>
  <c r="H4" i="5"/>
  <c r="W13" i="6"/>
  <c r="X13" i="6"/>
  <c r="AA36" i="6"/>
  <c r="AB36" i="6"/>
  <c r="AA28" i="6"/>
  <c r="AB28" i="6"/>
  <c r="AA20" i="6"/>
  <c r="AB20" i="6"/>
  <c r="AA12" i="6"/>
  <c r="AB12" i="6"/>
  <c r="W36" i="6"/>
  <c r="X36" i="6"/>
  <c r="W28" i="6"/>
  <c r="X28" i="6"/>
  <c r="W20" i="6"/>
  <c r="X20" i="6"/>
  <c r="W12" i="6"/>
  <c r="X12" i="6"/>
  <c r="AA35" i="6"/>
  <c r="AB35" i="6"/>
  <c r="AA27" i="6"/>
  <c r="AB27" i="6"/>
  <c r="AA19" i="6"/>
  <c r="AB19" i="6"/>
  <c r="AA11" i="6"/>
  <c r="AB11" i="6"/>
  <c r="W37" i="6"/>
  <c r="X37" i="6"/>
  <c r="W27" i="6"/>
  <c r="X27" i="6"/>
  <c r="AA10" i="6"/>
  <c r="AB10" i="6"/>
  <c r="W34" i="6"/>
  <c r="X34" i="6"/>
  <c r="W26" i="6"/>
  <c r="X26" i="6"/>
  <c r="W18" i="6"/>
  <c r="X18" i="6"/>
  <c r="W10" i="6"/>
  <c r="X10" i="6"/>
  <c r="AA33" i="6"/>
  <c r="AB33" i="6"/>
  <c r="AA25" i="6"/>
  <c r="AB25" i="6"/>
  <c r="AA17" i="6"/>
  <c r="AB17" i="6"/>
  <c r="AA9" i="6"/>
  <c r="AB9" i="6"/>
  <c r="W29" i="6"/>
  <c r="X29" i="6"/>
  <c r="W35" i="6"/>
  <c r="X35" i="6"/>
  <c r="AA26" i="6"/>
  <c r="AB26" i="6"/>
  <c r="W33" i="6"/>
  <c r="X33" i="6"/>
  <c r="W25" i="6"/>
  <c r="X25" i="6"/>
  <c r="W17" i="6"/>
  <c r="X17" i="6"/>
  <c r="W9" i="6"/>
  <c r="X9" i="6"/>
  <c r="AA32" i="6"/>
  <c r="AB32" i="6"/>
  <c r="AA24" i="6"/>
  <c r="AB24" i="6"/>
  <c r="AA16" i="6"/>
  <c r="AB16" i="6"/>
  <c r="AA8" i="6"/>
  <c r="AB8" i="6"/>
  <c r="W21" i="6"/>
  <c r="X21" i="6"/>
  <c r="W19" i="6"/>
  <c r="X19" i="6"/>
  <c r="AA18" i="6"/>
  <c r="AB18" i="6"/>
  <c r="W32" i="6"/>
  <c r="X32" i="6"/>
  <c r="W24" i="6"/>
  <c r="X24" i="6"/>
  <c r="W16" i="6"/>
  <c r="X16" i="6"/>
  <c r="AA6" i="6"/>
  <c r="AB6" i="6"/>
  <c r="AA31" i="6"/>
  <c r="AB31" i="6"/>
  <c r="AA23" i="6"/>
  <c r="AB23" i="6"/>
  <c r="AA15" i="6"/>
  <c r="AB15" i="6"/>
  <c r="AA34" i="6"/>
  <c r="AB34" i="6"/>
  <c r="W31" i="6"/>
  <c r="X31" i="6"/>
  <c r="W23" i="6"/>
  <c r="X23" i="6"/>
  <c r="W15" i="6"/>
  <c r="X15" i="6"/>
  <c r="AA7" i="6"/>
  <c r="AB7" i="6"/>
  <c r="AA30" i="6"/>
  <c r="AB30" i="6"/>
  <c r="AA22" i="6"/>
  <c r="AB22" i="6"/>
  <c r="AA14" i="6"/>
  <c r="AB14" i="6"/>
  <c r="W11" i="6"/>
  <c r="X11" i="6"/>
  <c r="W8" i="6"/>
  <c r="X8" i="6"/>
  <c r="W30" i="6"/>
  <c r="X30" i="6"/>
  <c r="W22" i="6"/>
  <c r="X22" i="6"/>
  <c r="W14" i="6"/>
  <c r="X14" i="6"/>
  <c r="AA37" i="6"/>
  <c r="AB37" i="6"/>
  <c r="AA29" i="6"/>
  <c r="AB29" i="6"/>
  <c r="AA21" i="6"/>
  <c r="AB21" i="6"/>
  <c r="AA13" i="6"/>
  <c r="AB13" i="6"/>
  <c r="U19" i="6"/>
  <c r="V19" i="6"/>
  <c r="U12" i="6"/>
  <c r="V12" i="6"/>
  <c r="U20" i="6"/>
  <c r="V20" i="6"/>
  <c r="U28" i="6"/>
  <c r="V28" i="6"/>
  <c r="U36" i="6"/>
  <c r="V36" i="6"/>
  <c r="U6" i="6"/>
  <c r="V6" i="6"/>
  <c r="U30" i="6"/>
  <c r="V30" i="6"/>
  <c r="U7" i="6"/>
  <c r="V7" i="6"/>
  <c r="U15" i="6"/>
  <c r="V15" i="6"/>
  <c r="U23" i="6"/>
  <c r="V23" i="6"/>
  <c r="U31" i="6"/>
  <c r="V31" i="6"/>
  <c r="U5" i="6"/>
  <c r="V5" i="6"/>
  <c r="U21" i="6"/>
  <c r="V21" i="6"/>
  <c r="U37" i="6"/>
  <c r="V37" i="6"/>
  <c r="U22" i="6"/>
  <c r="V22" i="6"/>
  <c r="U8" i="6"/>
  <c r="V8" i="6"/>
  <c r="U16" i="6"/>
  <c r="V16" i="6"/>
  <c r="U24" i="6"/>
  <c r="V24" i="6"/>
  <c r="U32" i="6"/>
  <c r="V32" i="6"/>
  <c r="U35" i="6"/>
  <c r="V35" i="6"/>
  <c r="U13" i="6"/>
  <c r="V13" i="6"/>
  <c r="U29" i="6"/>
  <c r="V29" i="6"/>
  <c r="U9" i="6"/>
  <c r="V9" i="6"/>
  <c r="U17" i="6"/>
  <c r="V17" i="6"/>
  <c r="U25" i="6"/>
  <c r="V25" i="6"/>
  <c r="U33" i="6"/>
  <c r="V33" i="6"/>
  <c r="U10" i="6"/>
  <c r="V10" i="6"/>
  <c r="U34" i="6"/>
  <c r="V34" i="6"/>
  <c r="F4" i="5"/>
  <c r="F48" i="5"/>
  <c r="F72" i="5"/>
  <c r="E72" i="5"/>
  <c r="F73" i="5" s="1"/>
  <c r="E48" i="5"/>
  <c r="F49" i="5" s="1"/>
  <c r="W38" i="6"/>
  <c r="U26" i="6"/>
  <c r="U14" i="6"/>
  <c r="U27" i="6"/>
  <c r="U18" i="6"/>
  <c r="U11" i="6"/>
  <c r="E37" i="8" l="1"/>
  <c r="F37" i="8" s="1"/>
  <c r="H35" i="8"/>
  <c r="G35" i="8"/>
  <c r="F15" i="8"/>
  <c r="G15" i="8" s="1"/>
  <c r="G17" i="8" s="1"/>
  <c r="J89" i="5"/>
  <c r="K89" i="5"/>
  <c r="D5" i="5"/>
  <c r="D6" i="5" s="1"/>
  <c r="D7" i="5" s="1"/>
  <c r="D8" i="5" s="1"/>
  <c r="F89" i="5"/>
  <c r="H89" i="5" s="1"/>
  <c r="G72" i="5"/>
  <c r="G74" i="5" s="1"/>
  <c r="H72" i="5"/>
  <c r="H75" i="5" s="1"/>
  <c r="G48" i="5"/>
  <c r="H48" i="5"/>
  <c r="G49" i="5"/>
  <c r="H49" i="5"/>
  <c r="M10" i="5"/>
  <c r="N10" i="5"/>
  <c r="D26" i="5"/>
  <c r="F25" i="5"/>
  <c r="E25" i="5"/>
  <c r="K4" i="5"/>
  <c r="J5" i="5"/>
  <c r="I4" i="5"/>
  <c r="H5" i="5"/>
  <c r="V40" i="6"/>
  <c r="AB40" i="6"/>
  <c r="X40" i="6"/>
  <c r="U39" i="6"/>
  <c r="AA39" i="6"/>
  <c r="W39" i="6"/>
  <c r="F5" i="5"/>
  <c r="G4" i="5"/>
  <c r="D49" i="5"/>
  <c r="E49" i="5" s="1"/>
  <c r="D50" i="5" s="1"/>
  <c r="H15" i="8" l="1"/>
  <c r="H18" i="8" s="1"/>
  <c r="E38" i="8"/>
  <c r="F38" i="8" s="1"/>
  <c r="H36" i="8"/>
  <c r="G36" i="8"/>
  <c r="E16" i="8"/>
  <c r="F16" i="8" s="1"/>
  <c r="G89" i="5"/>
  <c r="I90" i="5" s="1"/>
  <c r="E5" i="5"/>
  <c r="E6" i="5"/>
  <c r="F90" i="5"/>
  <c r="G90" i="5" s="1"/>
  <c r="F91" i="5" s="1"/>
  <c r="E7" i="5"/>
  <c r="J90" i="5"/>
  <c r="K90" i="5"/>
  <c r="M11" i="5"/>
  <c r="N11" i="5"/>
  <c r="D27" i="5"/>
  <c r="F26" i="5"/>
  <c r="E26" i="5"/>
  <c r="J6" i="5"/>
  <c r="K5" i="5"/>
  <c r="I5" i="5"/>
  <c r="H6" i="5"/>
  <c r="D9" i="5"/>
  <c r="E8" i="5"/>
  <c r="F6" i="5"/>
  <c r="G5" i="5"/>
  <c r="E50" i="5"/>
  <c r="D51" i="5" s="1"/>
  <c r="F50" i="5"/>
  <c r="E42" i="4"/>
  <c r="C53" i="4"/>
  <c r="C52" i="4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U29" i="4"/>
  <c r="U2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E3" i="4"/>
  <c r="F61" i="3"/>
  <c r="F62" i="3"/>
  <c r="F63" i="3"/>
  <c r="F64" i="3"/>
  <c r="F65" i="3"/>
  <c r="F66" i="3"/>
  <c r="F67" i="3"/>
  <c r="F68" i="3"/>
  <c r="F69" i="3"/>
  <c r="F70" i="3"/>
  <c r="F71" i="3"/>
  <c r="F72" i="3"/>
  <c r="F80" i="3"/>
  <c r="F81" i="3"/>
  <c r="F79" i="3"/>
  <c r="F60" i="3"/>
  <c r="F59" i="3"/>
  <c r="F58" i="3"/>
  <c r="F57" i="3"/>
  <c r="F50" i="3"/>
  <c r="F51" i="3"/>
  <c r="F52" i="3"/>
  <c r="F53" i="3"/>
  <c r="F54" i="3"/>
  <c r="F55" i="3"/>
  <c r="F56" i="3"/>
  <c r="F49" i="3"/>
  <c r="D37" i="3"/>
  <c r="D38" i="3"/>
  <c r="D39" i="3"/>
  <c r="D40" i="3"/>
  <c r="D41" i="3"/>
  <c r="D42" i="3"/>
  <c r="D43" i="3"/>
  <c r="D36" i="3"/>
  <c r="C44" i="3"/>
  <c r="C31" i="3"/>
  <c r="C32" i="3"/>
  <c r="C30" i="3"/>
  <c r="C28" i="3"/>
  <c r="C29" i="3"/>
  <c r="C27" i="3"/>
  <c r="C54" i="4" l="1"/>
  <c r="E39" i="8"/>
  <c r="F39" i="8" s="1"/>
  <c r="H37" i="8"/>
  <c r="G37" i="8"/>
  <c r="H90" i="5"/>
  <c r="G50" i="5"/>
  <c r="H50" i="5"/>
  <c r="H91" i="5"/>
  <c r="G91" i="5"/>
  <c r="I92" i="5" s="1"/>
  <c r="F92" i="5"/>
  <c r="I91" i="5"/>
  <c r="M12" i="5"/>
  <c r="N12" i="5"/>
  <c r="D28" i="5"/>
  <c r="F27" i="5"/>
  <c r="E27" i="5"/>
  <c r="K6" i="5"/>
  <c r="J7" i="5"/>
  <c r="I6" i="5"/>
  <c r="H7" i="5"/>
  <c r="D10" i="5"/>
  <c r="E9" i="5"/>
  <c r="F7" i="5"/>
  <c r="G6" i="5"/>
  <c r="F51" i="5"/>
  <c r="E51" i="5"/>
  <c r="D52" i="5" s="1"/>
  <c r="X26" i="4"/>
  <c r="U30" i="4"/>
  <c r="G42" i="4"/>
  <c r="H42" i="4" s="1"/>
  <c r="E43" i="4"/>
  <c r="E44" i="4" s="1"/>
  <c r="E45" i="4" s="1"/>
  <c r="E46" i="4" s="1"/>
  <c r="E47" i="4" s="1"/>
  <c r="E48" i="4" s="1"/>
  <c r="X3" i="4"/>
  <c r="Y3" i="4" s="1"/>
  <c r="X4" i="4"/>
  <c r="Y4" i="4" s="1"/>
  <c r="G3" i="4"/>
  <c r="H3" i="4" s="1"/>
  <c r="E4" i="4"/>
  <c r="C31" i="4"/>
  <c r="D44" i="3"/>
  <c r="D45" i="3" s="1"/>
  <c r="E36" i="3" s="1"/>
  <c r="H36" i="3" s="1"/>
  <c r="G36" i="3"/>
  <c r="E37" i="3"/>
  <c r="H37" i="3" s="1"/>
  <c r="E39" i="3"/>
  <c r="H39" i="3" s="1"/>
  <c r="E41" i="3"/>
  <c r="H41" i="3" s="1"/>
  <c r="G38" i="3"/>
  <c r="E38" i="3"/>
  <c r="H38" i="3" s="1"/>
  <c r="E40" i="3"/>
  <c r="H40" i="3" s="1"/>
  <c r="G42" i="3"/>
  <c r="E42" i="3"/>
  <c r="H42" i="3" s="1"/>
  <c r="G43" i="3"/>
  <c r="E43" i="3"/>
  <c r="H43" i="3" s="1"/>
  <c r="C19" i="3"/>
  <c r="C18" i="3"/>
  <c r="C17" i="3"/>
  <c r="C16" i="3"/>
  <c r="C22" i="3"/>
  <c r="C21" i="3"/>
  <c r="C20" i="3"/>
  <c r="H20" i="2"/>
  <c r="E20" i="2"/>
  <c r="H19" i="2"/>
  <c r="I18" i="2"/>
  <c r="E18" i="2"/>
  <c r="E17" i="2"/>
  <c r="E16" i="2"/>
  <c r="E19" i="2" s="1"/>
  <c r="I13" i="2"/>
  <c r="I12" i="2"/>
  <c r="I11" i="2"/>
  <c r="I10" i="2"/>
  <c r="I9" i="2"/>
  <c r="I8" i="2"/>
  <c r="I7" i="2"/>
  <c r="I6" i="2"/>
  <c r="I5" i="2"/>
  <c r="I4" i="2"/>
  <c r="I16" i="2" s="1"/>
  <c r="E40" i="8" l="1"/>
  <c r="H38" i="8"/>
  <c r="G38" i="8"/>
  <c r="J91" i="5"/>
  <c r="K91" i="5"/>
  <c r="J92" i="5"/>
  <c r="K92" i="5"/>
  <c r="G51" i="5"/>
  <c r="H51" i="5"/>
  <c r="M13" i="5"/>
  <c r="N13" i="5"/>
  <c r="G92" i="5"/>
  <c r="H92" i="5"/>
  <c r="D29" i="5"/>
  <c r="F28" i="5"/>
  <c r="E28" i="5"/>
  <c r="K7" i="5"/>
  <c r="J8" i="5"/>
  <c r="H8" i="5"/>
  <c r="I7" i="5"/>
  <c r="F8" i="5"/>
  <c r="G7" i="5"/>
  <c r="D11" i="5"/>
  <c r="E10" i="5"/>
  <c r="E52" i="5"/>
  <c r="D53" i="5" s="1"/>
  <c r="F52" i="5"/>
  <c r="G48" i="4"/>
  <c r="H48" i="4" s="1"/>
  <c r="E49" i="4"/>
  <c r="G49" i="4" s="1"/>
  <c r="G46" i="4"/>
  <c r="H46" i="4" s="1"/>
  <c r="G47" i="4"/>
  <c r="H47" i="4" s="1"/>
  <c r="G45" i="4"/>
  <c r="H45" i="4" s="1"/>
  <c r="G43" i="4"/>
  <c r="H43" i="4" s="1"/>
  <c r="G44" i="4"/>
  <c r="H44" i="4" s="1"/>
  <c r="X5" i="4"/>
  <c r="Y5" i="4" s="1"/>
  <c r="E5" i="4"/>
  <c r="G4" i="4"/>
  <c r="H4" i="4" s="1"/>
  <c r="H45" i="3"/>
  <c r="G41" i="3"/>
  <c r="G40" i="3"/>
  <c r="G37" i="3"/>
  <c r="G39" i="3"/>
  <c r="H44" i="3"/>
  <c r="E44" i="3"/>
  <c r="C24" i="3"/>
  <c r="C23" i="3"/>
  <c r="B23" i="2"/>
  <c r="B24" i="2" s="1"/>
  <c r="E27" i="2"/>
  <c r="E28" i="2" s="1"/>
  <c r="B27" i="2"/>
  <c r="B28" i="2" s="1"/>
  <c r="I17" i="2"/>
  <c r="H27" i="2" s="1"/>
  <c r="H28" i="2" s="1"/>
  <c r="H39" i="8" l="1"/>
  <c r="H42" i="8" s="1"/>
  <c r="G39" i="8"/>
  <c r="G41" i="8" s="1"/>
  <c r="H52" i="4"/>
  <c r="G52" i="5"/>
  <c r="H52" i="5"/>
  <c r="I93" i="5"/>
  <c r="F93" i="5"/>
  <c r="M14" i="5"/>
  <c r="N14" i="5"/>
  <c r="D30" i="5"/>
  <c r="F29" i="5"/>
  <c r="E29" i="5"/>
  <c r="J9" i="5"/>
  <c r="K8" i="5"/>
  <c r="H9" i="5"/>
  <c r="I8" i="5"/>
  <c r="D12" i="5"/>
  <c r="E11" i="5"/>
  <c r="F9" i="5"/>
  <c r="G8" i="5"/>
  <c r="E53" i="5"/>
  <c r="D54" i="5" s="1"/>
  <c r="F53" i="5"/>
  <c r="X6" i="4"/>
  <c r="Y6" i="4" s="1"/>
  <c r="G5" i="4"/>
  <c r="H5" i="4" s="1"/>
  <c r="E6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J93" i="5" l="1"/>
  <c r="K93" i="5"/>
  <c r="G53" i="5"/>
  <c r="H53" i="5"/>
  <c r="G93" i="5"/>
  <c r="I94" i="5" s="1"/>
  <c r="H93" i="5"/>
  <c r="M15" i="5"/>
  <c r="M16" i="5" s="1"/>
  <c r="N15" i="5"/>
  <c r="D31" i="5"/>
  <c r="F30" i="5"/>
  <c r="E30" i="5"/>
  <c r="K9" i="5"/>
  <c r="J10" i="5"/>
  <c r="H10" i="5"/>
  <c r="I9" i="5"/>
  <c r="F10" i="5"/>
  <c r="G9" i="5"/>
  <c r="D13" i="5"/>
  <c r="E12" i="5"/>
  <c r="F54" i="5"/>
  <c r="E54" i="5"/>
  <c r="D55" i="5" s="1"/>
  <c r="X7" i="4"/>
  <c r="Y7" i="4" s="1"/>
  <c r="G6" i="4"/>
  <c r="H6" i="4" s="1"/>
  <c r="E7" i="4"/>
  <c r="J94" i="5" l="1"/>
  <c r="K94" i="5"/>
  <c r="G54" i="5"/>
  <c r="H54" i="5"/>
  <c r="F94" i="5"/>
  <c r="D32" i="5"/>
  <c r="G33" i="5" s="1"/>
  <c r="F31" i="5"/>
  <c r="E31" i="5"/>
  <c r="J11" i="5"/>
  <c r="K10" i="5"/>
  <c r="H11" i="5"/>
  <c r="I10" i="5"/>
  <c r="D14" i="5"/>
  <c r="E13" i="5"/>
  <c r="F11" i="5"/>
  <c r="G10" i="5"/>
  <c r="E55" i="5"/>
  <c r="D56" i="5" s="1"/>
  <c r="F55" i="5"/>
  <c r="X8" i="4"/>
  <c r="Y8" i="4" s="1"/>
  <c r="E8" i="4"/>
  <c r="G7" i="4"/>
  <c r="H7" i="4" s="1"/>
  <c r="G55" i="5" l="1"/>
  <c r="H55" i="5"/>
  <c r="H94" i="5"/>
  <c r="G94" i="5"/>
  <c r="I95" i="5" s="1"/>
  <c r="D33" i="5"/>
  <c r="F32" i="5"/>
  <c r="F35" i="5" s="1"/>
  <c r="E32" i="5"/>
  <c r="E34" i="5" s="1"/>
  <c r="K11" i="5"/>
  <c r="J12" i="5"/>
  <c r="H12" i="5"/>
  <c r="I11" i="5"/>
  <c r="F12" i="5"/>
  <c r="G11" i="5"/>
  <c r="D15" i="5"/>
  <c r="E14" i="5"/>
  <c r="E17" i="5" s="1"/>
  <c r="E56" i="5"/>
  <c r="D57" i="5" s="1"/>
  <c r="F56" i="5"/>
  <c r="X9" i="4"/>
  <c r="Y9" i="4" s="1"/>
  <c r="E9" i="4"/>
  <c r="G8" i="4"/>
  <c r="H8" i="4" s="1"/>
  <c r="F95" i="5" l="1"/>
  <c r="J95" i="5"/>
  <c r="K95" i="5"/>
  <c r="G56" i="5"/>
  <c r="H56" i="5"/>
  <c r="H95" i="5"/>
  <c r="G95" i="5"/>
  <c r="I96" i="5" s="1"/>
  <c r="F96" i="5"/>
  <c r="K12" i="5"/>
  <c r="J13" i="5"/>
  <c r="H13" i="5"/>
  <c r="I12" i="5"/>
  <c r="F13" i="5"/>
  <c r="G12" i="5"/>
  <c r="E57" i="5"/>
  <c r="F61" i="5" s="1"/>
  <c r="F57" i="5"/>
  <c r="X10" i="4"/>
  <c r="Y10" i="4" s="1"/>
  <c r="E10" i="4"/>
  <c r="G9" i="4"/>
  <c r="H9" i="4" s="1"/>
  <c r="J96" i="5" l="1"/>
  <c r="K96" i="5"/>
  <c r="G57" i="5"/>
  <c r="G62" i="5" s="1"/>
  <c r="H57" i="5"/>
  <c r="H63" i="5" s="1"/>
  <c r="H96" i="5"/>
  <c r="G96" i="5"/>
  <c r="F97" i="5" s="1"/>
  <c r="J14" i="5"/>
  <c r="K13" i="5"/>
  <c r="H14" i="5"/>
  <c r="I13" i="5"/>
  <c r="F14" i="5"/>
  <c r="G13" i="5"/>
  <c r="F59" i="5"/>
  <c r="F60" i="5"/>
  <c r="F58" i="5"/>
  <c r="X11" i="4"/>
  <c r="Y11" i="4" s="1"/>
  <c r="E11" i="4"/>
  <c r="G10" i="4"/>
  <c r="H10" i="4" s="1"/>
  <c r="I97" i="5" l="1"/>
  <c r="G97" i="5"/>
  <c r="I98" i="5" s="1"/>
  <c r="H97" i="5"/>
  <c r="F98" i="5"/>
  <c r="J15" i="5"/>
  <c r="K14" i="5"/>
  <c r="K17" i="5" s="1"/>
  <c r="H15" i="5"/>
  <c r="I14" i="5"/>
  <c r="I17" i="5" s="1"/>
  <c r="G14" i="5"/>
  <c r="G17" i="5" s="1"/>
  <c r="F15" i="5"/>
  <c r="X12" i="4"/>
  <c r="Y12" i="4" s="1"/>
  <c r="E12" i="4"/>
  <c r="G11" i="4"/>
  <c r="H11" i="4" s="1"/>
  <c r="J98" i="5" l="1"/>
  <c r="J99" i="5" s="1"/>
  <c r="K98" i="5"/>
  <c r="J97" i="5"/>
  <c r="K97" i="5"/>
  <c r="H98" i="5"/>
  <c r="G98" i="5"/>
  <c r="I99" i="5" s="1"/>
  <c r="X13" i="4"/>
  <c r="Y13" i="4" s="1"/>
  <c r="E13" i="4"/>
  <c r="G12" i="4"/>
  <c r="H12" i="4" s="1"/>
  <c r="K99" i="5" l="1"/>
  <c r="X14" i="4"/>
  <c r="Y14" i="4" s="1"/>
  <c r="E14" i="4"/>
  <c r="G13" i="4"/>
  <c r="H13" i="4" s="1"/>
  <c r="X15" i="4" l="1"/>
  <c r="Y15" i="4" s="1"/>
  <c r="E15" i="4"/>
  <c r="G14" i="4"/>
  <c r="H14" i="4" s="1"/>
  <c r="X16" i="4" l="1"/>
  <c r="Y16" i="4" s="1"/>
  <c r="E16" i="4"/>
  <c r="G15" i="4"/>
  <c r="H15" i="4" s="1"/>
  <c r="X17" i="4" l="1"/>
  <c r="Y17" i="4" s="1"/>
  <c r="E17" i="4"/>
  <c r="G16" i="4"/>
  <c r="H16" i="4" s="1"/>
  <c r="X18" i="4" l="1"/>
  <c r="Y18" i="4" s="1"/>
  <c r="E18" i="4"/>
  <c r="G17" i="4"/>
  <c r="H17" i="4" s="1"/>
  <c r="X19" i="4" l="1"/>
  <c r="Y19" i="4" s="1"/>
  <c r="E19" i="4"/>
  <c r="G18" i="4"/>
  <c r="H18" i="4" s="1"/>
  <c r="X20" i="4" l="1"/>
  <c r="Y20" i="4" s="1"/>
  <c r="E20" i="4"/>
  <c r="G19" i="4"/>
  <c r="H19" i="4" s="1"/>
  <c r="X21" i="4" l="1"/>
  <c r="Y21" i="4" s="1"/>
  <c r="E21" i="4"/>
  <c r="G20" i="4"/>
  <c r="H20" i="4" s="1"/>
  <c r="X22" i="4" l="1"/>
  <c r="Y22" i="4" s="1"/>
  <c r="E22" i="4"/>
  <c r="G21" i="4"/>
  <c r="H21" i="4" s="1"/>
  <c r="X23" i="4" l="1"/>
  <c r="Y23" i="4" s="1"/>
  <c r="E23" i="4"/>
  <c r="G22" i="4"/>
  <c r="H22" i="4" s="1"/>
  <c r="X24" i="4" l="1"/>
  <c r="Y24" i="4" s="1"/>
  <c r="X25" i="4"/>
  <c r="Y25" i="4" s="1"/>
  <c r="W28" i="4" s="1"/>
  <c r="E24" i="4"/>
  <c r="E25" i="4" s="1"/>
  <c r="E26" i="4" s="1"/>
  <c r="G26" i="4" s="1"/>
  <c r="G23" i="4"/>
  <c r="H23" i="4" s="1"/>
  <c r="G25" i="4" l="1"/>
  <c r="H25" i="4" s="1"/>
  <c r="G24" i="4"/>
  <c r="H24" i="4" s="1"/>
  <c r="H27" i="4" l="1"/>
</calcChain>
</file>

<file path=xl/sharedStrings.xml><?xml version="1.0" encoding="utf-8"?>
<sst xmlns="http://schemas.openxmlformats.org/spreadsheetml/2006/main" count="342" uniqueCount="170">
  <si>
    <t>項次</t>
    <phoneticPr fontId="2" type="noConversion"/>
  </si>
  <si>
    <t>ABC分類</t>
    <phoneticPr fontId="2" type="noConversion"/>
  </si>
  <si>
    <t>累計百分比</t>
    <phoneticPr fontId="2" type="noConversion"/>
  </si>
  <si>
    <t>A</t>
    <phoneticPr fontId="2" type="noConversion"/>
  </si>
  <si>
    <t>B</t>
    <phoneticPr fontId="2" type="noConversion"/>
  </si>
  <si>
    <t>M1</t>
    <phoneticPr fontId="2" type="noConversion"/>
  </si>
  <si>
    <t>M2</t>
    <phoneticPr fontId="2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</si>
  <si>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</si>
  <si>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</si>
  <si>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</si>
  <si>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</si>
  <si>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</si>
  <si>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</si>
  <si>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</si>
  <si>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</si>
  <si>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</si>
  <si>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</si>
  <si>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</si>
  <si>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</si>
  <si>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</si>
  <si>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</si>
  <si>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</si>
  <si>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</si>
  <si>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</si>
  <si>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</si>
  <si>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</si>
  <si>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</si>
  <si>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C</t>
    <phoneticPr fontId="2" type="noConversion"/>
  </si>
  <si>
    <t>全年總成本</t>
    <phoneticPr fontId="2" type="noConversion"/>
  </si>
  <si>
    <t>變異係數CV</t>
    <phoneticPr fontId="2" type="noConversion"/>
  </si>
  <si>
    <t>XYZ 分類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</si>
  <si>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</si>
  <si>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</si>
  <si>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</si>
  <si>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月份</t>
    <phoneticPr fontId="2" type="noConversion"/>
  </si>
  <si>
    <t>需求量D(個)</t>
    <phoneticPr fontId="2" type="noConversion"/>
  </si>
  <si>
    <t>供應商配送</t>
    <phoneticPr fontId="2" type="noConversion"/>
  </si>
  <si>
    <t>購備期L(天)</t>
    <phoneticPr fontId="2" type="noConversion"/>
  </si>
  <si>
    <t>購備期L(月)</t>
    <phoneticPr fontId="2" type="noConversion"/>
  </si>
  <si>
    <t>總需求(年)</t>
    <phoneticPr fontId="2" type="noConversion"/>
  </si>
  <si>
    <t>平均值(月)</t>
    <phoneticPr fontId="2" type="noConversion"/>
  </si>
  <si>
    <t>標準差(月)</t>
    <phoneticPr fontId="2" type="noConversion"/>
  </si>
  <si>
    <t>最大值(月)</t>
    <phoneticPr fontId="2" type="noConversion"/>
  </si>
  <si>
    <t>平均值(天)</t>
    <phoneticPr fontId="2" type="noConversion"/>
  </si>
  <si>
    <t>最大值(天)</t>
    <phoneticPr fontId="2" type="noConversion"/>
  </si>
  <si>
    <t>SS (個)</t>
    <phoneticPr fontId="2" type="noConversion"/>
  </si>
  <si>
    <t>ROP (個)</t>
    <phoneticPr fontId="2" type="noConversion"/>
  </si>
  <si>
    <t>平均法 (月)</t>
    <phoneticPr fontId="2" type="noConversion"/>
  </si>
  <si>
    <t>最大-平均法</t>
    <phoneticPr fontId="2" type="noConversion"/>
  </si>
  <si>
    <t>簡化版</t>
    <phoneticPr fontId="2" type="noConversion"/>
  </si>
  <si>
    <t>正式版</t>
    <phoneticPr fontId="2" type="noConversion"/>
  </si>
  <si>
    <t>需求量</t>
    <phoneticPr fontId="2" type="noConversion"/>
  </si>
  <si>
    <t>平均值 AVERAGE</t>
    <phoneticPr fontId="2" type="noConversion"/>
  </si>
  <si>
    <t>標準差 STDEV</t>
    <phoneticPr fontId="2" type="noConversion"/>
  </si>
  <si>
    <t>最大 MAX</t>
    <phoneticPr fontId="2" type="noConversion"/>
  </si>
  <si>
    <t>最小 Min</t>
    <phoneticPr fontId="2" type="noConversion"/>
  </si>
  <si>
    <t>第一四分位 Quatile(1)</t>
    <phoneticPr fontId="2" type="noConversion"/>
  </si>
  <si>
    <t>中位數 Median(第二四分位)</t>
    <phoneticPr fontId="2" type="noConversion"/>
  </si>
  <si>
    <t>第三四分位 Quatile(3)</t>
    <phoneticPr fontId="2" type="noConversion"/>
  </si>
  <si>
    <t>盒鬚圖內部下管制線</t>
    <phoneticPr fontId="2" type="noConversion"/>
  </si>
  <si>
    <t>盒鬚圖內部上管制線</t>
    <phoneticPr fontId="2" type="noConversion"/>
  </si>
  <si>
    <t>組界</t>
  </si>
  <si>
    <t>其他</t>
  </si>
  <si>
    <t>頻率</t>
  </si>
  <si>
    <t>涵蓋機率</t>
    <phoneticPr fontId="2" type="noConversion"/>
  </si>
  <si>
    <t>關鍵值Z個標準差</t>
    <phoneticPr fontId="2" type="noConversion"/>
  </si>
  <si>
    <t>常態分配 (雙側)</t>
    <phoneticPr fontId="2" type="noConversion"/>
  </si>
  <si>
    <t>常態分配 (單側)</t>
    <phoneticPr fontId="2" type="noConversion"/>
  </si>
  <si>
    <t>非常態</t>
    <phoneticPr fontId="2" type="noConversion"/>
  </si>
  <si>
    <t>布阿松 Poisson</t>
    <phoneticPr fontId="2" type="noConversion"/>
  </si>
  <si>
    <t>需求</t>
    <phoneticPr fontId="2" type="noConversion"/>
  </si>
  <si>
    <t>發生天數</t>
    <phoneticPr fontId="2" type="noConversion"/>
  </si>
  <si>
    <t>需求總和</t>
    <phoneticPr fontId="2" type="noConversion"/>
  </si>
  <si>
    <t>布阿松機率</t>
    <phoneticPr fontId="2" type="noConversion"/>
  </si>
  <si>
    <t>理論值</t>
    <phoneticPr fontId="2" type="noConversion"/>
  </si>
  <si>
    <t>P卡方檢定</t>
    <phoneticPr fontId="2" type="noConversion"/>
  </si>
  <si>
    <t>指數分配 Exponential</t>
    <phoneticPr fontId="2" type="noConversion"/>
  </si>
  <si>
    <t>累積機率</t>
    <phoneticPr fontId="2" type="noConversion"/>
  </si>
  <si>
    <t>指數分配累積機率</t>
    <phoneticPr fontId="2" type="noConversion"/>
  </si>
  <si>
    <t>發生時間 (HR)</t>
    <phoneticPr fontId="2" type="noConversion"/>
  </si>
  <si>
    <t>Lambda (天)=2/24(Hr)=1/12(小時)</t>
    <phoneticPr fontId="2" type="noConversion"/>
  </si>
  <si>
    <t>每年平均用量</t>
    <phoneticPr fontId="2" type="noConversion"/>
  </si>
  <si>
    <t>每年用量標準差</t>
    <phoneticPr fontId="2" type="noConversion"/>
  </si>
  <si>
    <t>期數</t>
    <phoneticPr fontId="2" type="noConversion"/>
  </si>
  <si>
    <t>Average</t>
    <phoneticPr fontId="2" type="noConversion"/>
  </si>
  <si>
    <t>STDEV</t>
    <phoneticPr fontId="2" type="noConversion"/>
  </si>
  <si>
    <t>CV</t>
    <phoneticPr fontId="2" type="noConversion"/>
  </si>
  <si>
    <t>實際需求</t>
    <phoneticPr fontId="2" type="noConversion"/>
  </si>
  <si>
    <r>
      <t>需求估算</t>
    </r>
    <r>
      <rPr>
        <i/>
        <sz val="12"/>
        <color theme="1"/>
        <rFont val="新細明體"/>
        <family val="1"/>
        <charset val="136"/>
        <scheme val="minor"/>
      </rPr>
      <t>Z_t</t>
    </r>
    <phoneticPr fontId="2" type="noConversion"/>
  </si>
  <si>
    <r>
      <t>需求間隔</t>
    </r>
    <r>
      <rPr>
        <i/>
        <sz val="12"/>
        <color theme="1"/>
        <rFont val="新細明體"/>
        <family val="1"/>
        <charset val="136"/>
        <scheme val="minor"/>
      </rPr>
      <t>P_t</t>
    </r>
    <phoneticPr fontId="2" type="noConversion"/>
  </si>
  <si>
    <r>
      <t>間隔預測</t>
    </r>
    <r>
      <rPr>
        <i/>
        <sz val="12"/>
        <color theme="1"/>
        <rFont val="新細明體"/>
        <family val="1"/>
        <charset val="136"/>
        <scheme val="minor"/>
      </rPr>
      <t>Q_t</t>
    </r>
    <phoneticPr fontId="2" type="noConversion"/>
  </si>
  <si>
    <t>Alpha</t>
    <phoneticPr fontId="2" type="noConversion"/>
  </si>
  <si>
    <t>Beta</t>
    <phoneticPr fontId="2" type="noConversion"/>
  </si>
  <si>
    <t>綜合預測 F</t>
    <phoneticPr fontId="2" type="noConversion"/>
  </si>
  <si>
    <t>誤差平方</t>
    <phoneticPr fontId="2" type="noConversion"/>
  </si>
  <si>
    <t>預測25</t>
    <phoneticPr fontId="2" type="noConversion"/>
  </si>
  <si>
    <r>
      <t xml:space="preserve">期數 </t>
    </r>
    <r>
      <rPr>
        <i/>
        <sz val="12"/>
        <color theme="1"/>
        <rFont val="新細明體"/>
        <family val="1"/>
        <charset val="136"/>
        <scheme val="minor"/>
      </rPr>
      <t>t</t>
    </r>
    <phoneticPr fontId="2" type="noConversion"/>
  </si>
  <si>
    <t>預測9</t>
    <phoneticPr fontId="2" type="noConversion"/>
  </si>
  <si>
    <t>預測 F</t>
    <phoneticPr fontId="2" type="noConversion"/>
  </si>
  <si>
    <t>過去12月簡單平均</t>
    <phoneticPr fontId="2" type="noConversion"/>
  </si>
  <si>
    <t>過去36月簡單平均</t>
    <phoneticPr fontId="2" type="noConversion"/>
  </si>
  <si>
    <t>三個月移動平均</t>
    <phoneticPr fontId="2" type="noConversion"/>
  </si>
  <si>
    <t>六個月移動平均</t>
    <phoneticPr fontId="2" type="noConversion"/>
  </si>
  <si>
    <t>誤差平方(3月)</t>
    <phoneticPr fontId="2" type="noConversion"/>
  </si>
  <si>
    <t>誤差平方(6月)</t>
    <phoneticPr fontId="2" type="noConversion"/>
  </si>
  <si>
    <t>RMSE</t>
    <phoneticPr fontId="2" type="noConversion"/>
  </si>
  <si>
    <t>四個月加權移動平均</t>
    <phoneticPr fontId="2" type="noConversion"/>
  </si>
  <si>
    <t>權重</t>
    <phoneticPr fontId="2" type="noConversion"/>
  </si>
  <si>
    <t>誤差平方(4月加權移動)</t>
    <phoneticPr fontId="2" type="noConversion"/>
  </si>
  <si>
    <t>RMSE (最小化)</t>
    <phoneticPr fontId="2" type="noConversion"/>
  </si>
  <si>
    <t>3個月</t>
    <phoneticPr fontId="2" type="noConversion"/>
  </si>
  <si>
    <t>4個月</t>
    <phoneticPr fontId="2" type="noConversion"/>
  </si>
  <si>
    <t>6個月</t>
    <phoneticPr fontId="2" type="noConversion"/>
  </si>
  <si>
    <t>誤差平方(4月)</t>
    <phoneticPr fontId="2" type="noConversion"/>
  </si>
  <si>
    <t>MAPE</t>
    <phoneticPr fontId="2" type="noConversion"/>
  </si>
  <si>
    <t>MAPE(三月)</t>
    <phoneticPr fontId="2" type="noConversion"/>
  </si>
  <si>
    <t>MAPE(4月)</t>
    <phoneticPr fontId="2" type="noConversion"/>
  </si>
  <si>
    <t>MAPE(6月)</t>
    <phoneticPr fontId="2" type="noConversion"/>
  </si>
  <si>
    <t>RMSE</t>
    <phoneticPr fontId="2" type="noConversion"/>
  </si>
  <si>
    <t>Double Exponential Smoothing</t>
  </si>
  <si>
    <t>Alpha</t>
  </si>
  <si>
    <t>Beta</t>
  </si>
  <si>
    <t>RMSE</t>
  </si>
  <si>
    <t>水平 L (截距)</t>
  </si>
  <si>
    <t>趨勢 T (斜率)</t>
  </si>
  <si>
    <t xml:space="preserve">雙指數平滑 </t>
    <phoneticPr fontId="2" type="noConversion"/>
  </si>
  <si>
    <t>Triple Exponential Smoothing</t>
    <phoneticPr fontId="2" type="noConversion"/>
  </si>
  <si>
    <t xml:space="preserve">三指數平滑 </t>
    <phoneticPr fontId="2" type="noConversion"/>
  </si>
  <si>
    <t>季度</t>
    <phoneticPr fontId="2" type="noConversion"/>
  </si>
  <si>
    <t>年度</t>
    <phoneticPr fontId="2" type="noConversion"/>
  </si>
  <si>
    <t>Gamma</t>
    <phoneticPr fontId="2" type="noConversion"/>
  </si>
  <si>
    <t>RSME</t>
    <phoneticPr fontId="2" type="noConversion"/>
  </si>
  <si>
    <t>Year</t>
    <phoneticPr fontId="2" type="noConversion"/>
  </si>
  <si>
    <t>Month</t>
    <phoneticPr fontId="2" type="noConversion"/>
  </si>
  <si>
    <t>Actual Demand</t>
    <phoneticPr fontId="2" type="noConversion"/>
  </si>
  <si>
    <t>絕對誤差百分比(3月)</t>
    <phoneticPr fontId="2" type="noConversion"/>
  </si>
  <si>
    <t>絕對誤差百分比(6月)</t>
    <phoneticPr fontId="2" type="noConversion"/>
  </si>
  <si>
    <t>絕對誤差百分比(4月, 有加權)</t>
    <phoneticPr fontId="2" type="noConversion"/>
  </si>
  <si>
    <r>
      <t>實際需求 A</t>
    </r>
    <r>
      <rPr>
        <i/>
        <sz val="12"/>
        <color theme="1"/>
        <rFont val="新細明體"/>
        <family val="1"/>
        <charset val="136"/>
        <scheme val="minor"/>
      </rPr>
      <t>_t</t>
    </r>
    <phoneticPr fontId="2" type="noConversion"/>
  </si>
  <si>
    <t>預測 F(0.1)</t>
    <phoneticPr fontId="2" type="noConversion"/>
  </si>
  <si>
    <t>預測 F(0.3)</t>
    <phoneticPr fontId="2" type="noConversion"/>
  </si>
  <si>
    <t>預測 F(0.6)</t>
    <phoneticPr fontId="2" type="noConversion"/>
  </si>
  <si>
    <t>預測 F(0.9)</t>
    <phoneticPr fontId="2" type="noConversion"/>
  </si>
  <si>
    <t>使用  Excel (Damping = 0.1, Alpha =0.9)</t>
    <phoneticPr fontId="2" type="noConversion"/>
  </si>
  <si>
    <t>單指數平滑</t>
    <phoneticPr fontId="2" type="noConversion"/>
  </si>
  <si>
    <t>每天平均 Lambda</t>
    <phoneticPr fontId="2" type="noConversion"/>
  </si>
  <si>
    <t>Total 1年</t>
    <phoneticPr fontId="2" type="noConversion"/>
  </si>
  <si>
    <t>指數分配無記憶性, 若 Lambda改為 (每小時 3 個)</t>
    <phoneticPr fontId="2" type="noConversion"/>
  </si>
  <si>
    <t>表示2小時內必定有訂單</t>
    <phoneticPr fontId="2" type="noConversion"/>
  </si>
  <si>
    <t>絕對百分比誤差</t>
  </si>
  <si>
    <t xml:space="preserve"> </t>
    <phoneticPr fontId="2" type="noConversion"/>
  </si>
  <si>
    <r>
      <t xml:space="preserve">實際需求 </t>
    </r>
    <r>
      <rPr>
        <i/>
        <sz val="12"/>
        <color theme="1"/>
        <rFont val="新細明體"/>
        <family val="1"/>
        <charset val="136"/>
        <scheme val="minor"/>
      </rPr>
      <t>A_t</t>
    </r>
    <phoneticPr fontId="2" type="noConversion"/>
  </si>
  <si>
    <t>m</t>
    <phoneticPr fontId="2" type="noConversion"/>
  </si>
  <si>
    <t>(每年4季度)</t>
    <phoneticPr fontId="2" type="noConversion"/>
  </si>
  <si>
    <t>季節性 S</t>
    <phoneticPr fontId="2" type="noConversion"/>
  </si>
  <si>
    <t xml:space="preserve">三指數平滑 (乘法) </t>
    <phoneticPr fontId="2" type="noConversion"/>
  </si>
  <si>
    <t xml:space="preserve">三指數平滑 (加法) </t>
    <phoneticPr fontId="2" type="noConversion"/>
  </si>
  <si>
    <t>MAPE</t>
    <phoneticPr fontId="2" type="noConversion"/>
  </si>
  <si>
    <t>期數 t</t>
  </si>
  <si>
    <t>實際需求 A_t</t>
  </si>
  <si>
    <t>趨勢預測(實際需求 A_t)</t>
  </si>
  <si>
    <t>較低的信賴繫結(實際需求 A_t)</t>
  </si>
  <si>
    <t>較高的信賴繫結(實際需求 A_t)</t>
  </si>
  <si>
    <r>
      <t>實際需求 A</t>
    </r>
    <r>
      <rPr>
        <i/>
        <sz val="12"/>
        <color theme="1"/>
        <rFont val="新細明體"/>
        <family val="1"/>
        <charset val="136"/>
        <scheme val="minor"/>
      </rPr>
      <t>_t</t>
    </r>
  </si>
  <si>
    <t>Bass Model</t>
    <phoneticPr fontId="2" type="noConversion"/>
  </si>
  <si>
    <t>p</t>
    <phoneticPr fontId="2" type="noConversion"/>
  </si>
  <si>
    <t>q</t>
    <phoneticPr fontId="2" type="noConversion"/>
  </si>
  <si>
    <t>累計</t>
    <phoneticPr fontId="2" type="noConversion"/>
  </si>
  <si>
    <t>Bass Model Exercise</t>
    <phoneticPr fontId="2" type="noConversion"/>
  </si>
  <si>
    <t>預測25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</si>
</sst>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0.00000000"/>
    <numFmt numFmtId="178" formatCode="0.000"/>
    <numFmt numFmtId="179" formatCode="0.0_ "/>
    <numFmt numFmtId="180" formatCode="0.00_ "/>
    <numFmt numFmtId="181" formatCode="0_ "/>
    <numFmt numFmtId="182" formatCode="0.0%"/>
    <numFmt numFmtId="183" formatCode="0.0000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i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2"/>
      <scheme val="minor"/>
    </font>
    <font>
      <sz val="14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4" fillId="0" borderId="0" xfId="0" applyFont="1">
      <alignment vertical="center"/>
    </xf>
    <xf numFmtId="1" fontId="4" fillId="0" borderId="0" xfId="0" applyNumberFormat="1" applyFont="1">
      <alignment vertical="center"/>
    </xf>
    <xf numFmtId="0" fontId="5" fillId="0" borderId="0" xfId="0" applyFont="1">
      <alignment vertical="center"/>
    </xf>
    <xf numFmtId="1" fontId="5" fillId="0" borderId="0" xfId="0" applyNumberFormat="1" applyFont="1">
      <alignment vertical="center"/>
    </xf>
    <xf numFmtId="0" fontId="3" fillId="0" borderId="0" xfId="0" applyFon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81" fontId="3" fillId="0" borderId="0" xfId="0" applyNumberFormat="1" applyFont="1">
      <alignment vertical="center"/>
    </xf>
    <xf numFmtId="182" fontId="0" fillId="0" borderId="0" xfId="1" applyNumberFormat="1" applyFont="1">
      <alignment vertical="center"/>
    </xf>
    <xf numFmtId="182" fontId="3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83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/>
    <xf numFmtId="2" fontId="0" fillId="0" borderId="0" xfId="0" applyNumberFormat="1" applyAlignment="1"/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1" fontId="0" fillId="0" borderId="0" xfId="1" applyNumberFormat="1" applyFont="1">
      <alignment vertical="center"/>
    </xf>
    <xf numFmtId="178" fontId="3" fillId="0" borderId="0" xfId="0" applyNumberFormat="1" applyFont="1" applyAlignment="1">
      <alignment horizontal="left" vertical="center" indent="2"/>
    </xf>
    <xf numFmtId="0" fontId="10" fillId="0" borderId="0" xfId="0" applyFont="1" applyAlignment="1"/>
  </cellXfs>
  <cellStyles count="2">
    <cellStyle name="一般" xfId="0" builtinId="0"/>
    <cellStyle name="百分比" xfId="1" builtinId="5"/>
  </cellStyles>
  <dxfs count="4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XYZ-</a:t>
            </a:r>
            <a:r>
              <a:rPr lang="zh-TW" altLang="en-US"/>
              <a:t>變異係數</a:t>
            </a:r>
            <a:r>
              <a:rPr lang="en-US" altLang="zh-TW"/>
              <a:t>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'ABC-XYZ'!$I$1</c:f>
              <c:strCache>
                <c:ptCount val="1"/>
                <c:pt idx="0">
                  <c:v>變異係數CV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'ABC-XYZ'!$C$2:$C$23</c:f>
              <c:strCache>
                <c:ptCount val="2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</c:strCache>
            </c:strRef>
          </c:cat>
          <c:val>
            <c:numRef>
              <c:f>'ABC-XYZ'!$I$2:$I$23</c:f>
              <c:numCache>
                <c:formatCode>0.00</c:formatCode>
                <c:ptCount val="22"/>
                <c:pt idx="0">
                  <c:v>0.30571895424836604</c:v>
                </c:pt>
                <c:pt idx="1">
                  <c:v>0.2999013482407103</c:v>
                </c:pt>
                <c:pt idx="2">
                  <c:v>0.44545454545454544</c:v>
                </c:pt>
                <c:pt idx="3">
                  <c:v>0.36206896551724138</c:v>
                </c:pt>
                <c:pt idx="4">
                  <c:v>0.54166666666666663</c:v>
                </c:pt>
                <c:pt idx="5">
                  <c:v>1.3841075794621027</c:v>
                </c:pt>
                <c:pt idx="6">
                  <c:v>0.27134986225895319</c:v>
                </c:pt>
                <c:pt idx="7">
                  <c:v>0.43556701030927836</c:v>
                </c:pt>
                <c:pt idx="8">
                  <c:v>0.55263157894736847</c:v>
                </c:pt>
                <c:pt idx="9">
                  <c:v>0.57692307692307687</c:v>
                </c:pt>
                <c:pt idx="10">
                  <c:v>0.58333333333333337</c:v>
                </c:pt>
                <c:pt idx="11">
                  <c:v>4</c:v>
                </c:pt>
                <c:pt idx="12">
                  <c:v>0.36170212765957449</c:v>
                </c:pt>
                <c:pt idx="13">
                  <c:v>0.32</c:v>
                </c:pt>
                <c:pt idx="14">
                  <c:v>0.46721311475409838</c:v>
                </c:pt>
                <c:pt idx="15">
                  <c:v>0.58730158730158732</c:v>
                </c:pt>
                <c:pt idx="16">
                  <c:v>0.5714285714285714</c:v>
                </c:pt>
                <c:pt idx="17">
                  <c:v>0.66666666666666663</c:v>
                </c:pt>
                <c:pt idx="18">
                  <c:v>4</c:v>
                </c:pt>
                <c:pt idx="19">
                  <c:v>2.5</c:v>
                </c:pt>
                <c:pt idx="20">
                  <c:v>0.5</c:v>
                </c:pt>
                <c:pt idx="2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7-418F-B1C6-243583C8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703072"/>
        <c:axId val="1256707392"/>
      </c:barChart>
      <c:catAx>
        <c:axId val="12567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6707392"/>
        <c:crosses val="autoZero"/>
        <c:auto val="1"/>
        <c:lblAlgn val="ctr"/>
        <c:lblOffset val="100"/>
        <c:noMultiLvlLbl val="0"/>
      </c:catAx>
      <c:valAx>
        <c:axId val="12567073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67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雙指數平滑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47102957513858"/>
          <c:y val="0.19191521566980599"/>
          <c:w val="0.84646862365269959"/>
          <c:h val="0.553646635389058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平滑指數!$C$46:$C$57</c:f>
              <c:numCache>
                <c:formatCode>General</c:formatCode>
                <c:ptCount val="12"/>
                <c:pt idx="0">
                  <c:v>9500</c:v>
                </c:pt>
                <c:pt idx="1">
                  <c:v>17000</c:v>
                </c:pt>
                <c:pt idx="2">
                  <c:v>23500</c:v>
                </c:pt>
                <c:pt idx="3">
                  <c:v>24520</c:v>
                </c:pt>
                <c:pt idx="4">
                  <c:v>17640</c:v>
                </c:pt>
                <c:pt idx="5">
                  <c:v>19700</c:v>
                </c:pt>
                <c:pt idx="6">
                  <c:v>27400</c:v>
                </c:pt>
                <c:pt idx="7">
                  <c:v>29540</c:v>
                </c:pt>
                <c:pt idx="8">
                  <c:v>25230</c:v>
                </c:pt>
                <c:pt idx="9">
                  <c:v>27450</c:v>
                </c:pt>
                <c:pt idx="10">
                  <c:v>33700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C-4AC3-BB97-8508002859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平滑指數!$F$46:$F$57</c:f>
              <c:numCache>
                <c:formatCode>0</c:formatCode>
                <c:ptCount val="12"/>
                <c:pt idx="0">
                  <c:v>13692.9</c:v>
                </c:pt>
                <c:pt idx="1">
                  <c:v>10030.384999999998</c:v>
                </c:pt>
                <c:pt idx="2">
                  <c:v>19550.460249999996</c:v>
                </c:pt>
                <c:pt idx="3">
                  <c:v>28129.760662500001</c:v>
                </c:pt>
                <c:pt idx="4">
                  <c:v>28281.298405624995</c:v>
                </c:pt>
                <c:pt idx="5">
                  <c:v>17315.86789740625</c:v>
                </c:pt>
                <c:pt idx="6">
                  <c:v>19146.184292751561</c:v>
                </c:pt>
                <c:pt idx="7">
                  <c:v>29973.433000547891</c:v>
                </c:pt>
                <c:pt idx="8">
                  <c:v>32787.113021080972</c:v>
                </c:pt>
                <c:pt idx="9">
                  <c:v>25788.78016364784</c:v>
                </c:pt>
                <c:pt idx="10">
                  <c:v>27834.495804262999</c:v>
                </c:pt>
                <c:pt idx="11">
                  <c:v>36303.544256406167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C-4AC3-BB97-85080028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088800"/>
        <c:axId val="1476092640"/>
      </c:lineChart>
      <c:catAx>
        <c:axId val="14760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6092640"/>
        <c:crosses val="autoZero"/>
        <c:auto val="1"/>
        <c:lblAlgn val="ctr"/>
        <c:lblOffset val="100"/>
        <c:noMultiLvlLbl val="0"/>
      </c:catAx>
      <c:valAx>
        <c:axId val="1476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60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48513996547797E-2"/>
          <c:y val="0.10504582090212876"/>
          <c:w val="0.94565148600345217"/>
          <c:h val="0.83819143242797356"/>
        </c:manualLayout>
      </c:layout>
      <c:lineChart>
        <c:grouping val="standard"/>
        <c:varyColors val="0"/>
        <c:ser>
          <c:idx val="0"/>
          <c:order val="0"/>
          <c:tx>
            <c:strRef>
              <c:f>'預測工作表 ETS'!$B$1</c:f>
              <c:strCache>
                <c:ptCount val="1"/>
                <c:pt idx="0">
                  <c:v>實際需求 A_t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'預測工作表 ETS'!$B$2:$B$14</c:f>
              <c:numCache>
                <c:formatCode>General</c:formatCode>
                <c:ptCount val="13"/>
                <c:pt idx="0">
                  <c:v>130</c:v>
                </c:pt>
                <c:pt idx="1">
                  <c:v>120</c:v>
                </c:pt>
                <c:pt idx="2">
                  <c:v>130</c:v>
                </c:pt>
                <c:pt idx="3">
                  <c:v>100</c:v>
                </c:pt>
                <c:pt idx="4">
                  <c:v>170</c:v>
                </c:pt>
                <c:pt idx="5">
                  <c:v>140</c:v>
                </c:pt>
                <c:pt idx="6">
                  <c:v>150</c:v>
                </c:pt>
                <c:pt idx="7">
                  <c:v>120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401D-9BDA-A686733E32F4}"/>
            </c:ext>
          </c:extLst>
        </c:ser>
        <c:ser>
          <c:idx val="1"/>
          <c:order val="1"/>
          <c:tx>
            <c:strRef>
              <c:f>'預測工作表 ETS'!$C$1</c:f>
              <c:strCache>
                <c:ptCount val="1"/>
                <c:pt idx="0">
                  <c:v>趨勢預測(實際需求 A_t)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'預測工作表 ETS'!$A$2:$A$14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'預測工作表 ETS'!$C$2:$C$14</c:f>
              <c:numCache>
                <c:formatCode>General</c:formatCode>
                <c:ptCount val="13"/>
                <c:pt idx="8">
                  <c:v>180</c:v>
                </c:pt>
                <c:pt idx="9">
                  <c:v>156.65813251434471</c:v>
                </c:pt>
                <c:pt idx="10">
                  <c:v>165.49826373703158</c:v>
                </c:pt>
                <c:pt idx="11">
                  <c:v>134.36186068201397</c:v>
                </c:pt>
                <c:pt idx="12">
                  <c:v>201.39556629965412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0-401D-9BDA-A686733E32F4}"/>
            </c:ext>
          </c:extLst>
        </c:ser>
        <c:ser>
          <c:idx val="2"/>
          <c:order val="2"/>
          <c:tx>
            <c:strRef>
              <c:f>'預測工作表 ETS'!$D$1</c:f>
              <c:strCache>
                <c:ptCount val="1"/>
                <c:pt idx="0">
                  <c:v>較低的信賴繫結(實際需求 A_t)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'預測工作表 ETS'!$A$2:$A$14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'預測工作表 ETS'!$D$2:$D$14</c:f>
              <c:numCache>
                <c:formatCode>General</c:formatCode>
                <c:ptCount val="13"/>
                <c:pt idx="8" formatCode="0.00">
                  <c:v>180</c:v>
                </c:pt>
                <c:pt idx="9" formatCode="0.00">
                  <c:v>142.04212812346287</c:v>
                </c:pt>
                <c:pt idx="10" formatCode="0.00">
                  <c:v>147.21948490589318</c:v>
                </c:pt>
                <c:pt idx="11" formatCode="0.00">
                  <c:v>113.03298333180273</c:v>
                </c:pt>
                <c:pt idx="12" formatCode="0.00">
                  <c:v>177.39452940543873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0-401D-9BDA-A686733E32F4}"/>
            </c:ext>
          </c:extLst>
        </c:ser>
        <c:ser>
          <c:idx val="3"/>
          <c:order val="3"/>
          <c:tx>
            <c:strRef>
              <c:f>'預測工作表 ETS'!$E$1</c:f>
              <c:strCache>
                <c:ptCount val="1"/>
                <c:pt idx="0">
                  <c:v>較高的信賴繫結(實際需求 A_t)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'預測工作表 ETS'!$A$2:$A$14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'預測工作表 ETS'!$E$2:$E$14</c:f>
              <c:numCache>
                <c:formatCode>General</c:formatCode>
                <c:ptCount val="13"/>
                <c:pt idx="8" formatCode="0.00">
                  <c:v>180</c:v>
                </c:pt>
                <c:pt idx="9" formatCode="0.00">
                  <c:v>171.27413690522656</c:v>
                </c:pt>
                <c:pt idx="10" formatCode="0.00">
                  <c:v>183.77704256816997</c:v>
                </c:pt>
                <c:pt idx="11" formatCode="0.00">
                  <c:v>155.69073803222523</c:v>
                </c:pt>
                <c:pt idx="12" formatCode="0.00">
                  <c:v>225.39660319386951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0-401D-9BDA-A686733E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519056"/>
        <c:axId val="1977521936"/>
      </c:lineChart>
      <c:catAx>
        <c:axId val="19775190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521936"/>
        <c:crosses val="autoZero"/>
        <c:auto val="1"/>
        <c:lblAlgn val="ctr"/>
        <c:lblOffset val="100"/>
        <c:noMultiLvlLbl val="0"/>
      </c:catAx>
      <c:valAx>
        <c:axId val="19775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519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400"/>
              <a:t>直方圖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40063634493108"/>
          <c:y val="0.14020769966931029"/>
          <c:w val="0.815847648585036"/>
          <c:h val="0.64462984545704349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基本統計!$L$4:$L$7</c:f>
              <c:strCache>
                <c:ptCount val="4"/>
                <c:pt idx="0">
                  <c:v>700</c:v>
                </c:pt>
                <c:pt idx="1">
                  <c:v>1050</c:v>
                </c:pt>
                <c:pt idx="2">
                  <c:v>1400</c:v>
                </c:pt>
                <c:pt idx="3">
                  <c:v>其他</c:v>
                </c:pt>
              </c:strCache>
            </c:strRef>
          </c:cat>
          <c:val>
            <c:numRef>
              <c:f>基本統計!$M$4:$M$7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2-4E3A-B1B2-DCF88716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67648"/>
        <c:axId val="113856608"/>
      </c:barChart>
      <c:catAx>
        <c:axId val="1138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 </a:t>
                </a:r>
                <a:r>
                  <a:rPr lang="en-US" altLang="zh-TW"/>
                  <a:t>(</a:t>
                </a:r>
                <a:r>
                  <a:rPr lang="zh-TW" altLang="en-US"/>
                  <a:t>需求量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60515499616085"/>
              <c:y val="0.87364620938628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856608"/>
        <c:crosses val="autoZero"/>
        <c:auto val="1"/>
        <c:lblAlgn val="ctr"/>
        <c:lblOffset val="100"/>
        <c:noMultiLvlLbl val="0"/>
      </c:catAx>
      <c:valAx>
        <c:axId val="11385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6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18837415877509"/>
          <c:y val="0.22056861574613645"/>
          <c:w val="0.11786006433708215"/>
          <c:h val="0.1088021262685124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3</a:t>
            </a:r>
            <a:r>
              <a:rPr lang="zh-TW" altLang="en-US"/>
              <a:t>個月移動平均法 </a:t>
            </a:r>
            <a:r>
              <a:rPr lang="en-US" altLang="zh-TW"/>
              <a:t>(</a:t>
            </a:r>
            <a:r>
              <a:rPr lang="zh-TW" altLang="en-US"/>
              <a:t>無加權</a:t>
            </a:r>
            <a:r>
              <a:rPr lang="en-US" altLang="zh-TW"/>
              <a:t>)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實際</c:v>
          </c:tx>
          <c:val>
            <c:numRef>
              <c:f>'簡單平均&amp;移動平均'!$AD$2:$AD$37</c:f>
              <c:numCache>
                <c:formatCode>General</c:formatCode>
                <c:ptCount val="36"/>
                <c:pt idx="0">
                  <c:v>5000</c:v>
                </c:pt>
                <c:pt idx="1">
                  <c:v>5020</c:v>
                </c:pt>
                <c:pt idx="2">
                  <c:v>6020</c:v>
                </c:pt>
                <c:pt idx="3">
                  <c:v>5050</c:v>
                </c:pt>
                <c:pt idx="4">
                  <c:v>5000</c:v>
                </c:pt>
                <c:pt idx="5">
                  <c:v>3080</c:v>
                </c:pt>
                <c:pt idx="6">
                  <c:v>5010</c:v>
                </c:pt>
                <c:pt idx="7">
                  <c:v>5050</c:v>
                </c:pt>
                <c:pt idx="8">
                  <c:v>5030</c:v>
                </c:pt>
                <c:pt idx="9">
                  <c:v>5010</c:v>
                </c:pt>
                <c:pt idx="10">
                  <c:v>5020</c:v>
                </c:pt>
                <c:pt idx="11">
                  <c:v>5020</c:v>
                </c:pt>
                <c:pt idx="12">
                  <c:v>6000</c:v>
                </c:pt>
                <c:pt idx="13">
                  <c:v>6080</c:v>
                </c:pt>
                <c:pt idx="14">
                  <c:v>7120</c:v>
                </c:pt>
                <c:pt idx="15">
                  <c:v>6130</c:v>
                </c:pt>
                <c:pt idx="16">
                  <c:v>6090</c:v>
                </c:pt>
                <c:pt idx="17">
                  <c:v>4070</c:v>
                </c:pt>
                <c:pt idx="18">
                  <c:v>6210</c:v>
                </c:pt>
                <c:pt idx="19">
                  <c:v>6170</c:v>
                </c:pt>
                <c:pt idx="20">
                  <c:v>6080</c:v>
                </c:pt>
                <c:pt idx="21">
                  <c:v>6260</c:v>
                </c:pt>
                <c:pt idx="22">
                  <c:v>6100</c:v>
                </c:pt>
                <c:pt idx="23">
                  <c:v>6050</c:v>
                </c:pt>
                <c:pt idx="24">
                  <c:v>7000</c:v>
                </c:pt>
                <c:pt idx="25">
                  <c:v>7040</c:v>
                </c:pt>
                <c:pt idx="26">
                  <c:v>8320</c:v>
                </c:pt>
                <c:pt idx="27">
                  <c:v>7020</c:v>
                </c:pt>
                <c:pt idx="28">
                  <c:v>7140</c:v>
                </c:pt>
                <c:pt idx="29">
                  <c:v>4900</c:v>
                </c:pt>
                <c:pt idx="30">
                  <c:v>7040</c:v>
                </c:pt>
                <c:pt idx="31">
                  <c:v>7060</c:v>
                </c:pt>
                <c:pt idx="32">
                  <c:v>7120</c:v>
                </c:pt>
                <c:pt idx="33">
                  <c:v>7080</c:v>
                </c:pt>
                <c:pt idx="34">
                  <c:v>7200</c:v>
                </c:pt>
                <c:pt idx="35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2-436D-9F9F-E6AE6076D98B}"/>
            </c:ext>
          </c:extLst>
        </c:ser>
        <c:ser>
          <c:idx val="1"/>
          <c:order val="1"/>
          <c:tx>
            <c:v>預測</c:v>
          </c:tx>
          <c:val>
            <c:numRef>
              <c:f>'簡單平均&amp;移動平均'!$AE$2:$AE$38</c:f>
              <c:numCache>
                <c:formatCode>General</c:formatCode>
                <c:ptCount val="37"/>
                <c:pt idx="0">
                  <c:v>#N/A</c:v>
                </c:pt>
                <c:pt idx="1">
                  <c:v>#N/A</c:v>
                </c:pt>
                <c:pt idx="3" formatCode="0">
                  <c:v>5346.666666666667</c:v>
                </c:pt>
                <c:pt idx="4" formatCode="0">
                  <c:v>5363.333333333333</c:v>
                </c:pt>
                <c:pt idx="5" formatCode="0">
                  <c:v>5356.666666666667</c:v>
                </c:pt>
                <c:pt idx="6" formatCode="0">
                  <c:v>4376.666666666667</c:v>
                </c:pt>
                <c:pt idx="7" formatCode="0">
                  <c:v>4363.333333333333</c:v>
                </c:pt>
                <c:pt idx="8" formatCode="0">
                  <c:v>4380</c:v>
                </c:pt>
                <c:pt idx="9" formatCode="0">
                  <c:v>5030</c:v>
                </c:pt>
                <c:pt idx="10" formatCode="0">
                  <c:v>5030</c:v>
                </c:pt>
                <c:pt idx="11" formatCode="0">
                  <c:v>5020</c:v>
                </c:pt>
                <c:pt idx="12" formatCode="0">
                  <c:v>5016.666666666667</c:v>
                </c:pt>
                <c:pt idx="13" formatCode="0">
                  <c:v>5346.666666666667</c:v>
                </c:pt>
                <c:pt idx="14" formatCode="0">
                  <c:v>5700</c:v>
                </c:pt>
                <c:pt idx="15" formatCode="0">
                  <c:v>6400</c:v>
                </c:pt>
                <c:pt idx="16" formatCode="0">
                  <c:v>6443.333333333333</c:v>
                </c:pt>
                <c:pt idx="17" formatCode="0">
                  <c:v>6446.666666666667</c:v>
                </c:pt>
                <c:pt idx="18" formatCode="0">
                  <c:v>5430</c:v>
                </c:pt>
                <c:pt idx="19" formatCode="0">
                  <c:v>5456.666666666667</c:v>
                </c:pt>
                <c:pt idx="20" formatCode="0">
                  <c:v>5483.333333333333</c:v>
                </c:pt>
                <c:pt idx="21" formatCode="0">
                  <c:v>6153.333333333333</c:v>
                </c:pt>
                <c:pt idx="22" formatCode="0">
                  <c:v>6170</c:v>
                </c:pt>
                <c:pt idx="23" formatCode="0">
                  <c:v>6146.666666666667</c:v>
                </c:pt>
                <c:pt idx="24" formatCode="0">
                  <c:v>6136.666666666667</c:v>
                </c:pt>
                <c:pt idx="25" formatCode="0">
                  <c:v>6383.333333333333</c:v>
                </c:pt>
                <c:pt idx="26" formatCode="0">
                  <c:v>6696.666666666667</c:v>
                </c:pt>
                <c:pt idx="27" formatCode="0">
                  <c:v>7453.333333333333</c:v>
                </c:pt>
                <c:pt idx="28" formatCode="0">
                  <c:v>7460</c:v>
                </c:pt>
                <c:pt idx="29" formatCode="0">
                  <c:v>7493.333333333333</c:v>
                </c:pt>
                <c:pt idx="30" formatCode="0">
                  <c:v>6353.333333333333</c:v>
                </c:pt>
                <c:pt idx="31" formatCode="0">
                  <c:v>6360</c:v>
                </c:pt>
                <c:pt idx="32" formatCode="0">
                  <c:v>6333.333333333333</c:v>
                </c:pt>
                <c:pt idx="33" formatCode="0">
                  <c:v>7073.333333333333</c:v>
                </c:pt>
                <c:pt idx="34" formatCode="0">
                  <c:v>7086.666666666667</c:v>
                </c:pt>
                <c:pt idx="35" formatCode="0">
                  <c:v>7133.333333333333</c:v>
                </c:pt>
                <c:pt idx="36" formatCode="0">
                  <c:v>7143.333333333333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2-436D-9F9F-E6AE6076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76000"/>
        <c:axId val="1197374560"/>
      </c:lineChart>
      <c:catAx>
        <c:axId val="11973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資料點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7374560"/>
        <c:crosses val="autoZero"/>
        <c:auto val="1"/>
        <c:lblAlgn val="ctr"/>
        <c:lblOffset val="100"/>
        <c:noMultiLvlLbl val="0"/>
      </c:catAx>
      <c:valAx>
        <c:axId val="11973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376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4</a:t>
            </a:r>
            <a:r>
              <a:rPr lang="zh-TW" altLang="en-US"/>
              <a:t>個月移動平均法</a:t>
            </a:r>
            <a:r>
              <a:rPr lang="en-US" altLang="zh-TW" sz="1800" b="1" i="0" u="none" strike="noStrike" kern="1200" baseline="0">
                <a:solidFill>
                  <a:sysClr val="windowText" lastClr="000000"/>
                </a:solidFill>
              </a:rPr>
              <a:t>(</a:t>
            </a:r>
            <a:r>
              <a:rPr lang="zh-TW" altLang="en-US" sz="1800" b="1" i="0" u="none" strike="noStrike" kern="1200" baseline="0">
                <a:solidFill>
                  <a:sysClr val="windowText" lastClr="000000"/>
                </a:solidFill>
              </a:rPr>
              <a:t>無加權</a:t>
            </a:r>
            <a:r>
              <a:rPr lang="en-US" altLang="zh-TW" sz="1800" b="1" i="0" u="none" strike="noStrike" kern="1200" baseline="0">
                <a:solidFill>
                  <a:sysClr val="windowText" lastClr="000000"/>
                </a:solidFill>
              </a:rPr>
              <a:t>)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實際</c:v>
          </c:tx>
          <c:val>
            <c:numRef>
              <c:f>'簡單平均&amp;移動平均'!$AD$2:$AD$37</c:f>
              <c:numCache>
                <c:formatCode>General</c:formatCode>
                <c:ptCount val="36"/>
                <c:pt idx="0">
                  <c:v>5000</c:v>
                </c:pt>
                <c:pt idx="1">
                  <c:v>5020</c:v>
                </c:pt>
                <c:pt idx="2">
                  <c:v>6020</c:v>
                </c:pt>
                <c:pt idx="3">
                  <c:v>5050</c:v>
                </c:pt>
                <c:pt idx="4">
                  <c:v>5000</c:v>
                </c:pt>
                <c:pt idx="5">
                  <c:v>3080</c:v>
                </c:pt>
                <c:pt idx="6">
                  <c:v>5010</c:v>
                </c:pt>
                <c:pt idx="7">
                  <c:v>5050</c:v>
                </c:pt>
                <c:pt idx="8">
                  <c:v>5030</c:v>
                </c:pt>
                <c:pt idx="9">
                  <c:v>5010</c:v>
                </c:pt>
                <c:pt idx="10">
                  <c:v>5020</c:v>
                </c:pt>
                <c:pt idx="11">
                  <c:v>5020</c:v>
                </c:pt>
                <c:pt idx="12">
                  <c:v>6000</c:v>
                </c:pt>
                <c:pt idx="13">
                  <c:v>6080</c:v>
                </c:pt>
                <c:pt idx="14">
                  <c:v>7120</c:v>
                </c:pt>
                <c:pt idx="15">
                  <c:v>6130</c:v>
                </c:pt>
                <c:pt idx="16">
                  <c:v>6090</c:v>
                </c:pt>
                <c:pt idx="17">
                  <c:v>4070</c:v>
                </c:pt>
                <c:pt idx="18">
                  <c:v>6210</c:v>
                </c:pt>
                <c:pt idx="19">
                  <c:v>6170</c:v>
                </c:pt>
                <c:pt idx="20">
                  <c:v>6080</c:v>
                </c:pt>
                <c:pt idx="21">
                  <c:v>6260</c:v>
                </c:pt>
                <c:pt idx="22">
                  <c:v>6100</c:v>
                </c:pt>
                <c:pt idx="23">
                  <c:v>6050</c:v>
                </c:pt>
                <c:pt idx="24">
                  <c:v>7000</c:v>
                </c:pt>
                <c:pt idx="25">
                  <c:v>7040</c:v>
                </c:pt>
                <c:pt idx="26">
                  <c:v>8320</c:v>
                </c:pt>
                <c:pt idx="27">
                  <c:v>7020</c:v>
                </c:pt>
                <c:pt idx="28">
                  <c:v>7140</c:v>
                </c:pt>
                <c:pt idx="29">
                  <c:v>4900</c:v>
                </c:pt>
                <c:pt idx="30">
                  <c:v>7040</c:v>
                </c:pt>
                <c:pt idx="31">
                  <c:v>7060</c:v>
                </c:pt>
                <c:pt idx="32">
                  <c:v>7120</c:v>
                </c:pt>
                <c:pt idx="33">
                  <c:v>7080</c:v>
                </c:pt>
                <c:pt idx="34">
                  <c:v>7200</c:v>
                </c:pt>
                <c:pt idx="35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E-479E-9D80-F255EA58BA01}"/>
            </c:ext>
          </c:extLst>
        </c:ser>
        <c:ser>
          <c:idx val="1"/>
          <c:order val="1"/>
          <c:tx>
            <c:v>預測</c:v>
          </c:tx>
          <c:val>
            <c:numRef>
              <c:f>'簡單平均&amp;移動平均'!$AH$2:$AH$38</c:f>
              <c:numCache>
                <c:formatCode>General</c:formatCode>
                <c:ptCount val="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 formatCode="0">
                  <c:v>5272.5</c:v>
                </c:pt>
                <c:pt idx="5" formatCode="0">
                  <c:v>5272.5</c:v>
                </c:pt>
                <c:pt idx="6" formatCode="0">
                  <c:v>4787.5</c:v>
                </c:pt>
                <c:pt idx="7" formatCode="0">
                  <c:v>4535</c:v>
                </c:pt>
                <c:pt idx="8" formatCode="0">
                  <c:v>4535</c:v>
                </c:pt>
                <c:pt idx="9" formatCode="0">
                  <c:v>4542.5</c:v>
                </c:pt>
                <c:pt idx="10" formatCode="0">
                  <c:v>5025</c:v>
                </c:pt>
                <c:pt idx="11" formatCode="0">
                  <c:v>5027.5</c:v>
                </c:pt>
                <c:pt idx="12" formatCode="0">
                  <c:v>5020</c:v>
                </c:pt>
                <c:pt idx="13" formatCode="0">
                  <c:v>5262.5</c:v>
                </c:pt>
                <c:pt idx="14" formatCode="0">
                  <c:v>5530</c:v>
                </c:pt>
                <c:pt idx="15" formatCode="0">
                  <c:v>6055</c:v>
                </c:pt>
                <c:pt idx="16" formatCode="0">
                  <c:v>6332.5</c:v>
                </c:pt>
                <c:pt idx="17" formatCode="0">
                  <c:v>6355</c:v>
                </c:pt>
                <c:pt idx="18" formatCode="0">
                  <c:v>5852.5</c:v>
                </c:pt>
                <c:pt idx="19" formatCode="0">
                  <c:v>5625</c:v>
                </c:pt>
                <c:pt idx="20" formatCode="0">
                  <c:v>5635</c:v>
                </c:pt>
                <c:pt idx="21" formatCode="0">
                  <c:v>5632.5</c:v>
                </c:pt>
                <c:pt idx="22" formatCode="0">
                  <c:v>6180</c:v>
                </c:pt>
                <c:pt idx="23" formatCode="0">
                  <c:v>6152.5</c:v>
                </c:pt>
                <c:pt idx="24" formatCode="0">
                  <c:v>6122.5</c:v>
                </c:pt>
                <c:pt idx="25" formatCode="0">
                  <c:v>6352.5</c:v>
                </c:pt>
                <c:pt idx="26" formatCode="0">
                  <c:v>6547.5</c:v>
                </c:pt>
                <c:pt idx="27" formatCode="0">
                  <c:v>7102.5</c:v>
                </c:pt>
                <c:pt idx="28" formatCode="0">
                  <c:v>7345</c:v>
                </c:pt>
                <c:pt idx="29" formatCode="0">
                  <c:v>7380</c:v>
                </c:pt>
                <c:pt idx="30" formatCode="0">
                  <c:v>6845</c:v>
                </c:pt>
                <c:pt idx="31" formatCode="0">
                  <c:v>6525</c:v>
                </c:pt>
                <c:pt idx="32" formatCode="0">
                  <c:v>6535</c:v>
                </c:pt>
                <c:pt idx="33" formatCode="0">
                  <c:v>6530</c:v>
                </c:pt>
                <c:pt idx="34" formatCode="0">
                  <c:v>7075</c:v>
                </c:pt>
                <c:pt idx="35" formatCode="0">
                  <c:v>7115</c:v>
                </c:pt>
                <c:pt idx="36" formatCode="0">
                  <c:v>7137.5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E-479E-9D80-F255EA58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501231"/>
        <c:axId val="1979418847"/>
      </c:lineChart>
      <c:catAx>
        <c:axId val="114150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資料點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9418847"/>
        <c:crosses val="autoZero"/>
        <c:auto val="1"/>
        <c:lblAlgn val="ctr"/>
        <c:lblOffset val="100"/>
        <c:noMultiLvlLbl val="0"/>
      </c:catAx>
      <c:valAx>
        <c:axId val="1979418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501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6</a:t>
            </a:r>
            <a:r>
              <a:rPr lang="zh-TW" altLang="en-US"/>
              <a:t>個月移動平均法</a:t>
            </a:r>
            <a:r>
              <a:rPr lang="en-US" altLang="zh-TW" sz="1800" b="1" i="0" u="none" strike="noStrike" kern="1200" baseline="0">
                <a:solidFill>
                  <a:sysClr val="windowText" lastClr="000000"/>
                </a:solidFill>
              </a:rPr>
              <a:t>(</a:t>
            </a:r>
            <a:r>
              <a:rPr lang="zh-TW" altLang="en-US" sz="1800" b="1" i="0" u="none" strike="noStrike" kern="1200" baseline="0">
                <a:solidFill>
                  <a:sysClr val="windowText" lastClr="000000"/>
                </a:solidFill>
              </a:rPr>
              <a:t>無加權</a:t>
            </a:r>
            <a:r>
              <a:rPr lang="en-US" altLang="zh-TW" sz="1800" b="1" i="0" u="none" strike="noStrike" kern="1200" baseline="0">
                <a:solidFill>
                  <a:sysClr val="windowText" lastClr="000000"/>
                </a:solidFill>
              </a:rPr>
              <a:t>)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實際</c:v>
          </c:tx>
          <c:val>
            <c:numRef>
              <c:f>'簡單平均&amp;移動平均'!$AD$2:$AD$37</c:f>
              <c:numCache>
                <c:formatCode>General</c:formatCode>
                <c:ptCount val="36"/>
                <c:pt idx="0">
                  <c:v>5000</c:v>
                </c:pt>
                <c:pt idx="1">
                  <c:v>5020</c:v>
                </c:pt>
                <c:pt idx="2">
                  <c:v>6020</c:v>
                </c:pt>
                <c:pt idx="3">
                  <c:v>5050</c:v>
                </c:pt>
                <c:pt idx="4">
                  <c:v>5000</c:v>
                </c:pt>
                <c:pt idx="5">
                  <c:v>3080</c:v>
                </c:pt>
                <c:pt idx="6">
                  <c:v>5010</c:v>
                </c:pt>
                <c:pt idx="7">
                  <c:v>5050</c:v>
                </c:pt>
                <c:pt idx="8">
                  <c:v>5030</c:v>
                </c:pt>
                <c:pt idx="9">
                  <c:v>5010</c:v>
                </c:pt>
                <c:pt idx="10">
                  <c:v>5020</c:v>
                </c:pt>
                <c:pt idx="11">
                  <c:v>5020</c:v>
                </c:pt>
                <c:pt idx="12">
                  <c:v>6000</c:v>
                </c:pt>
                <c:pt idx="13">
                  <c:v>6080</c:v>
                </c:pt>
                <c:pt idx="14">
                  <c:v>7120</c:v>
                </c:pt>
                <c:pt idx="15">
                  <c:v>6130</c:v>
                </c:pt>
                <c:pt idx="16">
                  <c:v>6090</c:v>
                </c:pt>
                <c:pt idx="17">
                  <c:v>4070</c:v>
                </c:pt>
                <c:pt idx="18">
                  <c:v>6210</c:v>
                </c:pt>
                <c:pt idx="19">
                  <c:v>6170</c:v>
                </c:pt>
                <c:pt idx="20">
                  <c:v>6080</c:v>
                </c:pt>
                <c:pt idx="21">
                  <c:v>6260</c:v>
                </c:pt>
                <c:pt idx="22">
                  <c:v>6100</c:v>
                </c:pt>
                <c:pt idx="23">
                  <c:v>6050</c:v>
                </c:pt>
                <c:pt idx="24">
                  <c:v>7000</c:v>
                </c:pt>
                <c:pt idx="25">
                  <c:v>7040</c:v>
                </c:pt>
                <c:pt idx="26">
                  <c:v>8320</c:v>
                </c:pt>
                <c:pt idx="27">
                  <c:v>7020</c:v>
                </c:pt>
                <c:pt idx="28">
                  <c:v>7140</c:v>
                </c:pt>
                <c:pt idx="29">
                  <c:v>4900</c:v>
                </c:pt>
                <c:pt idx="30">
                  <c:v>7040</c:v>
                </c:pt>
                <c:pt idx="31">
                  <c:v>7060</c:v>
                </c:pt>
                <c:pt idx="32">
                  <c:v>7120</c:v>
                </c:pt>
                <c:pt idx="33">
                  <c:v>7080</c:v>
                </c:pt>
                <c:pt idx="34">
                  <c:v>7200</c:v>
                </c:pt>
                <c:pt idx="35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9-49CE-9A44-34583DE570E7}"/>
            </c:ext>
          </c:extLst>
        </c:ser>
        <c:ser>
          <c:idx val="1"/>
          <c:order val="1"/>
          <c:tx>
            <c:v>預測</c:v>
          </c:tx>
          <c:val>
            <c:numRef>
              <c:f>'簡單平均&amp;移動平均'!$AK$2:$AK$38</c:f>
              <c:numCache>
                <c:formatCode>General</c:formatCode>
                <c:ptCount val="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 formatCode="0">
                  <c:v>4861.666666666667</c:v>
                </c:pt>
                <c:pt idx="7" formatCode="0">
                  <c:v>4863.333333333333</c:v>
                </c:pt>
                <c:pt idx="8" formatCode="0">
                  <c:v>4868.333333333333</c:v>
                </c:pt>
                <c:pt idx="9" formatCode="0">
                  <c:v>4703.333333333333</c:v>
                </c:pt>
                <c:pt idx="10" formatCode="0">
                  <c:v>4696.666666666667</c:v>
                </c:pt>
                <c:pt idx="11" formatCode="0">
                  <c:v>4700</c:v>
                </c:pt>
                <c:pt idx="12" formatCode="0">
                  <c:v>5023.333333333333</c:v>
                </c:pt>
                <c:pt idx="13" formatCode="0">
                  <c:v>5188.333333333333</c:v>
                </c:pt>
                <c:pt idx="14" formatCode="0">
                  <c:v>5360</c:v>
                </c:pt>
                <c:pt idx="15" formatCode="0">
                  <c:v>5708.333333333333</c:v>
                </c:pt>
                <c:pt idx="16" formatCode="0">
                  <c:v>5895</c:v>
                </c:pt>
                <c:pt idx="17" formatCode="0">
                  <c:v>6073.333333333333</c:v>
                </c:pt>
                <c:pt idx="18" formatCode="0">
                  <c:v>5915</c:v>
                </c:pt>
                <c:pt idx="19" formatCode="0">
                  <c:v>5950</c:v>
                </c:pt>
                <c:pt idx="20" formatCode="0">
                  <c:v>5965</c:v>
                </c:pt>
                <c:pt idx="21" formatCode="0">
                  <c:v>5791.666666666667</c:v>
                </c:pt>
                <c:pt idx="22" formatCode="0">
                  <c:v>5813.333333333333</c:v>
                </c:pt>
                <c:pt idx="23" formatCode="0">
                  <c:v>5815</c:v>
                </c:pt>
                <c:pt idx="24" formatCode="0">
                  <c:v>6145</c:v>
                </c:pt>
                <c:pt idx="25" formatCode="0">
                  <c:v>6276.666666666667</c:v>
                </c:pt>
                <c:pt idx="26" formatCode="0">
                  <c:v>6421.666666666667</c:v>
                </c:pt>
                <c:pt idx="27" formatCode="0">
                  <c:v>6795</c:v>
                </c:pt>
                <c:pt idx="28" formatCode="0">
                  <c:v>6921.666666666667</c:v>
                </c:pt>
                <c:pt idx="29" formatCode="0">
                  <c:v>7095</c:v>
                </c:pt>
                <c:pt idx="30" formatCode="0">
                  <c:v>6903.333333333333</c:v>
                </c:pt>
                <c:pt idx="31" formatCode="0">
                  <c:v>6910</c:v>
                </c:pt>
                <c:pt idx="32" formatCode="0">
                  <c:v>6913.333333333333</c:v>
                </c:pt>
                <c:pt idx="33" formatCode="0">
                  <c:v>6713.333333333333</c:v>
                </c:pt>
                <c:pt idx="34" formatCode="0">
                  <c:v>6723.333333333333</c:v>
                </c:pt>
                <c:pt idx="35" formatCode="0">
                  <c:v>6733.333333333333</c:v>
                </c:pt>
                <c:pt idx="36" formatCode="0">
                  <c:v>7108.333333333333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9-49CE-9A44-34583DE5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373839"/>
        <c:axId val="1694374319"/>
      </c:lineChart>
      <c:catAx>
        <c:axId val="169437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資料點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4374319"/>
        <c:crosses val="autoZero"/>
        <c:auto val="1"/>
        <c:lblAlgn val="ctr"/>
        <c:lblOffset val="100"/>
        <c:noMultiLvlLbl val="0"/>
      </c:catAx>
      <c:valAx>
        <c:axId val="1694374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373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Different Alpha (</a:t>
            </a:r>
            <a:r>
              <a:rPr lang="zh-TW" altLang="en-US"/>
              <a:t>單平滑</a:t>
            </a:r>
            <a:r>
              <a:rPr lang="en-US" altLang="zh-TW" baseline="0"/>
              <a:t> Alpha </a:t>
            </a:r>
            <a:r>
              <a:rPr lang="zh-TW" altLang="en-US" baseline="0"/>
              <a:t>由 </a:t>
            </a:r>
            <a:r>
              <a:rPr lang="en-US" altLang="zh-TW" baseline="0"/>
              <a:t>0.1 ~0.9)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平滑指數!$C$1</c:f>
              <c:strCache>
                <c:ptCount val="1"/>
                <c:pt idx="0">
                  <c:v>實際需求 A_t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平滑指數!$C$2:$C$14</c:f>
              <c:numCache>
                <c:formatCode>General</c:formatCode>
                <c:ptCount val="13"/>
                <c:pt idx="0">
                  <c:v>121</c:v>
                </c:pt>
                <c:pt idx="1">
                  <c:v>133</c:v>
                </c:pt>
                <c:pt idx="2">
                  <c:v>137</c:v>
                </c:pt>
                <c:pt idx="3">
                  <c:v>145</c:v>
                </c:pt>
                <c:pt idx="4">
                  <c:v>155</c:v>
                </c:pt>
                <c:pt idx="5">
                  <c:v>150</c:v>
                </c:pt>
                <c:pt idx="6">
                  <c:v>148</c:v>
                </c:pt>
                <c:pt idx="7">
                  <c:v>155</c:v>
                </c:pt>
                <c:pt idx="8">
                  <c:v>150</c:v>
                </c:pt>
                <c:pt idx="9">
                  <c:v>161</c:v>
                </c:pt>
                <c:pt idx="10">
                  <c:v>158</c:v>
                </c:pt>
                <c:pt idx="11">
                  <c:v>167</c:v>
                </c:pt>
                <c:pt idx="12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3-4783-B6C4-222E06D4893E}"/>
            </c:ext>
          </c:extLst>
        </c:ser>
        <c:ser>
          <c:idx val="1"/>
          <c:order val="1"/>
          <c:tx>
            <c:strRef>
              <c:f>平滑指數!$D$1</c:f>
              <c:strCache>
                <c:ptCount val="1"/>
                <c:pt idx="0">
                  <c:v>預測 F(0.1)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平滑指數!$D$2:$D$14</c:f>
              <c:numCache>
                <c:formatCode>0</c:formatCode>
                <c:ptCount val="13"/>
                <c:pt idx="0" formatCode="General">
                  <c:v>121</c:v>
                </c:pt>
                <c:pt idx="1">
                  <c:v>121</c:v>
                </c:pt>
                <c:pt idx="2">
                  <c:v>122.2</c:v>
                </c:pt>
                <c:pt idx="3">
                  <c:v>123.68</c:v>
                </c:pt>
                <c:pt idx="4">
                  <c:v>125.81200000000001</c:v>
                </c:pt>
                <c:pt idx="5">
                  <c:v>128.73080000000002</c:v>
                </c:pt>
                <c:pt idx="6">
                  <c:v>130.85772000000003</c:v>
                </c:pt>
                <c:pt idx="7">
                  <c:v>132.57194800000002</c:v>
                </c:pt>
                <c:pt idx="8">
                  <c:v>134.81475320000004</c:v>
                </c:pt>
                <c:pt idx="9">
                  <c:v>136.33327788000003</c:v>
                </c:pt>
                <c:pt idx="10">
                  <c:v>138.79995009200002</c:v>
                </c:pt>
                <c:pt idx="11">
                  <c:v>140.71995508280003</c:v>
                </c:pt>
                <c:pt idx="12">
                  <c:v>143.34795957452002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3-4783-B6C4-222E06D4893E}"/>
            </c:ext>
          </c:extLst>
        </c:ser>
        <c:ser>
          <c:idx val="2"/>
          <c:order val="2"/>
          <c:tx>
            <c:strRef>
              <c:f>平滑指數!$F$1</c:f>
              <c:strCache>
                <c:ptCount val="1"/>
                <c:pt idx="0">
                  <c:v>預測 F(0.3)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平滑指數!$F$2:$F$14</c:f>
              <c:numCache>
                <c:formatCode>0</c:formatCode>
                <c:ptCount val="13"/>
                <c:pt idx="0" formatCode="General">
                  <c:v>121</c:v>
                </c:pt>
                <c:pt idx="1">
                  <c:v>120.99999999999999</c:v>
                </c:pt>
                <c:pt idx="2">
                  <c:v>124.6</c:v>
                </c:pt>
                <c:pt idx="3">
                  <c:v>128.32</c:v>
                </c:pt>
                <c:pt idx="4">
                  <c:v>133.32399999999998</c:v>
                </c:pt>
                <c:pt idx="5">
                  <c:v>139.82679999999999</c:v>
                </c:pt>
                <c:pt idx="6">
                  <c:v>142.87876</c:v>
                </c:pt>
                <c:pt idx="7">
                  <c:v>144.415132</c:v>
                </c:pt>
                <c:pt idx="8">
                  <c:v>147.59059239999999</c:v>
                </c:pt>
                <c:pt idx="9">
                  <c:v>148.31341467999999</c:v>
                </c:pt>
                <c:pt idx="10">
                  <c:v>152.11939027599999</c:v>
                </c:pt>
                <c:pt idx="11">
                  <c:v>153.88357319319999</c:v>
                </c:pt>
                <c:pt idx="12">
                  <c:v>157.81850123523998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3-4783-B6C4-222E06D4893E}"/>
            </c:ext>
          </c:extLst>
        </c:ser>
        <c:ser>
          <c:idx val="3"/>
          <c:order val="3"/>
          <c:tx>
            <c:strRef>
              <c:f>平滑指數!$H$1</c:f>
              <c:strCache>
                <c:ptCount val="1"/>
                <c:pt idx="0">
                  <c:v>預測 F(0.6)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平滑指數!$H$2:$H$14</c:f>
              <c:numCache>
                <c:formatCode>0</c:formatCode>
                <c:ptCount val="13"/>
                <c:pt idx="0" formatCode="General">
                  <c:v>121</c:v>
                </c:pt>
                <c:pt idx="1">
                  <c:v>121</c:v>
                </c:pt>
                <c:pt idx="2">
                  <c:v>128.19999999999999</c:v>
                </c:pt>
                <c:pt idx="3">
                  <c:v>133.48000000000002</c:v>
                </c:pt>
                <c:pt idx="4">
                  <c:v>140.392</c:v>
                </c:pt>
                <c:pt idx="5">
                  <c:v>149.1568</c:v>
                </c:pt>
                <c:pt idx="6">
                  <c:v>149.66272000000001</c:v>
                </c:pt>
                <c:pt idx="7">
                  <c:v>148.665088</c:v>
                </c:pt>
                <c:pt idx="8">
                  <c:v>152.46603519999999</c:v>
                </c:pt>
                <c:pt idx="9">
                  <c:v>150.98641408</c:v>
                </c:pt>
                <c:pt idx="10">
                  <c:v>156.99456563199999</c:v>
                </c:pt>
                <c:pt idx="11">
                  <c:v>157.59782625279999</c:v>
                </c:pt>
                <c:pt idx="12">
                  <c:v>163.23913050112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3-4783-B6C4-222E06D4893E}"/>
            </c:ext>
          </c:extLst>
        </c:ser>
        <c:ser>
          <c:idx val="4"/>
          <c:order val="4"/>
          <c:tx>
            <c:strRef>
              <c:f>平滑指數!$J$1</c:f>
              <c:strCache>
                <c:ptCount val="1"/>
                <c:pt idx="0">
                  <c:v>預測 F(0.9)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平滑指數!$J$2:$J$14</c:f>
              <c:numCache>
                <c:formatCode>0</c:formatCode>
                <c:ptCount val="13"/>
                <c:pt idx="0" formatCode="General">
                  <c:v>121</c:v>
                </c:pt>
                <c:pt idx="1">
                  <c:v>121</c:v>
                </c:pt>
                <c:pt idx="2">
                  <c:v>131.80000000000001</c:v>
                </c:pt>
                <c:pt idx="3">
                  <c:v>136.47999999999999</c:v>
                </c:pt>
                <c:pt idx="4">
                  <c:v>144.148</c:v>
                </c:pt>
                <c:pt idx="5">
                  <c:v>153.91479999999999</c:v>
                </c:pt>
                <c:pt idx="6">
                  <c:v>150.39148</c:v>
                </c:pt>
                <c:pt idx="7">
                  <c:v>148.239148</c:v>
                </c:pt>
                <c:pt idx="8">
                  <c:v>154.32391480000001</c:v>
                </c:pt>
                <c:pt idx="9">
                  <c:v>150.43239148000001</c:v>
                </c:pt>
                <c:pt idx="10">
                  <c:v>159.943239148</c:v>
                </c:pt>
                <c:pt idx="11">
                  <c:v>158.19432391480001</c:v>
                </c:pt>
                <c:pt idx="12">
                  <c:v>166.11943239148002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3-4783-B6C4-222E06D4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01695"/>
        <c:axId val="1403721855"/>
      </c:lineChart>
      <c:catAx>
        <c:axId val="14037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3721855"/>
        <c:crosses val="autoZero"/>
        <c:auto val="1"/>
        <c:lblAlgn val="ctr"/>
        <c:lblOffset val="100"/>
        <c:noMultiLvlLbl val="0"/>
      </c:catAx>
      <c:valAx>
        <c:axId val="14037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37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Level (Intercept) &amp; Trend (Slope)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81658111033952E-2"/>
          <c:y val="0.15888283628411187"/>
          <c:w val="0.87349715960237617"/>
          <c:h val="0.7273850002121323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089020122484692E-2"/>
                  <c:y val="-3.3693132108486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平滑指數!$B$46:$B$57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平滑指數!$C$46:$C$57</c:f>
              <c:numCache>
                <c:formatCode>General</c:formatCode>
                <c:ptCount val="12"/>
                <c:pt idx="0">
                  <c:v>9500</c:v>
                </c:pt>
                <c:pt idx="1">
                  <c:v>17000</c:v>
                </c:pt>
                <c:pt idx="2">
                  <c:v>23500</c:v>
                </c:pt>
                <c:pt idx="3">
                  <c:v>24520</c:v>
                </c:pt>
                <c:pt idx="4">
                  <c:v>17640</c:v>
                </c:pt>
                <c:pt idx="5">
                  <c:v>19700</c:v>
                </c:pt>
                <c:pt idx="6">
                  <c:v>27400</c:v>
                </c:pt>
                <c:pt idx="7">
                  <c:v>29540</c:v>
                </c:pt>
                <c:pt idx="8">
                  <c:v>25230</c:v>
                </c:pt>
                <c:pt idx="9">
                  <c:v>27450</c:v>
                </c:pt>
                <c:pt idx="10">
                  <c:v>33700</c:v>
                </c:pt>
                <c:pt idx="11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8-4616-9BD2-60B2902F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05344"/>
        <c:axId val="1291499584"/>
      </c:scatterChart>
      <c:valAx>
        <c:axId val="12915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499584"/>
        <c:crosses val="autoZero"/>
        <c:crossBetween val="midCat"/>
      </c:valAx>
      <c:valAx>
        <c:axId val="12914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指數平滑法 </a:t>
            </a:r>
            <a:r>
              <a:rPr lang="en-US" altLang="zh-TW" baseline="0"/>
              <a:t> (Damping 0.1)</a:t>
            </a:r>
            <a:endParaRPr lang="zh-TW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35547194795521"/>
          <c:y val="0.26149057798636699"/>
          <c:w val="0.65183183945826173"/>
          <c:h val="0.45620588238078247"/>
        </c:manualLayout>
      </c:layout>
      <c:lineChart>
        <c:grouping val="standard"/>
        <c:varyColors val="0"/>
        <c:ser>
          <c:idx val="0"/>
          <c:order val="0"/>
          <c:tx>
            <c:v>實際</c:v>
          </c:tx>
          <c:val>
            <c:numRef>
              <c:f>平滑指數!$C$20:$C$32</c:f>
              <c:numCache>
                <c:formatCode>General</c:formatCode>
                <c:ptCount val="13"/>
                <c:pt idx="0">
                  <c:v>21102</c:v>
                </c:pt>
                <c:pt idx="1">
                  <c:v>22083</c:v>
                </c:pt>
                <c:pt idx="2">
                  <c:v>20675</c:v>
                </c:pt>
                <c:pt idx="3">
                  <c:v>19908</c:v>
                </c:pt>
                <c:pt idx="4">
                  <c:v>20217</c:v>
                </c:pt>
                <c:pt idx="5">
                  <c:v>21595</c:v>
                </c:pt>
                <c:pt idx="6">
                  <c:v>20436</c:v>
                </c:pt>
                <c:pt idx="7">
                  <c:v>20192</c:v>
                </c:pt>
                <c:pt idx="8">
                  <c:v>20473</c:v>
                </c:pt>
                <c:pt idx="9">
                  <c:v>22226</c:v>
                </c:pt>
                <c:pt idx="10">
                  <c:v>21203</c:v>
                </c:pt>
                <c:pt idx="11">
                  <c:v>20383</c:v>
                </c:pt>
                <c:pt idx="12">
                  <c:v>21544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9-4C68-8CDF-AEC116D8FAB2}"/>
            </c:ext>
          </c:extLst>
        </c:ser>
        <c:ser>
          <c:idx val="1"/>
          <c:order val="1"/>
          <c:tx>
            <c:v>預測</c:v>
          </c:tx>
          <c:val>
            <c:numRef>
              <c:f>平滑指數!$G$20:$G$32</c:f>
              <c:numCache>
                <c:formatCode>0</c:formatCode>
                <c:ptCount val="13"/>
                <c:pt idx="0" formatCode="General">
                  <c:v>#N/A</c:v>
                </c:pt>
                <c:pt idx="1">
                  <c:v>21102</c:v>
                </c:pt>
                <c:pt idx="2">
                  <c:v>21984.9</c:v>
                </c:pt>
                <c:pt idx="3">
                  <c:v>20805.989999999998</c:v>
                </c:pt>
                <c:pt idx="4">
                  <c:v>19997.798999999999</c:v>
                </c:pt>
                <c:pt idx="5">
                  <c:v>20195.079899999997</c:v>
                </c:pt>
                <c:pt idx="6">
                  <c:v>21455.007989999998</c:v>
                </c:pt>
                <c:pt idx="7">
                  <c:v>20537.900799000003</c:v>
                </c:pt>
                <c:pt idx="8">
                  <c:v>20226.590079900001</c:v>
                </c:pt>
                <c:pt idx="9">
                  <c:v>20448.359007990002</c:v>
                </c:pt>
                <c:pt idx="10">
                  <c:v>22048.235900799002</c:v>
                </c:pt>
                <c:pt idx="11">
                  <c:v>21287.523590079902</c:v>
                </c:pt>
                <c:pt idx="12">
                  <c:v>20473.452359007992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9-4C68-8CDF-AEC116D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48624"/>
        <c:axId val="1939951024"/>
      </c:lineChart>
      <c:catAx>
        <c:axId val="19399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資料點</a:t>
                </a:r>
              </a:p>
            </c:rich>
          </c:tx>
          <c:overlay val="0"/>
        </c:title>
        <c:majorTickMark val="out"/>
        <c:minorTickMark val="none"/>
        <c:tickLblPos val="nextTo"/>
        <c:crossAx val="1939951024"/>
        <c:crosses val="autoZero"/>
        <c:auto val="1"/>
        <c:lblAlgn val="ctr"/>
        <c:lblOffset val="100"/>
        <c:noMultiLvlLbl val="0"/>
      </c:catAx>
      <c:valAx>
        <c:axId val="193995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948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單指數平滑法 </a:t>
            </a:r>
            <a:r>
              <a:rPr lang="en-US" altLang="zh-TW"/>
              <a:t>Damping = 0.001</a:t>
            </a:r>
            <a:endParaRPr lang="zh-TW" altLang="en-US"/>
          </a:p>
        </c:rich>
      </c:tx>
      <c:layout>
        <c:manualLayout>
          <c:xMode val="edge"/>
          <c:yMode val="edge"/>
          <c:x val="0.31333334020243586"/>
          <c:y val="3.054101851170490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實際</c:v>
          </c:tx>
          <c:val>
            <c:numRef>
              <c:f>平滑指數!$U$44:$U$56</c:f>
              <c:numCache>
                <c:formatCode>General</c:formatCode>
                <c:ptCount val="13"/>
                <c:pt idx="0">
                  <c:v>9300</c:v>
                </c:pt>
                <c:pt idx="1">
                  <c:v>9500</c:v>
                </c:pt>
                <c:pt idx="2">
                  <c:v>17000</c:v>
                </c:pt>
                <c:pt idx="3">
                  <c:v>23500</c:v>
                </c:pt>
                <c:pt idx="4">
                  <c:v>24520</c:v>
                </c:pt>
                <c:pt idx="5">
                  <c:v>17640</c:v>
                </c:pt>
                <c:pt idx="6">
                  <c:v>19700</c:v>
                </c:pt>
                <c:pt idx="7">
                  <c:v>27400</c:v>
                </c:pt>
                <c:pt idx="8">
                  <c:v>29540</c:v>
                </c:pt>
                <c:pt idx="9">
                  <c:v>25230</c:v>
                </c:pt>
                <c:pt idx="10">
                  <c:v>27450</c:v>
                </c:pt>
                <c:pt idx="11">
                  <c:v>33700</c:v>
                </c:pt>
                <c:pt idx="12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6-4B58-9AC4-BF77790D9CC5}"/>
            </c:ext>
          </c:extLst>
        </c:ser>
        <c:ser>
          <c:idx val="1"/>
          <c:order val="1"/>
          <c:tx>
            <c:v>預測</c:v>
          </c:tx>
          <c:val>
            <c:numRef>
              <c:f>平滑指數!$Z$44:$Z$56</c:f>
              <c:numCache>
                <c:formatCode>General</c:formatCode>
                <c:ptCount val="13"/>
                <c:pt idx="0">
                  <c:v>#N/A</c:v>
                </c:pt>
                <c:pt idx="1">
                  <c:v>9300</c:v>
                </c:pt>
                <c:pt idx="2">
                  <c:v>9499.98</c:v>
                </c:pt>
                <c:pt idx="3">
                  <c:v>16999.249997999999</c:v>
                </c:pt>
                <c:pt idx="4">
                  <c:v>23499.349924999802</c:v>
                </c:pt>
                <c:pt idx="5">
                  <c:v>24519.897934992499</c:v>
                </c:pt>
                <c:pt idx="6">
                  <c:v>17640.6879897935</c:v>
                </c:pt>
                <c:pt idx="7">
                  <c:v>19699.794068798979</c:v>
                </c:pt>
                <c:pt idx="8">
                  <c:v>27399.229979406882</c:v>
                </c:pt>
                <c:pt idx="9">
                  <c:v>29539.785922997944</c:v>
                </c:pt>
                <c:pt idx="10">
                  <c:v>25230.4309785923</c:v>
                </c:pt>
                <c:pt idx="11">
                  <c:v>27449.77804309786</c:v>
                </c:pt>
                <c:pt idx="12">
                  <c:v>33699.374977804306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6-4B58-9AC4-BF77790D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93392"/>
        <c:axId val="149798672"/>
      </c:lineChart>
      <c:catAx>
        <c:axId val="1497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資料點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798672"/>
        <c:crosses val="autoZero"/>
        <c:auto val="1"/>
        <c:lblAlgn val="ctr"/>
        <c:lblOffset val="100"/>
        <c:noMultiLvlLbl val="0"/>
      </c:catAx>
      <c:valAx>
        <c:axId val="14979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9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新細明體" panose="02020500000000000000" pitchFamily="18" charset="-120"/>
              </a:rPr>
              <a:t>ABC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新細明體" panose="02020500000000000000" pitchFamily="18" charset="-120"/>
              </a:rPr>
              <a:t> 分析 成本</a:t>
            </a:r>
          </a:p>
        </cx:rich>
      </cx:tx>
    </cx:title>
    <cx:plotArea>
      <cx:plotAreaRegion>
        <cx:series layoutId="clusteredColumn" uniqueId="{2E1B3C88-B606-4946-AD14-BC7E51337F6B}">
          <cx:tx>
            <cx:txData>
              <cx:f>_xlchart.v1.1</cx:f>
              <cx:v>全年總成本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0E86883-B353-422E-851C-EF8D7686E2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新細明體" panose="02020500000000000000" pitchFamily="18" charset="-120"/>
              </a:rPr>
              <a:t>盒鬚圖</a:t>
            </a:r>
            <a:endParaRPr lang="en-US" altLang="zh-TW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66ED857-35C5-43EB-96D7-2C583418CF0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4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</xdr:row>
      <xdr:rowOff>19050</xdr:rowOff>
    </xdr:from>
    <xdr:to>
      <xdr:col>17</xdr:col>
      <xdr:colOff>461962</xdr:colOff>
      <xdr:row>14</xdr:row>
      <xdr:rowOff>38100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33704A0E-7E53-4F12-F435-7752093A2ED3}"/>
            </a:ext>
          </a:extLst>
        </xdr:cNvPr>
        <xdr:cNvGrpSpPr/>
      </xdr:nvGrpSpPr>
      <xdr:grpSpPr>
        <a:xfrm>
          <a:off x="8644497" y="226359"/>
          <a:ext cx="4222377" cy="2714065"/>
          <a:chOff x="5081587" y="190500"/>
          <a:chExt cx="4572000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圖表 1">
                <a:extLst>
                  <a:ext uri="{FF2B5EF4-FFF2-40B4-BE49-F238E27FC236}">
                    <a16:creationId xmlns:a16="http://schemas.microsoft.com/office/drawing/2014/main" id="{99B74FD2-A45B-8D26-F50E-53B79FED015B}"/>
                  </a:ext>
                </a:extLst>
              </xdr:cNvPr>
              <xdr:cNvGraphicFramePr/>
            </xdr:nvGraphicFramePr>
            <xdr:xfrm>
              <a:off x="5081587" y="190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081587" y="1905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TW" altLang="en-US" sz="1100"/>
                  <a:t>此圖表在您的 Excel 版本中無法使用。
若編輯此圖案或將此活頁簿儲存為不同格式，將永久破壞圖表。</a:t>
                </a:r>
              </a:p>
            </xdr:txBody>
          </xdr:sp>
        </mc:Fallback>
      </mc:AlternateContent>
      <xdr:cxnSp macro="">
        <xdr:nvCxnSpPr>
          <xdr:cNvPr id="6" name="直線單箭頭接點 5">
            <a:extLst>
              <a:ext uri="{FF2B5EF4-FFF2-40B4-BE49-F238E27FC236}">
                <a16:creationId xmlns:a16="http://schemas.microsoft.com/office/drawing/2014/main" id="{8C6576EE-A736-0533-4F0D-219A6A5D4F4B}"/>
              </a:ext>
            </a:extLst>
          </xdr:cNvPr>
          <xdr:cNvCxnSpPr/>
        </xdr:nvCxnSpPr>
        <xdr:spPr>
          <a:xfrm>
            <a:off x="6238875" y="1247775"/>
            <a:ext cx="9525" cy="619125"/>
          </a:xfrm>
          <a:prstGeom prst="straightConnector1">
            <a:avLst/>
          </a:prstGeom>
          <a:ln w="57150">
            <a:solidFill>
              <a:srgbClr val="FF000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單箭頭接點 6">
            <a:extLst>
              <a:ext uri="{FF2B5EF4-FFF2-40B4-BE49-F238E27FC236}">
                <a16:creationId xmlns:a16="http://schemas.microsoft.com/office/drawing/2014/main" id="{BB37DE12-F8A5-4CE8-89DF-1002C6E49A9C}"/>
              </a:ext>
            </a:extLst>
          </xdr:cNvPr>
          <xdr:cNvCxnSpPr/>
        </xdr:nvCxnSpPr>
        <xdr:spPr>
          <a:xfrm>
            <a:off x="8058150" y="790575"/>
            <a:ext cx="9525" cy="619125"/>
          </a:xfrm>
          <a:prstGeom prst="straightConnector1">
            <a:avLst/>
          </a:prstGeom>
          <a:ln w="57150">
            <a:solidFill>
              <a:srgbClr val="FF0000"/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id="{71D21333-3D83-3E66-2EF9-9012BAC238FE}"/>
              </a:ext>
            </a:extLst>
          </xdr:cNvPr>
          <xdr:cNvSpPr txBox="1"/>
        </xdr:nvSpPr>
        <xdr:spPr>
          <a:xfrm>
            <a:off x="5934075" y="1038225"/>
            <a:ext cx="312265" cy="374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800" b="1">
                <a:solidFill>
                  <a:srgbClr val="0000FF"/>
                </a:solidFill>
              </a:rPr>
              <a:t>A</a:t>
            </a:r>
            <a:endParaRPr lang="zh-TW" altLang="en-US" sz="1800" b="1">
              <a:solidFill>
                <a:srgbClr val="0000FF"/>
              </a:solidFill>
            </a:endParaRPr>
          </a:p>
        </xdr:txBody>
      </xdr: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B708D070-1251-48B1-8D75-E1B6FE75E8F4}"/>
              </a:ext>
            </a:extLst>
          </xdr:cNvPr>
          <xdr:cNvSpPr txBox="1"/>
        </xdr:nvSpPr>
        <xdr:spPr>
          <a:xfrm>
            <a:off x="7019925" y="1038225"/>
            <a:ext cx="313484" cy="374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800" b="1">
                <a:solidFill>
                  <a:srgbClr val="0000FF"/>
                </a:solidFill>
              </a:rPr>
              <a:t>B</a:t>
            </a:r>
            <a:endParaRPr lang="zh-TW" altLang="en-US" sz="1800" b="1">
              <a:solidFill>
                <a:srgbClr val="0000FF"/>
              </a:solidFill>
            </a:endParaRPr>
          </a:p>
        </xdr:txBody>
      </xdr: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808C3163-CEA1-4D93-82AE-59E4B6AE555E}"/>
              </a:ext>
            </a:extLst>
          </xdr:cNvPr>
          <xdr:cNvSpPr txBox="1"/>
        </xdr:nvSpPr>
        <xdr:spPr>
          <a:xfrm>
            <a:off x="8320087" y="1057275"/>
            <a:ext cx="330988" cy="374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800" b="1">
                <a:solidFill>
                  <a:srgbClr val="0000FF"/>
                </a:solidFill>
              </a:rPr>
              <a:t>C</a:t>
            </a:r>
            <a:endParaRPr lang="zh-TW" altLang="en-US" sz="1800" b="1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11</xdr:col>
      <xdr:colOff>4762</xdr:colOff>
      <xdr:row>15</xdr:row>
      <xdr:rowOff>0</xdr:rowOff>
    </xdr:from>
    <xdr:to>
      <xdr:col>17</xdr:col>
      <xdr:colOff>461962</xdr:colOff>
      <xdr:row>28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8098A39-E221-DB51-40ED-EE0FC39B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25</xdr:row>
      <xdr:rowOff>38100</xdr:rowOff>
    </xdr:from>
    <xdr:to>
      <xdr:col>17</xdr:col>
      <xdr:colOff>361950</xdr:colOff>
      <xdr:row>25</xdr:row>
      <xdr:rowOff>57150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67B122C8-24DF-4A4E-17E1-B58996695331}"/>
            </a:ext>
          </a:extLst>
        </xdr:cNvPr>
        <xdr:cNvCxnSpPr/>
      </xdr:nvCxnSpPr>
      <xdr:spPr>
        <a:xfrm flipV="1">
          <a:off x="9705975" y="5276850"/>
          <a:ext cx="4076700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24</xdr:row>
      <xdr:rowOff>9525</xdr:rowOff>
    </xdr:from>
    <xdr:to>
      <xdr:col>17</xdr:col>
      <xdr:colOff>314325</xdr:colOff>
      <xdr:row>24</xdr:row>
      <xdr:rowOff>28575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3632C897-97F8-4287-BDE9-983800A0F606}"/>
            </a:ext>
          </a:extLst>
        </xdr:cNvPr>
        <xdr:cNvCxnSpPr/>
      </xdr:nvCxnSpPr>
      <xdr:spPr>
        <a:xfrm flipV="1">
          <a:off x="9658350" y="5038725"/>
          <a:ext cx="4076700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0.04653</cdr:x>
      <cdr:y>0.75463</cdr:y>
    </cdr:from>
    <cdr:to>
      <cdr:x>0.11483</cdr:x>
      <cdr:y>0.89099</cdr:y>
    </cdr:to>
    <cdr:sp macro="" textlink="">
      <cdr:nvSpPr>
        <cdr:cNvPr id="2" name="文字方塊 7">
          <a:extLst xmlns:a="http://schemas.openxmlformats.org/drawingml/2006/main">
            <a:ext uri="{FF2B5EF4-FFF2-40B4-BE49-F238E27FC236}">
              <a16:creationId xmlns:a16="http://schemas.microsoft.com/office/drawing/2014/main" id="{71D21333-3D83-3E66-2EF9-9012BAC238FE}"/>
            </a:ext>
          </a:extLst>
        </cdr:cNvPr>
        <cdr:cNvSpPr txBox="1"/>
      </cdr:nvSpPr>
      <cdr:spPr>
        <a:xfrm xmlns:a="http://schemas.openxmlformats.org/drawingml/2006/main">
          <a:off x="212725" y="2070100"/>
          <a:ext cx="312265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 b="1">
              <a:solidFill>
                <a:srgbClr val="0000FF"/>
              </a:solidFill>
            </a:rPr>
            <a:t>X</a:t>
          </a:r>
          <a:endParaRPr lang="zh-TW" altLang="en-US" sz="18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0.04653</cdr:x>
      <cdr:y>0.56713</cdr:y>
    </cdr:from>
    <cdr:to>
      <cdr:x>0.11483</cdr:x>
      <cdr:y>0.70349</cdr:y>
    </cdr:to>
    <cdr:sp macro="" textlink="">
      <cdr:nvSpPr>
        <cdr:cNvPr id="3" name="文字方塊 7">
          <a:extLst xmlns:a="http://schemas.openxmlformats.org/drawingml/2006/main">
            <a:ext uri="{FF2B5EF4-FFF2-40B4-BE49-F238E27FC236}">
              <a16:creationId xmlns:a16="http://schemas.microsoft.com/office/drawing/2014/main" id="{CCF3FA09-49DA-A681-7B04-8019E879F413}"/>
            </a:ext>
          </a:extLst>
        </cdr:cNvPr>
        <cdr:cNvSpPr txBox="1"/>
      </cdr:nvSpPr>
      <cdr:spPr>
        <a:xfrm xmlns:a="http://schemas.openxmlformats.org/drawingml/2006/main">
          <a:off x="212725" y="1555750"/>
          <a:ext cx="312265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 b="1">
              <a:solidFill>
                <a:srgbClr val="0000FF"/>
              </a:solidFill>
            </a:rPr>
            <a:t>Z</a:t>
          </a:r>
          <a:endParaRPr lang="zh-TW" altLang="en-US" sz="1800" b="1">
            <a:solidFill>
              <a:srgbClr val="0000FF"/>
            </a:solidFill>
          </a:endParaRPr>
        </a:p>
      </cdr:txBody>
    </cdr:sp>
  </cdr:relSizeAnchor>
  <cdr:relSizeAnchor xmlns:cdr="http://schemas.openxmlformats.org/drawingml/2006/chartDrawing">
    <cdr:from>
      <cdr:x>0.04653</cdr:x>
      <cdr:y>0.66435</cdr:y>
    </cdr:from>
    <cdr:to>
      <cdr:x>0.11483</cdr:x>
      <cdr:y>0.80072</cdr:y>
    </cdr:to>
    <cdr:sp macro="" textlink="">
      <cdr:nvSpPr>
        <cdr:cNvPr id="4" name="文字方塊 7">
          <a:extLst xmlns:a="http://schemas.openxmlformats.org/drawingml/2006/main">
            <a:ext uri="{FF2B5EF4-FFF2-40B4-BE49-F238E27FC236}">
              <a16:creationId xmlns:a16="http://schemas.microsoft.com/office/drawing/2014/main" id="{B586457A-15F7-4F1F-6549-A357E2BC5713}"/>
            </a:ext>
          </a:extLst>
        </cdr:cNvPr>
        <cdr:cNvSpPr txBox="1"/>
      </cdr:nvSpPr>
      <cdr:spPr>
        <a:xfrm xmlns:a="http://schemas.openxmlformats.org/drawingml/2006/main">
          <a:off x="212725" y="1822450"/>
          <a:ext cx="312265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 b="1">
              <a:solidFill>
                <a:srgbClr val="0000FF"/>
              </a:solidFill>
            </a:rPr>
            <a:t>Y</a:t>
          </a:r>
          <a:endParaRPr lang="zh-TW" altLang="en-US" sz="1800" b="1">
            <a:solidFill>
              <a:srgbClr val="0000FF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3810</xdr:rowOff>
    </xdr:from>
    <xdr:to>
      <xdr:col>10</xdr:col>
      <xdr:colOff>556260</xdr:colOff>
      <xdr:row>23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52DE5A32-16F2-241B-373A-B9020A5D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9055" y="2470785"/>
              <a:ext cx="4988243" cy="2439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4</xdr:col>
      <xdr:colOff>76200</xdr:colOff>
      <xdr:row>0</xdr:row>
      <xdr:rowOff>198120</xdr:rowOff>
    </xdr:from>
    <xdr:to>
      <xdr:col>10</xdr:col>
      <xdr:colOff>403860</xdr:colOff>
      <xdr:row>11</xdr:row>
      <xdr:rowOff>30480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FC8C555-1215-1DE4-CB67-1ADED3B1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594360</xdr:colOff>
      <xdr:row>12</xdr:row>
      <xdr:rowOff>144780</xdr:rowOff>
    </xdr:from>
    <xdr:ext cx="607859" cy="275717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3459814D-E3DD-EDE1-D18D-6F88952CE060}"/>
            </a:ext>
          </a:extLst>
        </xdr:cNvPr>
        <xdr:cNvSpPr txBox="1"/>
      </xdr:nvSpPr>
      <xdr:spPr>
        <a:xfrm>
          <a:off x="3848100" y="262890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需求量</a:t>
          </a:r>
        </a:p>
      </xdr:txBody>
    </xdr:sp>
    <xdr:clientData/>
  </xdr:oneCellAnchor>
  <xdr:oneCellAnchor>
    <xdr:from>
      <xdr:col>7</xdr:col>
      <xdr:colOff>434340</xdr:colOff>
      <xdr:row>14</xdr:row>
      <xdr:rowOff>144780</xdr:rowOff>
    </xdr:from>
    <xdr:ext cx="607859" cy="275717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1DD0E367-4CB9-4F2F-9774-E7572E75D44D}"/>
            </a:ext>
          </a:extLst>
        </xdr:cNvPr>
        <xdr:cNvSpPr txBox="1"/>
      </xdr:nvSpPr>
      <xdr:spPr>
        <a:xfrm>
          <a:off x="6126480" y="304038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離群點</a:t>
          </a:r>
        </a:p>
      </xdr:txBody>
    </xdr:sp>
    <xdr:clientData/>
  </xdr:oneCellAnchor>
  <xdr:oneCellAnchor>
    <xdr:from>
      <xdr:col>7</xdr:col>
      <xdr:colOff>396240</xdr:colOff>
      <xdr:row>18</xdr:row>
      <xdr:rowOff>114300</xdr:rowOff>
    </xdr:from>
    <xdr:ext cx="607859" cy="275717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4956A631-D341-48A9-B1BE-FAEBF0B45408}"/>
            </a:ext>
          </a:extLst>
        </xdr:cNvPr>
        <xdr:cNvSpPr txBox="1"/>
      </xdr:nvSpPr>
      <xdr:spPr>
        <a:xfrm>
          <a:off x="6088380" y="383286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平均值</a:t>
          </a:r>
        </a:p>
      </xdr:txBody>
    </xdr:sp>
    <xdr:clientData/>
  </xdr:oneCellAnchor>
  <xdr:oneCellAnchor>
    <xdr:from>
      <xdr:col>9</xdr:col>
      <xdr:colOff>60960</xdr:colOff>
      <xdr:row>19</xdr:row>
      <xdr:rowOff>22860</xdr:rowOff>
    </xdr:from>
    <xdr:ext cx="799834" cy="275717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E253555-FECD-4304-AFE9-EB418F93A03E}"/>
            </a:ext>
          </a:extLst>
        </xdr:cNvPr>
        <xdr:cNvSpPr txBox="1"/>
      </xdr:nvSpPr>
      <xdr:spPr>
        <a:xfrm>
          <a:off x="6972300" y="3947160"/>
          <a:ext cx="79983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中位數 </a:t>
          </a:r>
          <a:r>
            <a:rPr lang="en-US" altLang="zh-TW" sz="1100"/>
            <a:t>Q2</a:t>
          </a:r>
          <a:endParaRPr lang="zh-TW" altLang="en-US" sz="1100"/>
        </a:p>
      </xdr:txBody>
    </xdr:sp>
    <xdr:clientData/>
  </xdr:oneCellAnchor>
  <xdr:oneCellAnchor>
    <xdr:from>
      <xdr:col>9</xdr:col>
      <xdr:colOff>68580</xdr:colOff>
      <xdr:row>19</xdr:row>
      <xdr:rowOff>198120</xdr:rowOff>
    </xdr:from>
    <xdr:ext cx="350289" cy="264560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3D76F4DA-D09B-4D50-A932-DA451AD4BC89}"/>
            </a:ext>
          </a:extLst>
        </xdr:cNvPr>
        <xdr:cNvSpPr txBox="1"/>
      </xdr:nvSpPr>
      <xdr:spPr>
        <a:xfrm>
          <a:off x="6979920" y="4122420"/>
          <a:ext cx="3502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Q1</a:t>
          </a:r>
          <a:endParaRPr lang="zh-TW" altLang="en-US" sz="1100"/>
        </a:p>
      </xdr:txBody>
    </xdr:sp>
    <xdr:clientData/>
  </xdr:oneCellAnchor>
  <xdr:oneCellAnchor>
    <xdr:from>
      <xdr:col>9</xdr:col>
      <xdr:colOff>76200</xdr:colOff>
      <xdr:row>18</xdr:row>
      <xdr:rowOff>45720</xdr:rowOff>
    </xdr:from>
    <xdr:ext cx="350289" cy="264560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D3076FA4-90F6-44E3-B980-FBA7CC5FDEBC}"/>
            </a:ext>
          </a:extLst>
        </xdr:cNvPr>
        <xdr:cNvSpPr txBox="1"/>
      </xdr:nvSpPr>
      <xdr:spPr>
        <a:xfrm>
          <a:off x="6987540" y="3764280"/>
          <a:ext cx="3502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Q3</a:t>
          </a:r>
          <a:endParaRPr lang="zh-TW" altLang="en-US" sz="1100"/>
        </a:p>
      </xdr:txBody>
    </xdr:sp>
    <xdr:clientData/>
  </xdr:oneCellAnchor>
  <xdr:oneCellAnchor>
    <xdr:from>
      <xdr:col>8</xdr:col>
      <xdr:colOff>68580</xdr:colOff>
      <xdr:row>20</xdr:row>
      <xdr:rowOff>182880</xdr:rowOff>
    </xdr:from>
    <xdr:ext cx="1284262" cy="27571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7B86E288-EA37-443E-90E9-6203240438C8}"/>
            </a:ext>
          </a:extLst>
        </xdr:cNvPr>
        <xdr:cNvSpPr txBox="1"/>
      </xdr:nvSpPr>
      <xdr:spPr>
        <a:xfrm>
          <a:off x="6370320" y="4312920"/>
          <a:ext cx="12842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最小 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如無離群點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</xdr:txBody>
    </xdr:sp>
    <xdr:clientData/>
  </xdr:oneCellAnchor>
  <xdr:oneCellAnchor>
    <xdr:from>
      <xdr:col>8</xdr:col>
      <xdr:colOff>335280</xdr:colOff>
      <xdr:row>14</xdr:row>
      <xdr:rowOff>167640</xdr:rowOff>
    </xdr:from>
    <xdr:ext cx="466794" cy="275717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1BFD732F-B616-468A-A739-5F1C323B484E}"/>
            </a:ext>
          </a:extLst>
        </xdr:cNvPr>
        <xdr:cNvSpPr txBox="1"/>
      </xdr:nvSpPr>
      <xdr:spPr>
        <a:xfrm>
          <a:off x="6637020" y="306324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最大</a:t>
          </a:r>
        </a:p>
      </xdr:txBody>
    </xdr:sp>
    <xdr:clientData/>
  </xdr:oneCellAnchor>
  <xdr:oneCellAnchor>
    <xdr:from>
      <xdr:col>8</xdr:col>
      <xdr:colOff>68580</xdr:colOff>
      <xdr:row>17</xdr:row>
      <xdr:rowOff>76200</xdr:rowOff>
    </xdr:from>
    <xdr:ext cx="1284262" cy="27571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9510920C-E586-41A6-8505-A3D09C1F39E3}"/>
            </a:ext>
          </a:extLst>
        </xdr:cNvPr>
        <xdr:cNvSpPr txBox="1"/>
      </xdr:nvSpPr>
      <xdr:spPr>
        <a:xfrm>
          <a:off x="6370320" y="3589020"/>
          <a:ext cx="12842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最大 </a:t>
          </a:r>
          <a:r>
            <a:rPr lang="en-US" altLang="zh-TW" sz="1100"/>
            <a:t>(</a:t>
          </a:r>
          <a:r>
            <a:rPr lang="zh-TW" altLang="en-US" sz="1100"/>
            <a:t>如無離群點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514937</xdr:colOff>
      <xdr:row>1</xdr:row>
      <xdr:rowOff>20276</xdr:rowOff>
    </xdr:from>
    <xdr:to>
      <xdr:col>50</xdr:col>
      <xdr:colOff>298291</xdr:colOff>
      <xdr:row>17</xdr:row>
      <xdr:rowOff>193167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252CD6F-703F-B6ED-3C8E-68F27C0B5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471714</xdr:colOff>
      <xdr:row>0</xdr:row>
      <xdr:rowOff>208643</xdr:rowOff>
    </xdr:from>
    <xdr:to>
      <xdr:col>59</xdr:col>
      <xdr:colOff>36286</xdr:colOff>
      <xdr:row>17</xdr:row>
      <xdr:rowOff>145142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085055E-AD8D-60AE-4CF7-BF7A9902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226868</xdr:colOff>
      <xdr:row>19</xdr:row>
      <xdr:rowOff>81973</xdr:rowOff>
    </xdr:from>
    <xdr:to>
      <xdr:col>53</xdr:col>
      <xdr:colOff>138545</xdr:colOff>
      <xdr:row>36</xdr:row>
      <xdr:rowOff>69273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AD0796C-BAE1-6973-8B76-11A5AE2F5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56353</xdr:colOff>
      <xdr:row>0</xdr:row>
      <xdr:rowOff>95478</xdr:rowOff>
    </xdr:from>
    <xdr:to>
      <xdr:col>28</xdr:col>
      <xdr:colOff>66902</xdr:colOff>
      <xdr:row>22</xdr:row>
      <xdr:rowOff>141741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D8C17C-6760-83AF-01EC-544FBEEC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19743</xdr:colOff>
      <xdr:row>42</xdr:row>
      <xdr:rowOff>178723</xdr:rowOff>
    </xdr:from>
    <xdr:to>
      <xdr:col>15</xdr:col>
      <xdr:colOff>404552</xdr:colOff>
      <xdr:row>56</xdr:row>
      <xdr:rowOff>39485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10BA655-6470-CC96-68BF-1F16DFC9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362528</xdr:colOff>
      <xdr:row>18</xdr:row>
      <xdr:rowOff>105064</xdr:rowOff>
    </xdr:from>
    <xdr:to>
      <xdr:col>14</xdr:col>
      <xdr:colOff>304800</xdr:colOff>
      <xdr:row>28</xdr:row>
      <xdr:rowOff>105064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793E59F-EA90-17B0-EECE-10B2F69FB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459921</xdr:colOff>
      <xdr:row>40</xdr:row>
      <xdr:rowOff>85725</xdr:rowOff>
    </xdr:from>
    <xdr:to>
      <xdr:col>32</xdr:col>
      <xdr:colOff>464003</xdr:colOff>
      <xdr:row>50</xdr:row>
      <xdr:rowOff>42182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CA0FF46-574A-9B18-210A-279BADFFC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666749</xdr:colOff>
      <xdr:row>50</xdr:row>
      <xdr:rowOff>122464</xdr:rowOff>
    </xdr:from>
    <xdr:to>
      <xdr:col>17</xdr:col>
      <xdr:colOff>108857</xdr:colOff>
      <xdr:row>62</xdr:row>
      <xdr:rowOff>68715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8CDFDBE-EF1A-34AD-52B2-851E6389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89766</xdr:rowOff>
    </xdr:from>
    <xdr:to>
      <xdr:col>23</xdr:col>
      <xdr:colOff>77643</xdr:colOff>
      <xdr:row>23</xdr:row>
      <xdr:rowOff>175779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AE469F-75A7-5453-4F99-7896A39BF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219364</xdr:colOff>
      <xdr:row>0</xdr:row>
      <xdr:rowOff>91669</xdr:rowOff>
    </xdr:from>
    <xdr:to>
      <xdr:col>17</xdr:col>
      <xdr:colOff>228433</xdr:colOff>
      <xdr:row>19</xdr:row>
      <xdr:rowOff>171037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3B9A52A-3431-093E-920B-82726DA87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1546" y="91669"/>
          <a:ext cx="4904343" cy="4247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6A17E-9CA1-4F67-867F-99498B0E950E}" name="表格1" displayName="表格1" ref="A1:E14" totalsRowShown="0">
  <autoFilter ref="A1:E14" xr:uid="{C006A17E-9CA1-4F67-867F-99498B0E950E}"/>
  <tableColumns count="5">
    <tableColumn id="1" xr3:uid="{F7E846AB-4415-4404-B782-4ABAAF93E5F3}" name="期數 t" dataDxfId="3"/>
    <tableColumn id="2" xr3:uid="{712A8851-B348-411E-B46B-78D60B053E62}" name="實際需求 A_t"/>
    <tableColumn id="3" xr3:uid="{B146B0C2-9509-4D92-8D91-8B5E2BBADB19}" name="趨勢預測(實際需求 A_t)" dataDxfId="2">
      <calculatedColumnFormula>_xlfn.FORECAST.ETS(A2,$B$2:$B$10,$A$2:$A$10,4,1)</calculatedColumnFormula>
    </tableColumn>
    <tableColumn id="4" xr3:uid="{EEB128B7-0668-4BC4-AFB2-B82B1789E258}" name="較低的信賴繫結(實際需求 A_t)" dataDxfId="1">
      <calculatedColumnFormula>C2-_xlfn.FORECAST.ETS.CONFINT(A2,$B$2:$B$10,$A$2:$A$10,0.95,4,1)</calculatedColumnFormula>
    </tableColumn>
    <tableColumn id="5" xr3:uid="{BA99FEB1-E380-4AB7-8DEA-A96E3686DD4E}" name="較高的信賴繫結(實際需求 A_t)" dataDxfId="0">
      <calculatedColumnFormula>C2+_xlfn.FORECAST.ETS.CONFINT(A2,$B$2:$B$10,$A$2:$A$10,0.95,4,1)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1960A52-149A-4251-81F9-40F35A2D08C9}">
  <we:reference id="wa200004894" version="1.0.0.0" store="en-US" storeType="OMEX"/>
  <we:alternateReferences>
    <we:reference id="WA200004894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9CAB-0FBB-4785-BE1F-0F197E761C90}">
  <dimension ref="C1:J23"/>
  <sheetViews>
    <sheetView zoomScale="85" zoomScaleNormal="85" workbookViewId="0">
      <selection activeCell="H24" sqref="H24"/>
    </sheetView>
  </sheetViews>
  <sheetFormatPr defaultColWidth="8.796875" defaultRowHeight="16.149999999999999"/>
  <cols>
    <col min="3" max="3" width="6" style="1" bestFit="1" customWidth="1"/>
    <col min="4" max="4" width="12.46484375" bestFit="1" customWidth="1"/>
    <col min="5" max="5" width="11.46484375" bestFit="1" customWidth="1"/>
    <col min="6" max="6" width="9" style="1"/>
    <col min="7" max="7" width="14.1328125" style="1" customWidth="1"/>
    <col min="8" max="8" width="17.33203125" style="1" bestFit="1" customWidth="1"/>
    <col min="9" max="9" width="13.33203125" style="1" bestFit="1" customWidth="1"/>
    <col min="10" max="10" width="10.796875" style="1" customWidth="1"/>
  </cols>
  <sheetData>
    <row r="1" spans="3:10">
      <c r="C1" s="3" t="s">
        <v>0</v>
      </c>
      <c r="D1" s="3" t="s">
        <v>28</v>
      </c>
      <c r="E1" s="3" t="s">
        <v>2</v>
      </c>
      <c r="F1" s="3" t="s">
        <v>1</v>
      </c>
      <c r="G1" s="3" t="s">
        <v>81</v>
      </c>
      <c r="H1" s="3" t="s">
        <v>82</v>
      </c>
      <c r="I1" s="3" t="s">
        <v>29</v>
      </c>
      <c r="J1" s="3" t="s">
        <v>30</v>
      </c>
    </row>
    <row r="2" spans="3:10">
      <c r="C2" s="1" t="s">
        <v>5</v>
      </c>
      <c r="D2">
        <v>2500000</v>
      </c>
      <c r="E2" s="2">
        <f>$D2/SUM($D$2:$D$23)</f>
        <v>0.2835351158240948</v>
      </c>
      <c r="F2" s="1" t="s">
        <v>3</v>
      </c>
      <c r="G2" s="1">
        <v>6120</v>
      </c>
      <c r="H2" s="1">
        <v>1871</v>
      </c>
      <c r="I2" s="4">
        <f>H2/G2</f>
        <v>0.30571895424836604</v>
      </c>
      <c r="J2" s="1" t="s">
        <v>31</v>
      </c>
    </row>
    <row r="3" spans="3:10">
      <c r="C3" s="1" t="s">
        <v>6</v>
      </c>
      <c r="D3">
        <v>1766400</v>
      </c>
      <c r="E3" s="2">
        <f>$D3/SUM($D$2:$D$23)+E2</f>
        <v>0.48386968726076723</v>
      </c>
      <c r="F3" s="1" t="s">
        <v>3</v>
      </c>
      <c r="G3" s="1">
        <v>6082</v>
      </c>
      <c r="H3" s="1">
        <v>1824</v>
      </c>
      <c r="I3" s="4">
        <f t="shared" ref="I3:I23" si="0">H3/G3</f>
        <v>0.2999013482407103</v>
      </c>
      <c r="J3" s="1" t="s">
        <v>31</v>
      </c>
    </row>
    <row r="4" spans="3:10">
      <c r="C4" s="1" t="s">
        <v>7</v>
      </c>
      <c r="D4">
        <v>1000000</v>
      </c>
      <c r="E4" s="2">
        <f t="shared" ref="E4:E23" si="1">$D4/SUM($D$2:$D$23)+E3</f>
        <v>0.59728373359040521</v>
      </c>
      <c r="F4" s="1" t="s">
        <v>3</v>
      </c>
      <c r="G4" s="1">
        <v>110</v>
      </c>
      <c r="H4" s="1">
        <v>49</v>
      </c>
      <c r="I4" s="4">
        <f t="shared" si="0"/>
        <v>0.44545454545454544</v>
      </c>
      <c r="J4" s="1" t="s">
        <v>31</v>
      </c>
    </row>
    <row r="5" spans="3:10">
      <c r="C5" s="1" t="s">
        <v>8</v>
      </c>
      <c r="D5">
        <v>800000</v>
      </c>
      <c r="E5" s="2">
        <f t="shared" si="1"/>
        <v>0.68801497065411554</v>
      </c>
      <c r="F5" s="1" t="s">
        <v>3</v>
      </c>
      <c r="G5" s="1">
        <v>116</v>
      </c>
      <c r="H5" s="1">
        <v>42</v>
      </c>
      <c r="I5" s="4">
        <f t="shared" si="0"/>
        <v>0.36206896551724138</v>
      </c>
      <c r="J5" s="1" t="s">
        <v>31</v>
      </c>
    </row>
    <row r="6" spans="3:10">
      <c r="C6" s="1" t="s">
        <v>9</v>
      </c>
      <c r="D6">
        <v>725000</v>
      </c>
      <c r="E6" s="2">
        <f t="shared" si="1"/>
        <v>0.77024015424310299</v>
      </c>
      <c r="F6" s="1" t="s">
        <v>4</v>
      </c>
      <c r="G6" s="1">
        <v>24</v>
      </c>
      <c r="H6" s="1">
        <v>13</v>
      </c>
      <c r="I6" s="4">
        <f t="shared" si="0"/>
        <v>0.54166666666666663</v>
      </c>
      <c r="J6" s="1" t="s">
        <v>32</v>
      </c>
    </row>
    <row r="7" spans="3:10">
      <c r="C7" s="1" t="s">
        <v>10</v>
      </c>
      <c r="D7">
        <v>480000</v>
      </c>
      <c r="E7" s="2">
        <f t="shared" si="1"/>
        <v>0.82467889648132919</v>
      </c>
      <c r="F7" s="1" t="s">
        <v>4</v>
      </c>
      <c r="G7" s="1">
        <v>4090</v>
      </c>
      <c r="H7" s="1">
        <v>5661</v>
      </c>
      <c r="I7" s="4">
        <f t="shared" si="0"/>
        <v>1.3841075794621027</v>
      </c>
      <c r="J7" s="1" t="s">
        <v>33</v>
      </c>
    </row>
    <row r="8" spans="3:10">
      <c r="C8" s="1" t="s">
        <v>11</v>
      </c>
      <c r="D8">
        <v>400000</v>
      </c>
      <c r="E8" s="2">
        <f t="shared" si="1"/>
        <v>0.87004451501318436</v>
      </c>
      <c r="F8" s="1" t="s">
        <v>4</v>
      </c>
      <c r="G8" s="1">
        <v>726</v>
      </c>
      <c r="H8" s="1">
        <v>197</v>
      </c>
      <c r="I8" s="4">
        <f t="shared" si="0"/>
        <v>0.27134986225895319</v>
      </c>
      <c r="J8" s="1" t="s">
        <v>31</v>
      </c>
    </row>
    <row r="9" spans="3:10">
      <c r="C9" s="1" t="s">
        <v>12</v>
      </c>
      <c r="D9">
        <v>245000</v>
      </c>
      <c r="E9" s="2">
        <f t="shared" si="1"/>
        <v>0.89783095636394561</v>
      </c>
      <c r="F9" s="1" t="s">
        <v>4</v>
      </c>
      <c r="G9" s="1">
        <v>388</v>
      </c>
      <c r="H9" s="1">
        <v>169</v>
      </c>
      <c r="I9" s="4">
        <f t="shared" si="0"/>
        <v>0.43556701030927836</v>
      </c>
      <c r="J9" s="1" t="s">
        <v>31</v>
      </c>
    </row>
    <row r="10" spans="3:10">
      <c r="C10" s="1" t="s">
        <v>13</v>
      </c>
      <c r="D10">
        <v>175000</v>
      </c>
      <c r="E10" s="2">
        <f t="shared" si="1"/>
        <v>0.91767841447163223</v>
      </c>
      <c r="F10" s="1" t="s">
        <v>4</v>
      </c>
      <c r="G10" s="1">
        <v>38</v>
      </c>
      <c r="H10" s="1">
        <v>21</v>
      </c>
      <c r="I10" s="4">
        <f t="shared" si="0"/>
        <v>0.55263157894736847</v>
      </c>
      <c r="J10" s="1" t="s">
        <v>32</v>
      </c>
    </row>
    <row r="11" spans="3:10">
      <c r="C11" s="1" t="s">
        <v>14</v>
      </c>
      <c r="D11">
        <v>135000</v>
      </c>
      <c r="E11" s="2">
        <f t="shared" si="1"/>
        <v>0.93298931072613334</v>
      </c>
      <c r="F11" s="1" t="s">
        <v>4</v>
      </c>
      <c r="G11" s="1">
        <v>52</v>
      </c>
      <c r="H11" s="1">
        <v>30</v>
      </c>
      <c r="I11" s="4">
        <f t="shared" si="0"/>
        <v>0.57692307692307687</v>
      </c>
      <c r="J11" s="1" t="s">
        <v>32</v>
      </c>
    </row>
    <row r="12" spans="3:10">
      <c r="C12" s="1" t="s">
        <v>15</v>
      </c>
      <c r="D12">
        <v>108000</v>
      </c>
      <c r="E12" s="2">
        <f t="shared" si="1"/>
        <v>0.9452380277297342</v>
      </c>
      <c r="F12" s="1" t="s">
        <v>4</v>
      </c>
      <c r="G12" s="1">
        <v>156</v>
      </c>
      <c r="H12" s="1">
        <v>91</v>
      </c>
      <c r="I12" s="4">
        <f t="shared" si="0"/>
        <v>0.58333333333333337</v>
      </c>
      <c r="J12" s="1" t="s">
        <v>32</v>
      </c>
    </row>
    <row r="13" spans="3:10">
      <c r="C13" s="1" t="s">
        <v>16</v>
      </c>
      <c r="D13">
        <v>90000</v>
      </c>
      <c r="E13" s="2">
        <f t="shared" si="1"/>
        <v>0.95544529189940164</v>
      </c>
      <c r="F13" s="1" t="s">
        <v>27</v>
      </c>
      <c r="G13" s="1">
        <v>1</v>
      </c>
      <c r="H13" s="1">
        <v>4</v>
      </c>
      <c r="I13" s="4">
        <f t="shared" si="0"/>
        <v>4</v>
      </c>
      <c r="J13" s="1" t="s">
        <v>33</v>
      </c>
    </row>
    <row r="14" spans="3:10">
      <c r="C14" s="1" t="s">
        <v>17</v>
      </c>
      <c r="D14">
        <v>85000</v>
      </c>
      <c r="E14" s="2">
        <f t="shared" si="1"/>
        <v>0.96508548583742082</v>
      </c>
      <c r="F14" s="1" t="s">
        <v>27</v>
      </c>
      <c r="G14" s="1">
        <v>188</v>
      </c>
      <c r="H14" s="1">
        <v>68</v>
      </c>
      <c r="I14" s="4">
        <f t="shared" si="0"/>
        <v>0.36170212765957449</v>
      </c>
      <c r="J14" s="1" t="s">
        <v>31</v>
      </c>
    </row>
    <row r="15" spans="3:10">
      <c r="C15" s="1" t="s">
        <v>18</v>
      </c>
      <c r="D15">
        <v>80000</v>
      </c>
      <c r="E15" s="2">
        <f t="shared" si="1"/>
        <v>0.97415860954379185</v>
      </c>
      <c r="F15" s="1" t="s">
        <v>27</v>
      </c>
      <c r="G15" s="1">
        <v>25</v>
      </c>
      <c r="H15" s="1">
        <v>8</v>
      </c>
      <c r="I15" s="4">
        <f t="shared" si="0"/>
        <v>0.32</v>
      </c>
      <c r="J15" s="1" t="s">
        <v>31</v>
      </c>
    </row>
    <row r="16" spans="3:10">
      <c r="C16" s="1" t="s">
        <v>19</v>
      </c>
      <c r="D16">
        <v>66000</v>
      </c>
      <c r="E16" s="2">
        <f t="shared" si="1"/>
        <v>0.98164393660154792</v>
      </c>
      <c r="F16" s="1" t="s">
        <v>27</v>
      </c>
      <c r="G16" s="1">
        <v>122</v>
      </c>
      <c r="H16" s="1">
        <v>57</v>
      </c>
      <c r="I16" s="4">
        <f t="shared" si="0"/>
        <v>0.46721311475409838</v>
      </c>
      <c r="J16" s="1" t="s">
        <v>31</v>
      </c>
    </row>
    <row r="17" spans="3:10">
      <c r="C17" s="1" t="s">
        <v>20</v>
      </c>
      <c r="D17">
        <v>60000</v>
      </c>
      <c r="E17" s="2">
        <f t="shared" si="1"/>
        <v>0.98844877938132614</v>
      </c>
      <c r="F17" s="1" t="s">
        <v>27</v>
      </c>
      <c r="G17" s="1">
        <v>63</v>
      </c>
      <c r="H17" s="1">
        <v>37</v>
      </c>
      <c r="I17" s="4">
        <f t="shared" si="0"/>
        <v>0.58730158730158732</v>
      </c>
      <c r="J17" s="1" t="s">
        <v>31</v>
      </c>
    </row>
    <row r="18" spans="3:10">
      <c r="C18" s="1" t="s">
        <v>21</v>
      </c>
      <c r="D18">
        <v>45000</v>
      </c>
      <c r="E18" s="2">
        <f t="shared" si="1"/>
        <v>0.9935524114661598</v>
      </c>
      <c r="F18" s="1" t="s">
        <v>27</v>
      </c>
      <c r="G18" s="1">
        <v>7</v>
      </c>
      <c r="H18" s="1">
        <v>4</v>
      </c>
      <c r="I18" s="4">
        <f t="shared" si="0"/>
        <v>0.5714285714285714</v>
      </c>
      <c r="J18" s="1" t="s">
        <v>31</v>
      </c>
    </row>
    <row r="19" spans="3:10">
      <c r="C19" s="1" t="s">
        <v>22</v>
      </c>
      <c r="D19">
        <v>41800</v>
      </c>
      <c r="E19" s="2">
        <f t="shared" si="1"/>
        <v>0.99829311860273862</v>
      </c>
      <c r="F19" s="1" t="s">
        <v>27</v>
      </c>
      <c r="G19" s="1">
        <v>6</v>
      </c>
      <c r="H19" s="1">
        <v>4</v>
      </c>
      <c r="I19" s="4">
        <f t="shared" si="0"/>
        <v>0.66666666666666663</v>
      </c>
      <c r="J19" s="1" t="s">
        <v>31</v>
      </c>
    </row>
    <row r="20" spans="3:10">
      <c r="C20" s="1" t="s">
        <v>23</v>
      </c>
      <c r="D20">
        <v>4500</v>
      </c>
      <c r="E20" s="2">
        <f t="shared" si="1"/>
        <v>0.99880348181122203</v>
      </c>
      <c r="F20" s="1" t="s">
        <v>27</v>
      </c>
      <c r="G20" s="1">
        <v>1</v>
      </c>
      <c r="H20" s="1">
        <v>4</v>
      </c>
      <c r="I20" s="4">
        <f t="shared" si="0"/>
        <v>4</v>
      </c>
      <c r="J20" s="1" t="s">
        <v>33</v>
      </c>
    </row>
    <row r="21" spans="3:10">
      <c r="C21" s="1" t="s">
        <v>24</v>
      </c>
      <c r="D21">
        <v>3600</v>
      </c>
      <c r="E21" s="2">
        <f t="shared" si="1"/>
        <v>0.99921177237800873</v>
      </c>
      <c r="F21" s="1" t="s">
        <v>27</v>
      </c>
      <c r="G21" s="1">
        <v>2</v>
      </c>
      <c r="H21" s="1">
        <v>5</v>
      </c>
      <c r="I21" s="4">
        <f t="shared" si="0"/>
        <v>2.5</v>
      </c>
      <c r="J21" s="1" t="s">
        <v>33</v>
      </c>
    </row>
    <row r="22" spans="3:10">
      <c r="C22" s="1" t="s">
        <v>25</v>
      </c>
      <c r="D22">
        <v>3750</v>
      </c>
      <c r="E22" s="2">
        <f t="shared" si="1"/>
        <v>0.99963707505174493</v>
      </c>
      <c r="F22" s="1" t="s">
        <v>27</v>
      </c>
      <c r="G22" s="1">
        <v>12</v>
      </c>
      <c r="H22" s="1">
        <v>6</v>
      </c>
      <c r="I22" s="4">
        <f t="shared" si="0"/>
        <v>0.5</v>
      </c>
      <c r="J22" s="1" t="s">
        <v>31</v>
      </c>
    </row>
    <row r="23" spans="3:10">
      <c r="C23" s="1" t="s">
        <v>26</v>
      </c>
      <c r="D23">
        <v>3200</v>
      </c>
      <c r="E23" s="2">
        <f t="shared" si="1"/>
        <v>0.99999999999999978</v>
      </c>
      <c r="F23" s="1" t="s">
        <v>27</v>
      </c>
      <c r="G23" s="1">
        <v>50</v>
      </c>
      <c r="H23" s="1">
        <v>7</v>
      </c>
      <c r="I23" s="4">
        <f t="shared" si="0"/>
        <v>0.14000000000000001</v>
      </c>
      <c r="J23" s="1" t="s">
        <v>31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E5F5-AB29-4407-BCC9-618C61475C81}">
  <dimension ref="A2:M81"/>
  <sheetViews>
    <sheetView topLeftCell="A55" workbookViewId="0">
      <selection activeCell="K74" sqref="K74"/>
    </sheetView>
  </sheetViews>
  <sheetFormatPr defaultColWidth="8.796875" defaultRowHeight="16.149999999999999"/>
  <cols>
    <col min="1" max="1" width="27.46484375" customWidth="1"/>
    <col min="3" max="3" width="9.46484375" bestFit="1" customWidth="1"/>
    <col min="5" max="5" width="12" customWidth="1"/>
    <col min="6" max="6" width="9.796875" bestFit="1" customWidth="1"/>
    <col min="7" max="7" width="13.46484375" customWidth="1"/>
    <col min="14" max="14" width="10.46484375" bestFit="1" customWidth="1"/>
    <col min="15" max="15" width="18.1328125" customWidth="1"/>
  </cols>
  <sheetData>
    <row r="2" spans="1:13" ht="16.5" thickBot="1">
      <c r="B2" s="3" t="s">
        <v>34</v>
      </c>
      <c r="C2" s="3" t="s">
        <v>51</v>
      </c>
    </row>
    <row r="3" spans="1:13">
      <c r="B3">
        <v>1</v>
      </c>
      <c r="C3">
        <v>700</v>
      </c>
      <c r="L3" s="15" t="s">
        <v>61</v>
      </c>
      <c r="M3" s="15" t="s">
        <v>63</v>
      </c>
    </row>
    <row r="4" spans="1:13">
      <c r="B4">
        <v>2</v>
      </c>
      <c r="C4">
        <v>1100</v>
      </c>
      <c r="L4">
        <v>700</v>
      </c>
      <c r="M4">
        <v>1</v>
      </c>
    </row>
    <row r="5" spans="1:13">
      <c r="B5">
        <v>3</v>
      </c>
      <c r="C5">
        <v>950</v>
      </c>
      <c r="L5">
        <v>1050</v>
      </c>
      <c r="M5">
        <v>6</v>
      </c>
    </row>
    <row r="6" spans="1:13">
      <c r="B6">
        <v>4</v>
      </c>
      <c r="C6">
        <v>1050</v>
      </c>
      <c r="L6">
        <v>1400</v>
      </c>
      <c r="M6">
        <v>4</v>
      </c>
    </row>
    <row r="7" spans="1:13" ht="16.5" thickBot="1">
      <c r="B7">
        <v>5</v>
      </c>
      <c r="C7">
        <v>850</v>
      </c>
      <c r="L7" s="14" t="s">
        <v>62</v>
      </c>
      <c r="M7" s="14">
        <v>1</v>
      </c>
    </row>
    <row r="8" spans="1:13">
      <c r="B8">
        <v>6</v>
      </c>
      <c r="C8">
        <v>1300</v>
      </c>
    </row>
    <row r="9" spans="1:13">
      <c r="B9">
        <v>7</v>
      </c>
      <c r="C9">
        <v>1200</v>
      </c>
    </row>
    <row r="10" spans="1:13">
      <c r="B10">
        <v>8</v>
      </c>
      <c r="C10">
        <v>1100</v>
      </c>
    </row>
    <row r="11" spans="1:13">
      <c r="B11">
        <v>9</v>
      </c>
      <c r="C11">
        <v>1000</v>
      </c>
    </row>
    <row r="12" spans="1:13">
      <c r="B12">
        <v>10</v>
      </c>
      <c r="C12">
        <v>1000</v>
      </c>
    </row>
    <row r="13" spans="1:13">
      <c r="B13">
        <v>11</v>
      </c>
      <c r="C13">
        <v>780</v>
      </c>
    </row>
    <row r="14" spans="1:13">
      <c r="B14">
        <v>12</v>
      </c>
      <c r="C14">
        <v>1750</v>
      </c>
    </row>
    <row r="16" spans="1:13">
      <c r="A16" t="s">
        <v>52</v>
      </c>
      <c r="C16" s="5">
        <f>AVERAGE(C3:C14)</f>
        <v>1065</v>
      </c>
    </row>
    <row r="17" spans="1:3">
      <c r="A17" t="s">
        <v>53</v>
      </c>
      <c r="C17" s="5">
        <f>STDEV(C3:C14)</f>
        <v>274.30904933205272</v>
      </c>
    </row>
    <row r="18" spans="1:3">
      <c r="A18" t="s">
        <v>54</v>
      </c>
      <c r="C18" s="11">
        <f>MAX(C3:C14)</f>
        <v>1750</v>
      </c>
    </row>
    <row r="19" spans="1:3">
      <c r="A19" t="s">
        <v>55</v>
      </c>
      <c r="C19" s="11">
        <f>MIN(C3:C14)</f>
        <v>700</v>
      </c>
    </row>
    <row r="20" spans="1:3">
      <c r="A20" t="s">
        <v>56</v>
      </c>
      <c r="C20" s="11">
        <f>_xlfn.QUARTILE.EXC(C3:C14,1)</f>
        <v>875</v>
      </c>
    </row>
    <row r="21" spans="1:3">
      <c r="A21" t="s">
        <v>57</v>
      </c>
      <c r="C21" s="11">
        <f>MEDIAN(C3:C14)</f>
        <v>1025</v>
      </c>
    </row>
    <row r="22" spans="1:3">
      <c r="A22" t="s">
        <v>58</v>
      </c>
      <c r="C22" s="11">
        <f>_xlfn.QUARTILE.EXC(C3:C14,3)</f>
        <v>1175</v>
      </c>
    </row>
    <row r="23" spans="1:3">
      <c r="A23" t="s">
        <v>59</v>
      </c>
      <c r="C23" s="11">
        <f>C19-1.5*(C22-C20)</f>
        <v>250</v>
      </c>
    </row>
    <row r="24" spans="1:3">
      <c r="A24" t="s">
        <v>60</v>
      </c>
      <c r="C24" s="11">
        <f>C22+1.5*(C22-C20)</f>
        <v>1625</v>
      </c>
    </row>
    <row r="26" spans="1:3">
      <c r="A26" t="s">
        <v>67</v>
      </c>
      <c r="B26" t="s">
        <v>64</v>
      </c>
      <c r="C26" t="s">
        <v>65</v>
      </c>
    </row>
    <row r="27" spans="1:3">
      <c r="B27" s="16">
        <v>0.9</v>
      </c>
      <c r="C27" s="13">
        <f>_xlfn.NORM.S.INV(B27)</f>
        <v>1.2815515655446006</v>
      </c>
    </row>
    <row r="28" spans="1:3">
      <c r="B28" s="16">
        <v>0.95</v>
      </c>
      <c r="C28" s="13">
        <f t="shared" ref="C28:C29" si="0">_xlfn.NORM.S.INV(B28)</f>
        <v>1.6448536269514715</v>
      </c>
    </row>
    <row r="29" spans="1:3">
      <c r="B29" s="16">
        <v>0.99</v>
      </c>
      <c r="C29" s="13">
        <f t="shared" si="0"/>
        <v>2.3263478740408408</v>
      </c>
    </row>
    <row r="30" spans="1:3">
      <c r="A30" t="s">
        <v>66</v>
      </c>
      <c r="B30" s="16">
        <v>0.9</v>
      </c>
      <c r="C30" s="13">
        <f>_xlfn.NORM.S.INV(B30+(1-B30)/2)</f>
        <v>1.6448536269514715</v>
      </c>
    </row>
    <row r="31" spans="1:3">
      <c r="B31" s="16">
        <v>0.95</v>
      </c>
      <c r="C31" s="13">
        <f t="shared" ref="C31:C32" si="1">_xlfn.NORM.S.INV(B31+(1-B31)/2)</f>
        <v>1.9599639845400536</v>
      </c>
    </row>
    <row r="32" spans="1:3">
      <c r="B32" s="16">
        <v>0.99</v>
      </c>
      <c r="C32" s="13">
        <f t="shared" si="1"/>
        <v>2.5758293035488999</v>
      </c>
    </row>
    <row r="34" spans="1:8">
      <c r="A34" t="s">
        <v>68</v>
      </c>
    </row>
    <row r="35" spans="1:8">
      <c r="A35" t="s">
        <v>69</v>
      </c>
      <c r="B35" t="s">
        <v>70</v>
      </c>
      <c r="C35" t="s">
        <v>71</v>
      </c>
      <c r="D35" t="s">
        <v>72</v>
      </c>
      <c r="E35" t="s">
        <v>73</v>
      </c>
      <c r="G35" t="s">
        <v>77</v>
      </c>
      <c r="H35" t="s">
        <v>74</v>
      </c>
    </row>
    <row r="36" spans="1:8">
      <c r="B36">
        <v>0</v>
      </c>
      <c r="C36">
        <v>44</v>
      </c>
      <c r="D36">
        <f>B36*C36</f>
        <v>0</v>
      </c>
      <c r="E36" s="2">
        <f>POISSON(B36,$D$45,0)</f>
        <v>0.1236363159308245</v>
      </c>
      <c r="G36" s="16">
        <f>_xlfn.POISSON.DIST(B36,$D$45,1)</f>
        <v>0.1236363159308245</v>
      </c>
      <c r="H36" s="12">
        <f>$C$44*E36</f>
        <v>45.12725531475094</v>
      </c>
    </row>
    <row r="37" spans="1:8">
      <c r="B37">
        <v>1</v>
      </c>
      <c r="C37">
        <v>105</v>
      </c>
      <c r="D37">
        <f t="shared" ref="D37:D43" si="2">B37*C37</f>
        <v>105</v>
      </c>
      <c r="E37" s="2">
        <f t="shared" ref="E37:E43" si="3">POISSON(B37,$D$45,0)</f>
        <v>0.25845070974032625</v>
      </c>
      <c r="G37" s="16">
        <f t="shared" ref="G37:G43" si="4">_xlfn.POISSON.DIST(B37,$D$45,1)</f>
        <v>0.38208702567115077</v>
      </c>
      <c r="H37" s="12">
        <f t="shared" ref="H37:H43" si="5">$C$44*E37</f>
        <v>94.334509055219073</v>
      </c>
    </row>
    <row r="38" spans="1:8">
      <c r="B38">
        <v>2</v>
      </c>
      <c r="C38">
        <v>86</v>
      </c>
      <c r="D38">
        <f t="shared" si="2"/>
        <v>172</v>
      </c>
      <c r="E38" s="2">
        <f t="shared" si="3"/>
        <v>0.27013409798886162</v>
      </c>
      <c r="G38" s="16">
        <f t="shared" si="4"/>
        <v>0.65222112366001228</v>
      </c>
      <c r="H38" s="12">
        <f t="shared" si="5"/>
        <v>98.598945765934488</v>
      </c>
    </row>
    <row r="39" spans="1:8">
      <c r="B39">
        <v>3</v>
      </c>
      <c r="C39">
        <v>67</v>
      </c>
      <c r="D39">
        <f t="shared" si="2"/>
        <v>201</v>
      </c>
      <c r="E39" s="2">
        <f t="shared" si="3"/>
        <v>0.18823042626986439</v>
      </c>
      <c r="G39" s="16">
        <f t="shared" si="4"/>
        <v>0.8404515499298767</v>
      </c>
      <c r="H39" s="12">
        <f t="shared" si="5"/>
        <v>68.704105588500497</v>
      </c>
    </row>
    <row r="40" spans="1:8">
      <c r="B40">
        <v>4</v>
      </c>
      <c r="C40">
        <v>37</v>
      </c>
      <c r="D40">
        <f t="shared" si="2"/>
        <v>148</v>
      </c>
      <c r="E40" s="2">
        <f t="shared" si="3"/>
        <v>9.8369736468429128E-2</v>
      </c>
      <c r="G40" s="16">
        <f t="shared" si="4"/>
        <v>0.93882128639830587</v>
      </c>
      <c r="H40" s="12">
        <f t="shared" si="5"/>
        <v>35.904953810976629</v>
      </c>
    </row>
    <row r="41" spans="1:8">
      <c r="B41">
        <v>5</v>
      </c>
      <c r="C41">
        <v>20</v>
      </c>
      <c r="D41">
        <f t="shared" si="2"/>
        <v>100</v>
      </c>
      <c r="E41" s="2">
        <f t="shared" si="3"/>
        <v>4.1126635027622711E-2</v>
      </c>
      <c r="G41" s="16">
        <f t="shared" si="4"/>
        <v>0.97994792142592857</v>
      </c>
      <c r="H41" s="12">
        <f t="shared" si="5"/>
        <v>15.01122178508229</v>
      </c>
    </row>
    <row r="42" spans="1:8">
      <c r="B42">
        <v>6</v>
      </c>
      <c r="C42">
        <v>5</v>
      </c>
      <c r="D42">
        <f t="shared" si="2"/>
        <v>30</v>
      </c>
      <c r="E42" s="2">
        <f t="shared" si="3"/>
        <v>1.4328594760765343E-2</v>
      </c>
      <c r="G42" s="16">
        <f t="shared" si="4"/>
        <v>0.99427651618669388</v>
      </c>
      <c r="H42" s="12">
        <f t="shared" si="5"/>
        <v>5.2299370876793505</v>
      </c>
    </row>
    <row r="43" spans="1:8">
      <c r="B43">
        <v>7</v>
      </c>
      <c r="C43">
        <v>1</v>
      </c>
      <c r="D43">
        <f t="shared" si="2"/>
        <v>7</v>
      </c>
      <c r="E43" s="2">
        <f t="shared" si="3"/>
        <v>4.2789502162285517E-3</v>
      </c>
      <c r="G43" s="16">
        <f t="shared" si="4"/>
        <v>0.99855546640292236</v>
      </c>
      <c r="H43" s="12">
        <f t="shared" si="5"/>
        <v>1.5618168289234213</v>
      </c>
    </row>
    <row r="44" spans="1:8">
      <c r="B44" t="s">
        <v>146</v>
      </c>
      <c r="C44" s="11">
        <f>SUM(C36:C43)</f>
        <v>365</v>
      </c>
      <c r="D44" s="11">
        <f>SUM(D36:D43)</f>
        <v>763</v>
      </c>
      <c r="E44" s="17">
        <f>SUM(E36:E43)</f>
        <v>0.99855546640292259</v>
      </c>
      <c r="H44" s="12">
        <f>SUM(H36:H43)</f>
        <v>364.4727452370667</v>
      </c>
    </row>
    <row r="45" spans="1:8">
      <c r="B45" t="s">
        <v>145</v>
      </c>
      <c r="D45" s="8">
        <f>D44/C44</f>
        <v>2.0904109589041098</v>
      </c>
      <c r="G45" t="s">
        <v>75</v>
      </c>
      <c r="H45" s="6">
        <f>_xlfn.CHISQ.TEST(C36:C43,H36:H43)</f>
        <v>0.68560721660834689</v>
      </c>
    </row>
    <row r="47" spans="1:8">
      <c r="A47" t="s">
        <v>68</v>
      </c>
    </row>
    <row r="48" spans="1:8">
      <c r="A48" t="s">
        <v>76</v>
      </c>
      <c r="C48" t="s">
        <v>79</v>
      </c>
      <c r="E48" t="s">
        <v>78</v>
      </c>
    </row>
    <row r="49" spans="1:7">
      <c r="A49" t="s">
        <v>80</v>
      </c>
      <c r="C49">
        <v>1</v>
      </c>
      <c r="E49" s="2"/>
      <c r="F49" s="2">
        <f>_xlfn.EXPON.DIST(C49,$A$50,1)</f>
        <v>7.9955585370676749E-2</v>
      </c>
      <c r="G49" s="16"/>
    </row>
    <row r="50" spans="1:7">
      <c r="A50" s="13">
        <v>8.3333333333333329E-2</v>
      </c>
      <c r="C50">
        <v>2</v>
      </c>
      <c r="E50" s="2"/>
      <c r="F50" s="2">
        <f t="shared" ref="F50:F72" si="6">_xlfn.EXPON.DIST(C50,$A$50,1)</f>
        <v>0.15351827510938593</v>
      </c>
      <c r="G50" s="16"/>
    </row>
    <row r="51" spans="1:7">
      <c r="A51" s="12"/>
      <c r="C51">
        <v>3</v>
      </c>
      <c r="E51" s="2"/>
      <c r="F51" s="2">
        <f t="shared" si="6"/>
        <v>0.22119921692859512</v>
      </c>
      <c r="G51" s="16"/>
    </row>
    <row r="52" spans="1:7">
      <c r="C52">
        <v>4</v>
      </c>
      <c r="E52" s="2"/>
      <c r="F52" s="2">
        <f t="shared" si="6"/>
        <v>0.28346868942621073</v>
      </c>
      <c r="G52" s="16"/>
    </row>
    <row r="53" spans="1:7">
      <c r="C53">
        <v>5</v>
      </c>
      <c r="E53" s="2"/>
      <c r="F53" s="2">
        <f t="shared" si="6"/>
        <v>0.34075936979955623</v>
      </c>
      <c r="G53" s="16"/>
    </row>
    <row r="54" spans="1:7">
      <c r="C54">
        <v>6</v>
      </c>
      <c r="E54" s="2"/>
      <c r="F54" s="2">
        <f t="shared" si="6"/>
        <v>0.39346934028736658</v>
      </c>
      <c r="G54" s="16"/>
    </row>
    <row r="55" spans="1:7">
      <c r="C55">
        <v>7</v>
      </c>
      <c r="E55" s="2"/>
      <c r="F55" s="2">
        <f t="shared" si="6"/>
        <v>0.44196485422995291</v>
      </c>
      <c r="G55" s="16"/>
    </row>
    <row r="56" spans="1:7">
      <c r="C56">
        <v>8</v>
      </c>
      <c r="E56" s="2"/>
      <c r="F56" s="2">
        <f t="shared" si="6"/>
        <v>0.48658288096740798</v>
      </c>
      <c r="G56" s="16"/>
    </row>
    <row r="57" spans="1:7">
      <c r="C57">
        <v>9</v>
      </c>
      <c r="E57" s="2"/>
      <c r="F57" s="2">
        <f t="shared" si="6"/>
        <v>0.52763344725898531</v>
      </c>
    </row>
    <row r="58" spans="1:7">
      <c r="C58">
        <v>10</v>
      </c>
      <c r="E58" s="2"/>
      <c r="F58" s="2">
        <f t="shared" si="6"/>
        <v>0.56540179149292169</v>
      </c>
    </row>
    <row r="59" spans="1:7">
      <c r="C59">
        <v>11</v>
      </c>
      <c r="E59" s="2"/>
      <c r="F59" s="2">
        <f t="shared" si="6"/>
        <v>0.60015034565515268</v>
      </c>
    </row>
    <row r="60" spans="1:7">
      <c r="C60">
        <v>12</v>
      </c>
      <c r="E60" s="2"/>
      <c r="F60" s="2">
        <f t="shared" si="6"/>
        <v>0.63212055882855767</v>
      </c>
    </row>
    <row r="61" spans="1:7">
      <c r="C61">
        <v>13</v>
      </c>
      <c r="E61" s="2"/>
      <c r="F61" s="2">
        <f t="shared" si="6"/>
        <v>0.66153457489325773</v>
      </c>
    </row>
    <row r="62" spans="1:7">
      <c r="C62">
        <v>14</v>
      </c>
      <c r="E62" s="2"/>
      <c r="F62" s="2">
        <f t="shared" si="6"/>
        <v>0.68859677608540226</v>
      </c>
    </row>
    <row r="63" spans="1:7">
      <c r="C63">
        <v>15</v>
      </c>
      <c r="E63" s="2"/>
      <c r="F63" s="2">
        <f t="shared" si="6"/>
        <v>0.71349520313980985</v>
      </c>
    </row>
    <row r="64" spans="1:7">
      <c r="C64">
        <v>16</v>
      </c>
      <c r="E64" s="2"/>
      <c r="F64" s="2">
        <f t="shared" si="6"/>
        <v>0.73640286188427329</v>
      </c>
    </row>
    <row r="65" spans="1:6">
      <c r="C65">
        <v>17</v>
      </c>
      <c r="E65" s="2"/>
      <c r="F65" s="2">
        <f t="shared" si="6"/>
        <v>0.75747892536435124</v>
      </c>
    </row>
    <row r="66" spans="1:6">
      <c r="C66">
        <v>18</v>
      </c>
      <c r="E66" s="2"/>
      <c r="F66" s="2">
        <f t="shared" si="6"/>
        <v>0.77686983985157021</v>
      </c>
    </row>
    <row r="67" spans="1:6">
      <c r="C67">
        <v>19</v>
      </c>
      <c r="E67" s="2"/>
      <c r="F67" s="2">
        <f t="shared" si="6"/>
        <v>0.79471034242009075</v>
      </c>
    </row>
    <row r="68" spans="1:6">
      <c r="C68">
        <v>20</v>
      </c>
      <c r="E68" s="2"/>
      <c r="F68" s="2">
        <f t="shared" si="6"/>
        <v>0.81112439716243812</v>
      </c>
    </row>
    <row r="69" spans="1:6">
      <c r="C69">
        <v>21</v>
      </c>
      <c r="E69" s="2"/>
      <c r="F69" s="2">
        <f t="shared" si="6"/>
        <v>0.82622605654955483</v>
      </c>
    </row>
    <row r="70" spans="1:6">
      <c r="C70">
        <v>22</v>
      </c>
      <c r="E70" s="2"/>
      <c r="F70" s="2">
        <f t="shared" si="6"/>
        <v>0.84012025392030609</v>
      </c>
    </row>
    <row r="71" spans="1:6">
      <c r="C71">
        <v>23</v>
      </c>
      <c r="E71" s="2"/>
      <c r="F71" s="2">
        <f t="shared" si="6"/>
        <v>0.85290353260702312</v>
      </c>
    </row>
    <row r="72" spans="1:6">
      <c r="C72">
        <v>24</v>
      </c>
      <c r="E72" s="2"/>
      <c r="F72" s="2">
        <f t="shared" si="6"/>
        <v>0.8646647167633873</v>
      </c>
    </row>
    <row r="73" spans="1:6">
      <c r="E73" s="2"/>
      <c r="F73" s="2"/>
    </row>
    <row r="74" spans="1:6">
      <c r="E74" s="2"/>
      <c r="F74" s="2"/>
    </row>
    <row r="75" spans="1:6">
      <c r="E75" s="2"/>
      <c r="F75" s="2"/>
    </row>
    <row r="76" spans="1:6">
      <c r="E76" s="2"/>
      <c r="F76" s="2"/>
    </row>
    <row r="77" spans="1:6">
      <c r="A77" t="s">
        <v>147</v>
      </c>
    </row>
    <row r="78" spans="1:6">
      <c r="A78">
        <v>3</v>
      </c>
      <c r="C78" t="s">
        <v>79</v>
      </c>
      <c r="E78" t="s">
        <v>78</v>
      </c>
    </row>
    <row r="79" spans="1:6">
      <c r="C79">
        <v>1</v>
      </c>
      <c r="E79" s="2"/>
      <c r="F79" s="2">
        <f>_xlfn.EXPON.DIST(C79,$A$78,1)</f>
        <v>0.95021293163213605</v>
      </c>
    </row>
    <row r="80" spans="1:6">
      <c r="C80">
        <v>2</v>
      </c>
      <c r="E80" s="2"/>
      <c r="F80" s="2">
        <f t="shared" ref="F80:F81" si="7">_xlfn.EXPON.DIST(C80,$A$78,1)</f>
        <v>0.99752124782333362</v>
      </c>
    </row>
    <row r="81" spans="3:7">
      <c r="C81">
        <v>3</v>
      </c>
      <c r="E81" s="2"/>
      <c r="F81" s="2">
        <f t="shared" si="7"/>
        <v>0.99987659019591335</v>
      </c>
      <c r="G81" t="s">
        <v>148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3358-5CE2-4B2D-A566-03C983EB91C0}">
  <dimension ref="B1:AM78"/>
  <sheetViews>
    <sheetView zoomScale="70" zoomScaleNormal="70" workbookViewId="0">
      <pane ySplit="1" topLeftCell="A2" activePane="bottomLeft" state="frozen"/>
      <selection pane="bottomLeft" activeCell="J10" sqref="J10"/>
    </sheetView>
  </sheetViews>
  <sheetFormatPr defaultColWidth="8.796875" defaultRowHeight="16.149999999999999"/>
  <cols>
    <col min="2" max="2" width="5.46484375" bestFit="1" customWidth="1"/>
    <col min="3" max="14" width="5.1328125" bestFit="1" customWidth="1"/>
    <col min="16" max="16" width="5.1328125" bestFit="1" customWidth="1"/>
    <col min="17" max="17" width="6.796875" customWidth="1"/>
    <col min="18" max="18" width="16.46484375" bestFit="1" customWidth="1"/>
    <col min="19" max="20" width="17.796875" customWidth="1"/>
    <col min="21" max="21" width="16.1328125" customWidth="1"/>
    <col min="22" max="22" width="24" customWidth="1"/>
    <col min="23" max="23" width="15.796875" customWidth="1"/>
    <col min="24" max="24" width="24" bestFit="1" customWidth="1"/>
    <col min="25" max="25" width="24.1328125" customWidth="1"/>
    <col min="27" max="27" width="25.46484375" customWidth="1"/>
    <col min="28" max="28" width="35.1328125" customWidth="1"/>
    <col min="30" max="30" width="14.46484375" customWidth="1"/>
    <col min="31" max="31" width="12.46484375" bestFit="1" customWidth="1"/>
    <col min="32" max="32" width="17.1328125" bestFit="1" customWidth="1"/>
    <col min="33" max="33" width="17.1328125" customWidth="1"/>
    <col min="34" max="34" width="10.796875" customWidth="1"/>
    <col min="35" max="35" width="17.1328125" bestFit="1" customWidth="1"/>
    <col min="36" max="36" width="17.1328125" customWidth="1"/>
    <col min="37" max="37" width="7" bestFit="1" customWidth="1"/>
    <col min="38" max="38" width="17.1328125" bestFit="1" customWidth="1"/>
    <col min="39" max="39" width="17.1328125" customWidth="1"/>
  </cols>
  <sheetData>
    <row r="1" spans="2:39">
      <c r="B1" s="3" t="s">
        <v>132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P1" s="3" t="s">
        <v>132</v>
      </c>
      <c r="Q1" s="3" t="s">
        <v>133</v>
      </c>
      <c r="R1" s="11" t="s">
        <v>134</v>
      </c>
      <c r="S1" s="3" t="s">
        <v>101</v>
      </c>
      <c r="T1" s="3" t="s">
        <v>102</v>
      </c>
      <c r="U1" s="11" t="s">
        <v>103</v>
      </c>
      <c r="V1" s="11" t="s">
        <v>135</v>
      </c>
      <c r="W1" s="11" t="s">
        <v>104</v>
      </c>
      <c r="X1" s="11" t="s">
        <v>136</v>
      </c>
      <c r="Y1" s="3" t="s">
        <v>106</v>
      </c>
      <c r="Z1" s="3" t="s">
        <v>107</v>
      </c>
      <c r="AA1" s="11" t="s">
        <v>108</v>
      </c>
      <c r="AB1" s="11" t="s">
        <v>137</v>
      </c>
      <c r="AD1" s="11" t="s">
        <v>87</v>
      </c>
      <c r="AE1" s="1" t="s">
        <v>110</v>
      </c>
      <c r="AF1" s="11" t="s">
        <v>103</v>
      </c>
      <c r="AG1" s="11" t="s">
        <v>115</v>
      </c>
      <c r="AH1" s="1" t="s">
        <v>111</v>
      </c>
      <c r="AI1" s="11" t="s">
        <v>113</v>
      </c>
      <c r="AJ1" s="11" t="s">
        <v>116</v>
      </c>
      <c r="AK1" s="1" t="s">
        <v>112</v>
      </c>
      <c r="AL1" s="11" t="s">
        <v>104</v>
      </c>
      <c r="AM1" s="11" t="s">
        <v>117</v>
      </c>
    </row>
    <row r="2" spans="2:39">
      <c r="B2" s="1">
        <v>2021</v>
      </c>
      <c r="C2">
        <v>5000</v>
      </c>
      <c r="D2">
        <v>5020</v>
      </c>
      <c r="E2">
        <v>6020</v>
      </c>
      <c r="F2">
        <v>5050</v>
      </c>
      <c r="G2">
        <v>5000</v>
      </c>
      <c r="H2">
        <v>3080</v>
      </c>
      <c r="I2">
        <v>5010</v>
      </c>
      <c r="J2">
        <v>5050</v>
      </c>
      <c r="K2">
        <v>5030</v>
      </c>
      <c r="L2">
        <v>5010</v>
      </c>
      <c r="M2">
        <v>5020</v>
      </c>
      <c r="N2">
        <v>5020</v>
      </c>
      <c r="P2" s="1">
        <v>2021</v>
      </c>
      <c r="Q2" s="1">
        <v>1</v>
      </c>
      <c r="R2">
        <v>5000</v>
      </c>
      <c r="Z2" s="3">
        <v>0.1</v>
      </c>
      <c r="AD2">
        <v>5000</v>
      </c>
      <c r="AE2" t="e">
        <v>#N/A</v>
      </c>
      <c r="AH2" t="e">
        <v>#N/A</v>
      </c>
      <c r="AK2" t="e">
        <v>#N/A</v>
      </c>
    </row>
    <row r="3" spans="2:39">
      <c r="B3" s="1">
        <v>2022</v>
      </c>
      <c r="C3">
        <v>6000</v>
      </c>
      <c r="D3">
        <v>6080</v>
      </c>
      <c r="E3">
        <v>7120</v>
      </c>
      <c r="F3">
        <v>6130</v>
      </c>
      <c r="G3">
        <v>6090</v>
      </c>
      <c r="H3">
        <v>4070</v>
      </c>
      <c r="I3">
        <v>6210</v>
      </c>
      <c r="J3">
        <v>6170</v>
      </c>
      <c r="K3">
        <v>6080</v>
      </c>
      <c r="L3">
        <v>6260</v>
      </c>
      <c r="M3">
        <v>6100</v>
      </c>
      <c r="N3">
        <v>6050</v>
      </c>
      <c r="P3" s="1">
        <v>2021</v>
      </c>
      <c r="Q3" s="1">
        <v>2</v>
      </c>
      <c r="R3">
        <v>5020</v>
      </c>
      <c r="Z3" s="3">
        <v>0.2</v>
      </c>
      <c r="AD3">
        <v>5020</v>
      </c>
      <c r="AE3" t="e">
        <v>#N/A</v>
      </c>
      <c r="AH3" t="e">
        <v>#N/A</v>
      </c>
      <c r="AK3" t="e">
        <v>#N/A</v>
      </c>
    </row>
    <row r="4" spans="2:39">
      <c r="B4" s="1">
        <v>2023</v>
      </c>
      <c r="C4">
        <v>7000</v>
      </c>
      <c r="D4">
        <v>7040</v>
      </c>
      <c r="E4">
        <v>8320</v>
      </c>
      <c r="F4">
        <v>7020</v>
      </c>
      <c r="G4">
        <v>7140</v>
      </c>
      <c r="H4">
        <v>4900</v>
      </c>
      <c r="I4">
        <v>7040</v>
      </c>
      <c r="J4">
        <v>7060</v>
      </c>
      <c r="K4">
        <v>7120</v>
      </c>
      <c r="L4">
        <v>7080</v>
      </c>
      <c r="M4">
        <v>7200</v>
      </c>
      <c r="N4">
        <v>7150</v>
      </c>
      <c r="P4" s="1">
        <v>2021</v>
      </c>
      <c r="Q4" s="1">
        <v>3</v>
      </c>
      <c r="R4">
        <v>6020</v>
      </c>
      <c r="Z4" s="3">
        <v>0.3</v>
      </c>
      <c r="AD4">
        <v>6020</v>
      </c>
      <c r="AF4" s="12"/>
      <c r="AG4" s="12"/>
      <c r="AH4" t="e">
        <v>#N/A</v>
      </c>
      <c r="AK4" t="e">
        <v>#N/A</v>
      </c>
    </row>
    <row r="5" spans="2:39">
      <c r="B5" s="26" t="s">
        <v>99</v>
      </c>
      <c r="F5">
        <f>AVERAGE(C4:N4)</f>
        <v>7005.833333333333</v>
      </c>
      <c r="P5" s="1">
        <v>2021</v>
      </c>
      <c r="Q5" s="1">
        <v>4</v>
      </c>
      <c r="R5">
        <v>5050</v>
      </c>
      <c r="S5" s="28">
        <f>AVERAGE(R2:R4)</f>
        <v>5346.666666666667</v>
      </c>
      <c r="U5" s="29">
        <f>(R5-S5)^2</f>
        <v>88011.111111111284</v>
      </c>
      <c r="V5" s="31">
        <f>ABS(S5-R5)/R5</f>
        <v>5.8745874587458807E-2</v>
      </c>
      <c r="Z5" s="3">
        <v>0.4</v>
      </c>
      <c r="AD5">
        <v>5050</v>
      </c>
      <c r="AE5" s="12">
        <f t="shared" ref="AE5:AE38" si="0">AVERAGE(AD2:AD4)</f>
        <v>5346.666666666667</v>
      </c>
      <c r="AF5" s="12">
        <f>(AE5-AD5)^2</f>
        <v>88011.111111111284</v>
      </c>
      <c r="AG5" s="31">
        <f>ABS(AE5-AD5)/AD5</f>
        <v>5.8745874587458807E-2</v>
      </c>
      <c r="AI5" s="12"/>
      <c r="AJ5" s="12"/>
      <c r="AK5" t="e">
        <v>#N/A</v>
      </c>
    </row>
    <row r="6" spans="2:39">
      <c r="B6" s="26" t="s">
        <v>100</v>
      </c>
      <c r="F6">
        <f>AVERAGE(C2:N4)</f>
        <v>5992.7777777777774</v>
      </c>
      <c r="P6" s="1">
        <v>2021</v>
      </c>
      <c r="Q6" s="1">
        <v>5</v>
      </c>
      <c r="R6">
        <v>5000</v>
      </c>
      <c r="S6" s="28">
        <f t="shared" ref="S6:S38" si="1">AVERAGE(R3:R5)</f>
        <v>5363.333333333333</v>
      </c>
      <c r="U6" s="29">
        <f t="shared" ref="U6:U8" si="2">(R6-S6)^2</f>
        <v>132011.11111111089</v>
      </c>
      <c r="V6" s="31">
        <f t="shared" ref="V6:V37" si="3">ABS(S6-R6)/R6</f>
        <v>7.2666666666666602E-2</v>
      </c>
      <c r="Y6">
        <f t="shared" ref="Y6:Y38" si="4">R5*$Z$5+R4*$Z$4+R3*$Z$3+R2*$Z$2</f>
        <v>5330</v>
      </c>
      <c r="AA6">
        <f t="shared" ref="AA6:AA37" si="5">(R6-Y6)^2</f>
        <v>108900</v>
      </c>
      <c r="AB6" s="31">
        <f>ABS(Y6-R6)/R6</f>
        <v>6.6000000000000003E-2</v>
      </c>
      <c r="AD6">
        <v>5000</v>
      </c>
      <c r="AE6" s="12">
        <f t="shared" si="0"/>
        <v>5363.333333333333</v>
      </c>
      <c r="AF6" s="12">
        <f t="shared" ref="AF6:AF37" si="6">(AE6-AD6)^2</f>
        <v>132011.11111111089</v>
      </c>
      <c r="AG6" s="31">
        <f>ABS(AE6-AD6)/AD6</f>
        <v>7.2666666666666602E-2</v>
      </c>
      <c r="AH6" s="12">
        <f t="shared" ref="AH6:AH38" si="7">AVERAGE(AD2:AD5)</f>
        <v>5272.5</v>
      </c>
      <c r="AI6" s="12">
        <f t="shared" ref="AI6:AI37" si="8">(AH6-AD6)^2</f>
        <v>74256.25</v>
      </c>
      <c r="AJ6" s="31">
        <f>ABS(AH6-AD6)/AD6</f>
        <v>5.45E-2</v>
      </c>
      <c r="AK6" t="e">
        <v>#N/A</v>
      </c>
    </row>
    <row r="7" spans="2:39">
      <c r="P7" s="1">
        <v>2021</v>
      </c>
      <c r="Q7" s="1">
        <v>6</v>
      </c>
      <c r="R7">
        <v>3080</v>
      </c>
      <c r="S7" s="28">
        <f t="shared" si="1"/>
        <v>5356.666666666667</v>
      </c>
      <c r="U7" s="29">
        <f t="shared" si="2"/>
        <v>5183211.1111111129</v>
      </c>
      <c r="V7" s="31">
        <f t="shared" si="3"/>
        <v>0.73917748917748927</v>
      </c>
      <c r="Y7">
        <f t="shared" si="4"/>
        <v>5221</v>
      </c>
      <c r="AA7">
        <f t="shared" si="5"/>
        <v>4583881</v>
      </c>
      <c r="AB7" s="31">
        <f t="shared" ref="AB7:AB37" si="9">ABS(Y7-R7)/R7</f>
        <v>0.69512987012987015</v>
      </c>
      <c r="AD7">
        <v>3080</v>
      </c>
      <c r="AE7" s="12">
        <f t="shared" si="0"/>
        <v>5356.666666666667</v>
      </c>
      <c r="AF7" s="12">
        <f t="shared" si="6"/>
        <v>5183211.1111111129</v>
      </c>
      <c r="AG7" s="31">
        <f t="shared" ref="AG7:AG37" si="10">ABS(AE7-AD7)/AD7</f>
        <v>0.73917748917748927</v>
      </c>
      <c r="AH7" s="12">
        <f t="shared" si="7"/>
        <v>5272.5</v>
      </c>
      <c r="AI7" s="12">
        <f t="shared" si="8"/>
        <v>4807056.25</v>
      </c>
      <c r="AJ7" s="31">
        <f t="shared" ref="AJ7:AJ37" si="11">ABS(AH7-AD7)/AD7</f>
        <v>0.71185064935064934</v>
      </c>
      <c r="AL7" s="12"/>
      <c r="AM7" s="12"/>
    </row>
    <row r="8" spans="2:39">
      <c r="P8" s="1">
        <v>2021</v>
      </c>
      <c r="Q8" s="1">
        <v>7</v>
      </c>
      <c r="R8">
        <v>5010</v>
      </c>
      <c r="S8" s="28">
        <f t="shared" si="1"/>
        <v>4376.666666666667</v>
      </c>
      <c r="T8" s="28">
        <f>AVERAGE(R2:R7)</f>
        <v>4861.666666666667</v>
      </c>
      <c r="U8" s="29">
        <f t="shared" si="2"/>
        <v>401111.11111111072</v>
      </c>
      <c r="V8" s="31">
        <f t="shared" si="3"/>
        <v>0.12641383898868921</v>
      </c>
      <c r="W8" s="29">
        <f>(T8-R8)^2</f>
        <v>22002.777777777686</v>
      </c>
      <c r="X8" s="31">
        <f>ABS(T8-R8)/R8</f>
        <v>2.9607451763140325E-2</v>
      </c>
      <c r="Y8">
        <f t="shared" si="4"/>
        <v>4344</v>
      </c>
      <c r="AA8">
        <f t="shared" si="5"/>
        <v>443556</v>
      </c>
      <c r="AB8" s="31">
        <f t="shared" si="9"/>
        <v>0.13293413173652693</v>
      </c>
      <c r="AD8">
        <v>5010</v>
      </c>
      <c r="AE8" s="12">
        <f t="shared" si="0"/>
        <v>4376.666666666667</v>
      </c>
      <c r="AF8" s="12">
        <f t="shared" si="6"/>
        <v>401111.11111111072</v>
      </c>
      <c r="AG8" s="31">
        <f t="shared" si="10"/>
        <v>0.12641383898868921</v>
      </c>
      <c r="AH8" s="12">
        <f t="shared" si="7"/>
        <v>4787.5</v>
      </c>
      <c r="AI8" s="12">
        <f t="shared" si="8"/>
        <v>49506.25</v>
      </c>
      <c r="AJ8" s="31">
        <f t="shared" si="11"/>
        <v>4.441117764471058E-2</v>
      </c>
      <c r="AK8" s="12">
        <f t="shared" ref="AK8:AK38" si="12">AVERAGE(AD2:AD7)</f>
        <v>4861.666666666667</v>
      </c>
      <c r="AL8" s="12">
        <f t="shared" ref="AL8:AL37" si="13">(AK8-AD8)^2</f>
        <v>22002.777777777686</v>
      </c>
      <c r="AM8" s="31">
        <f>ABS(AK8-AD8)/AD8</f>
        <v>2.9607451763140325E-2</v>
      </c>
    </row>
    <row r="9" spans="2:39">
      <c r="P9" s="1">
        <v>2021</v>
      </c>
      <c r="Q9" s="1">
        <v>8</v>
      </c>
      <c r="R9">
        <v>5050</v>
      </c>
      <c r="S9" s="28">
        <f t="shared" si="1"/>
        <v>4363.333333333333</v>
      </c>
      <c r="T9" s="28">
        <f t="shared" ref="T9:T38" si="14">AVERAGE(R3:R8)</f>
        <v>4863.333333333333</v>
      </c>
      <c r="U9" s="29">
        <f t="shared" ref="U9:U37" si="15">(R9-S9)^2</f>
        <v>471511.11111111153</v>
      </c>
      <c r="V9" s="31">
        <f t="shared" si="3"/>
        <v>0.13597359735973602</v>
      </c>
      <c r="W9" s="29">
        <f t="shared" ref="W9:W37" si="16">(T9-R9)^2</f>
        <v>34844.444444444554</v>
      </c>
      <c r="X9" s="31">
        <f t="shared" ref="X9:X37" si="17">ABS(T9-R9)/R9</f>
        <v>3.6963696369637027E-2</v>
      </c>
      <c r="Y9">
        <f t="shared" si="4"/>
        <v>4433</v>
      </c>
      <c r="AA9">
        <f t="shared" si="5"/>
        <v>380689</v>
      </c>
      <c r="AB9" s="31">
        <f t="shared" si="9"/>
        <v>0.12217821782178218</v>
      </c>
      <c r="AD9">
        <v>5050</v>
      </c>
      <c r="AE9" s="12">
        <f t="shared" si="0"/>
        <v>4363.333333333333</v>
      </c>
      <c r="AF9" s="12">
        <f t="shared" si="6"/>
        <v>471511.11111111153</v>
      </c>
      <c r="AG9" s="31">
        <f t="shared" si="10"/>
        <v>0.13597359735973602</v>
      </c>
      <c r="AH9" s="12">
        <f t="shared" si="7"/>
        <v>4535</v>
      </c>
      <c r="AI9" s="12">
        <f t="shared" si="8"/>
        <v>265225</v>
      </c>
      <c r="AJ9" s="31">
        <f t="shared" si="11"/>
        <v>0.10198019801980197</v>
      </c>
      <c r="AK9" s="12">
        <f t="shared" si="12"/>
        <v>4863.333333333333</v>
      </c>
      <c r="AL9" s="12">
        <f t="shared" si="13"/>
        <v>34844.444444444554</v>
      </c>
      <c r="AM9" s="31">
        <f t="shared" ref="AM9:AM37" si="18">ABS(AK9-AD9)/AD9</f>
        <v>3.6963696369637027E-2</v>
      </c>
    </row>
    <row r="10" spans="2:39">
      <c r="P10" s="1">
        <v>2021</v>
      </c>
      <c r="Q10" s="1">
        <v>9</v>
      </c>
      <c r="R10">
        <v>5030</v>
      </c>
      <c r="S10" s="28">
        <f t="shared" si="1"/>
        <v>4380</v>
      </c>
      <c r="T10" s="28">
        <f t="shared" si="14"/>
        <v>4868.333333333333</v>
      </c>
      <c r="U10" s="29">
        <f t="shared" si="15"/>
        <v>422500</v>
      </c>
      <c r="V10" s="31">
        <f t="shared" si="3"/>
        <v>0.12922465208747516</v>
      </c>
      <c r="W10" s="29">
        <f t="shared" si="16"/>
        <v>26136.111111111208</v>
      </c>
      <c r="X10" s="31">
        <f t="shared" si="17"/>
        <v>3.2140490390987472E-2</v>
      </c>
      <c r="Y10">
        <f t="shared" si="4"/>
        <v>4639</v>
      </c>
      <c r="AA10">
        <f t="shared" si="5"/>
        <v>152881</v>
      </c>
      <c r="AB10" s="31">
        <f t="shared" si="9"/>
        <v>7.7733598409542748E-2</v>
      </c>
      <c r="AD10">
        <v>5030</v>
      </c>
      <c r="AE10" s="12">
        <f t="shared" si="0"/>
        <v>4380</v>
      </c>
      <c r="AF10" s="12">
        <f t="shared" si="6"/>
        <v>422500</v>
      </c>
      <c r="AG10" s="31">
        <f t="shared" si="10"/>
        <v>0.12922465208747516</v>
      </c>
      <c r="AH10" s="12">
        <f t="shared" si="7"/>
        <v>4535</v>
      </c>
      <c r="AI10" s="12">
        <f t="shared" si="8"/>
        <v>245025</v>
      </c>
      <c r="AJ10" s="31">
        <f t="shared" si="11"/>
        <v>9.8409542743538761E-2</v>
      </c>
      <c r="AK10" s="12">
        <f t="shared" si="12"/>
        <v>4868.333333333333</v>
      </c>
      <c r="AL10" s="12">
        <f t="shared" si="13"/>
        <v>26136.111111111208</v>
      </c>
      <c r="AM10" s="31">
        <f t="shared" si="18"/>
        <v>3.2140490390987472E-2</v>
      </c>
    </row>
    <row r="11" spans="2:39">
      <c r="P11" s="1">
        <v>2021</v>
      </c>
      <c r="Q11" s="1">
        <v>10</v>
      </c>
      <c r="R11">
        <v>5010</v>
      </c>
      <c r="S11" s="28">
        <f t="shared" si="1"/>
        <v>5030</v>
      </c>
      <c r="T11" s="28">
        <f t="shared" si="14"/>
        <v>4703.333333333333</v>
      </c>
      <c r="U11" s="29">
        <f t="shared" si="15"/>
        <v>400</v>
      </c>
      <c r="V11" s="31">
        <f t="shared" si="3"/>
        <v>3.9920159680638719E-3</v>
      </c>
      <c r="W11" s="29">
        <f t="shared" si="16"/>
        <v>94044.444444444627</v>
      </c>
      <c r="X11" s="31">
        <f t="shared" si="17"/>
        <v>6.1210911510312771E-2</v>
      </c>
      <c r="Y11">
        <f t="shared" si="4"/>
        <v>4837</v>
      </c>
      <c r="AA11">
        <f t="shared" si="5"/>
        <v>29929</v>
      </c>
      <c r="AB11" s="31">
        <f t="shared" si="9"/>
        <v>3.4530938123752498E-2</v>
      </c>
      <c r="AD11">
        <v>5010</v>
      </c>
      <c r="AE11" s="12">
        <f t="shared" si="0"/>
        <v>5030</v>
      </c>
      <c r="AF11" s="12">
        <f t="shared" si="6"/>
        <v>400</v>
      </c>
      <c r="AG11" s="31">
        <f t="shared" si="10"/>
        <v>3.9920159680638719E-3</v>
      </c>
      <c r="AH11" s="12">
        <f t="shared" si="7"/>
        <v>4542.5</v>
      </c>
      <c r="AI11" s="12">
        <f t="shared" si="8"/>
        <v>218556.25</v>
      </c>
      <c r="AJ11" s="31">
        <f t="shared" si="11"/>
        <v>9.3313373253493009E-2</v>
      </c>
      <c r="AK11" s="12">
        <f t="shared" si="12"/>
        <v>4703.333333333333</v>
      </c>
      <c r="AL11" s="12">
        <f t="shared" si="13"/>
        <v>94044.444444444627</v>
      </c>
      <c r="AM11" s="31">
        <f t="shared" si="18"/>
        <v>6.1210911510312771E-2</v>
      </c>
    </row>
    <row r="12" spans="2:39">
      <c r="P12" s="1">
        <v>2021</v>
      </c>
      <c r="Q12" s="1">
        <v>11</v>
      </c>
      <c r="R12">
        <v>5020</v>
      </c>
      <c r="S12" s="28">
        <f t="shared" si="1"/>
        <v>5030</v>
      </c>
      <c r="T12" s="28">
        <f t="shared" si="14"/>
        <v>4696.666666666667</v>
      </c>
      <c r="U12" s="29">
        <f t="shared" si="15"/>
        <v>100</v>
      </c>
      <c r="V12" s="31">
        <f t="shared" si="3"/>
        <v>1.9920318725099601E-3</v>
      </c>
      <c r="W12" s="29">
        <f t="shared" si="16"/>
        <v>104544.44444444425</v>
      </c>
      <c r="X12" s="31">
        <f t="shared" si="17"/>
        <v>6.4409030544488655E-2</v>
      </c>
      <c r="Y12">
        <f t="shared" si="4"/>
        <v>5024</v>
      </c>
      <c r="AA12">
        <f t="shared" si="5"/>
        <v>16</v>
      </c>
      <c r="AB12" s="31">
        <f t="shared" si="9"/>
        <v>7.9681274900398409E-4</v>
      </c>
      <c r="AD12">
        <v>5020</v>
      </c>
      <c r="AE12" s="12">
        <f t="shared" si="0"/>
        <v>5030</v>
      </c>
      <c r="AF12" s="12">
        <f t="shared" si="6"/>
        <v>100</v>
      </c>
      <c r="AG12" s="31">
        <f t="shared" si="10"/>
        <v>1.9920318725099601E-3</v>
      </c>
      <c r="AH12" s="12">
        <f t="shared" si="7"/>
        <v>5025</v>
      </c>
      <c r="AI12" s="12">
        <f t="shared" si="8"/>
        <v>25</v>
      </c>
      <c r="AJ12" s="31">
        <f t="shared" si="11"/>
        <v>9.9601593625498006E-4</v>
      </c>
      <c r="AK12" s="12">
        <f t="shared" si="12"/>
        <v>4696.666666666667</v>
      </c>
      <c r="AL12" s="12">
        <f t="shared" si="13"/>
        <v>104544.44444444425</v>
      </c>
      <c r="AM12" s="31">
        <f t="shared" si="18"/>
        <v>6.4409030544488655E-2</v>
      </c>
    </row>
    <row r="13" spans="2:39">
      <c r="P13" s="1">
        <v>2021</v>
      </c>
      <c r="Q13" s="1">
        <v>12</v>
      </c>
      <c r="R13">
        <v>5020</v>
      </c>
      <c r="S13" s="28">
        <f t="shared" si="1"/>
        <v>5020</v>
      </c>
      <c r="T13" s="28">
        <f t="shared" si="14"/>
        <v>4700</v>
      </c>
      <c r="U13" s="29">
        <f t="shared" si="15"/>
        <v>0</v>
      </c>
      <c r="V13" s="31">
        <f t="shared" si="3"/>
        <v>0</v>
      </c>
      <c r="W13" s="29">
        <f t="shared" si="16"/>
        <v>102400</v>
      </c>
      <c r="X13" s="31">
        <f t="shared" si="17"/>
        <v>6.3745019920318724E-2</v>
      </c>
      <c r="Y13">
        <f t="shared" si="4"/>
        <v>5022</v>
      </c>
      <c r="AA13">
        <f t="shared" si="5"/>
        <v>4</v>
      </c>
      <c r="AB13" s="31">
        <f t="shared" si="9"/>
        <v>3.9840637450199205E-4</v>
      </c>
      <c r="AD13">
        <v>5020</v>
      </c>
      <c r="AE13" s="12">
        <f t="shared" si="0"/>
        <v>5020</v>
      </c>
      <c r="AF13" s="12">
        <f t="shared" si="6"/>
        <v>0</v>
      </c>
      <c r="AG13" s="31">
        <f t="shared" si="10"/>
        <v>0</v>
      </c>
      <c r="AH13" s="12">
        <f t="shared" si="7"/>
        <v>5027.5</v>
      </c>
      <c r="AI13" s="12">
        <f t="shared" si="8"/>
        <v>56.25</v>
      </c>
      <c r="AJ13" s="31">
        <f t="shared" si="11"/>
        <v>1.4940239043824701E-3</v>
      </c>
      <c r="AK13" s="12">
        <f t="shared" si="12"/>
        <v>4700</v>
      </c>
      <c r="AL13" s="12">
        <f t="shared" si="13"/>
        <v>102400</v>
      </c>
      <c r="AM13" s="31">
        <f t="shared" si="18"/>
        <v>6.3745019920318724E-2</v>
      </c>
    </row>
    <row r="14" spans="2:39">
      <c r="P14" s="1">
        <v>2022</v>
      </c>
      <c r="Q14" s="1">
        <v>1</v>
      </c>
      <c r="R14">
        <v>6000</v>
      </c>
      <c r="S14" s="28">
        <f t="shared" si="1"/>
        <v>5016.666666666667</v>
      </c>
      <c r="T14" s="28">
        <f t="shared" si="14"/>
        <v>5023.333333333333</v>
      </c>
      <c r="U14" s="29">
        <f t="shared" si="15"/>
        <v>966944.4444444438</v>
      </c>
      <c r="V14" s="31">
        <f t="shared" si="3"/>
        <v>0.16388888888888883</v>
      </c>
      <c r="W14" s="29">
        <f t="shared" si="16"/>
        <v>953877.77777777833</v>
      </c>
      <c r="X14" s="31">
        <f t="shared" si="17"/>
        <v>0.16277777777777783</v>
      </c>
      <c r="Y14">
        <f t="shared" si="4"/>
        <v>5019</v>
      </c>
      <c r="AA14">
        <f t="shared" si="5"/>
        <v>962361</v>
      </c>
      <c r="AB14" s="31">
        <f t="shared" si="9"/>
        <v>0.16350000000000001</v>
      </c>
      <c r="AD14">
        <v>6000</v>
      </c>
      <c r="AE14" s="12">
        <f t="shared" si="0"/>
        <v>5016.666666666667</v>
      </c>
      <c r="AF14" s="12">
        <f t="shared" si="6"/>
        <v>966944.4444444438</v>
      </c>
      <c r="AG14" s="31">
        <f t="shared" si="10"/>
        <v>0.16388888888888883</v>
      </c>
      <c r="AH14" s="12">
        <f t="shared" si="7"/>
        <v>5020</v>
      </c>
      <c r="AI14" s="12">
        <f t="shared" si="8"/>
        <v>960400</v>
      </c>
      <c r="AJ14" s="31">
        <f t="shared" si="11"/>
        <v>0.16333333333333333</v>
      </c>
      <c r="AK14" s="12">
        <f t="shared" si="12"/>
        <v>5023.333333333333</v>
      </c>
      <c r="AL14" s="12">
        <f t="shared" si="13"/>
        <v>953877.77777777833</v>
      </c>
      <c r="AM14" s="31">
        <f t="shared" si="18"/>
        <v>0.16277777777777783</v>
      </c>
    </row>
    <row r="15" spans="2:39">
      <c r="P15" s="1">
        <v>2022</v>
      </c>
      <c r="Q15" s="1">
        <v>2</v>
      </c>
      <c r="R15">
        <v>6080</v>
      </c>
      <c r="S15" s="28">
        <f t="shared" si="1"/>
        <v>5346.666666666667</v>
      </c>
      <c r="T15" s="28">
        <f t="shared" si="14"/>
        <v>5188.333333333333</v>
      </c>
      <c r="U15" s="29">
        <f t="shared" si="15"/>
        <v>537777.77777777729</v>
      </c>
      <c r="V15" s="31">
        <f t="shared" si="3"/>
        <v>0.12061403508771924</v>
      </c>
      <c r="W15" s="29">
        <f t="shared" si="16"/>
        <v>795069.44444444496</v>
      </c>
      <c r="X15" s="31">
        <f t="shared" si="17"/>
        <v>0.14665570175438603</v>
      </c>
      <c r="Y15">
        <f t="shared" si="4"/>
        <v>5411</v>
      </c>
      <c r="AA15">
        <f t="shared" si="5"/>
        <v>447561</v>
      </c>
      <c r="AB15" s="31">
        <f t="shared" si="9"/>
        <v>0.11003289473684211</v>
      </c>
      <c r="AD15">
        <v>6080</v>
      </c>
      <c r="AE15" s="12">
        <f t="shared" si="0"/>
        <v>5346.666666666667</v>
      </c>
      <c r="AF15" s="12">
        <f t="shared" si="6"/>
        <v>537777.77777777729</v>
      </c>
      <c r="AG15" s="31">
        <f t="shared" si="10"/>
        <v>0.12061403508771924</v>
      </c>
      <c r="AH15" s="12">
        <f t="shared" si="7"/>
        <v>5262.5</v>
      </c>
      <c r="AI15" s="12">
        <f t="shared" si="8"/>
        <v>668306.25</v>
      </c>
      <c r="AJ15" s="31">
        <f t="shared" si="11"/>
        <v>0.13445723684210525</v>
      </c>
      <c r="AK15" s="12">
        <f t="shared" si="12"/>
        <v>5188.333333333333</v>
      </c>
      <c r="AL15" s="12">
        <f t="shared" si="13"/>
        <v>795069.44444444496</v>
      </c>
      <c r="AM15" s="31">
        <f t="shared" si="18"/>
        <v>0.14665570175438603</v>
      </c>
    </row>
    <row r="16" spans="2:39">
      <c r="P16" s="1">
        <v>2022</v>
      </c>
      <c r="Q16" s="1">
        <v>3</v>
      </c>
      <c r="R16">
        <v>7120</v>
      </c>
      <c r="S16" s="28">
        <f t="shared" si="1"/>
        <v>5700</v>
      </c>
      <c r="T16" s="28">
        <f t="shared" si="14"/>
        <v>5360</v>
      </c>
      <c r="U16" s="29">
        <f t="shared" si="15"/>
        <v>2016400</v>
      </c>
      <c r="V16" s="31">
        <f t="shared" si="3"/>
        <v>0.199438202247191</v>
      </c>
      <c r="W16" s="29">
        <f t="shared" si="16"/>
        <v>3097600</v>
      </c>
      <c r="X16" s="31">
        <f t="shared" si="17"/>
        <v>0.24719101123595505</v>
      </c>
      <c r="Y16">
        <f t="shared" si="4"/>
        <v>5738</v>
      </c>
      <c r="AA16">
        <f t="shared" si="5"/>
        <v>1909924</v>
      </c>
      <c r="AB16" s="31">
        <f t="shared" si="9"/>
        <v>0.19410112359550563</v>
      </c>
      <c r="AD16">
        <v>7120</v>
      </c>
      <c r="AE16" s="12">
        <f t="shared" si="0"/>
        <v>5700</v>
      </c>
      <c r="AF16" s="12">
        <f t="shared" si="6"/>
        <v>2016400</v>
      </c>
      <c r="AG16" s="31">
        <f t="shared" si="10"/>
        <v>0.199438202247191</v>
      </c>
      <c r="AH16" s="12">
        <f t="shared" si="7"/>
        <v>5530</v>
      </c>
      <c r="AI16" s="12">
        <f t="shared" si="8"/>
        <v>2528100</v>
      </c>
      <c r="AJ16" s="31">
        <f t="shared" si="11"/>
        <v>0.22331460674157302</v>
      </c>
      <c r="AK16" s="12">
        <f t="shared" si="12"/>
        <v>5360</v>
      </c>
      <c r="AL16" s="12">
        <f t="shared" si="13"/>
        <v>3097600</v>
      </c>
      <c r="AM16" s="31">
        <f t="shared" si="18"/>
        <v>0.24719101123595505</v>
      </c>
    </row>
    <row r="17" spans="16:39">
      <c r="P17" s="1">
        <v>2022</v>
      </c>
      <c r="Q17" s="1">
        <v>4</v>
      </c>
      <c r="R17">
        <v>6130</v>
      </c>
      <c r="S17" s="28">
        <f t="shared" si="1"/>
        <v>6400</v>
      </c>
      <c r="T17" s="28">
        <f t="shared" si="14"/>
        <v>5708.333333333333</v>
      </c>
      <c r="U17" s="29">
        <f t="shared" si="15"/>
        <v>72900</v>
      </c>
      <c r="V17" s="31">
        <f t="shared" si="3"/>
        <v>4.4045676998368678E-2</v>
      </c>
      <c r="W17" s="29">
        <f t="shared" si="16"/>
        <v>177802.77777777804</v>
      </c>
      <c r="X17" s="31">
        <f t="shared" si="17"/>
        <v>6.8787384448069658E-2</v>
      </c>
      <c r="Y17">
        <f t="shared" si="4"/>
        <v>6374</v>
      </c>
      <c r="AA17">
        <f t="shared" si="5"/>
        <v>59536</v>
      </c>
      <c r="AB17" s="31">
        <f t="shared" si="9"/>
        <v>3.9804241435562805E-2</v>
      </c>
      <c r="AD17">
        <v>6130</v>
      </c>
      <c r="AE17" s="12">
        <f t="shared" si="0"/>
        <v>6400</v>
      </c>
      <c r="AF17" s="12">
        <f t="shared" si="6"/>
        <v>72900</v>
      </c>
      <c r="AG17" s="31">
        <f t="shared" si="10"/>
        <v>4.4045676998368678E-2</v>
      </c>
      <c r="AH17" s="12">
        <f t="shared" si="7"/>
        <v>6055</v>
      </c>
      <c r="AI17" s="12">
        <f t="shared" si="8"/>
        <v>5625</v>
      </c>
      <c r="AJ17" s="31">
        <f t="shared" si="11"/>
        <v>1.2234910277324634E-2</v>
      </c>
      <c r="AK17" s="12">
        <f t="shared" si="12"/>
        <v>5708.333333333333</v>
      </c>
      <c r="AL17" s="12">
        <f t="shared" si="13"/>
        <v>177802.77777777804</v>
      </c>
      <c r="AM17" s="31">
        <f t="shared" si="18"/>
        <v>6.8787384448069658E-2</v>
      </c>
    </row>
    <row r="18" spans="16:39">
      <c r="P18" s="1">
        <v>2022</v>
      </c>
      <c r="Q18" s="1">
        <v>5</v>
      </c>
      <c r="R18">
        <v>6090</v>
      </c>
      <c r="S18" s="28">
        <f t="shared" si="1"/>
        <v>6443.333333333333</v>
      </c>
      <c r="T18" s="28">
        <f t="shared" si="14"/>
        <v>5895</v>
      </c>
      <c r="U18" s="29">
        <f t="shared" si="15"/>
        <v>124844.44444444423</v>
      </c>
      <c r="V18" s="31">
        <f t="shared" si="3"/>
        <v>5.8018609742747626E-2</v>
      </c>
      <c r="W18" s="29">
        <f t="shared" si="16"/>
        <v>38025</v>
      </c>
      <c r="X18" s="31">
        <f t="shared" si="17"/>
        <v>3.2019704433497539E-2</v>
      </c>
      <c r="Y18">
        <f t="shared" si="4"/>
        <v>6404</v>
      </c>
      <c r="AA18">
        <f t="shared" si="5"/>
        <v>98596</v>
      </c>
      <c r="AB18" s="31">
        <f t="shared" si="9"/>
        <v>5.155993431855501E-2</v>
      </c>
      <c r="AD18">
        <v>6090</v>
      </c>
      <c r="AE18" s="12">
        <f t="shared" si="0"/>
        <v>6443.333333333333</v>
      </c>
      <c r="AF18" s="12">
        <f t="shared" si="6"/>
        <v>124844.44444444423</v>
      </c>
      <c r="AG18" s="31">
        <f t="shared" si="10"/>
        <v>5.8018609742747626E-2</v>
      </c>
      <c r="AH18" s="12">
        <f t="shared" si="7"/>
        <v>6332.5</v>
      </c>
      <c r="AI18" s="12">
        <f t="shared" si="8"/>
        <v>58806.25</v>
      </c>
      <c r="AJ18" s="31">
        <f t="shared" si="11"/>
        <v>3.9819376026272578E-2</v>
      </c>
      <c r="AK18" s="12">
        <f t="shared" si="12"/>
        <v>5895</v>
      </c>
      <c r="AL18" s="12">
        <f t="shared" si="13"/>
        <v>38025</v>
      </c>
      <c r="AM18" s="31">
        <f t="shared" si="18"/>
        <v>3.2019704433497539E-2</v>
      </c>
    </row>
    <row r="19" spans="16:39">
      <c r="P19" s="1">
        <v>2022</v>
      </c>
      <c r="Q19" s="1">
        <v>6</v>
      </c>
      <c r="R19">
        <v>4070</v>
      </c>
      <c r="S19" s="28">
        <f t="shared" si="1"/>
        <v>6446.666666666667</v>
      </c>
      <c r="T19" s="28">
        <f t="shared" si="14"/>
        <v>6073.333333333333</v>
      </c>
      <c r="U19" s="29">
        <f t="shared" si="15"/>
        <v>5648544.4444444459</v>
      </c>
      <c r="V19" s="31">
        <f t="shared" si="3"/>
        <v>0.58394758394758406</v>
      </c>
      <c r="W19" s="29">
        <f t="shared" si="16"/>
        <v>4013344.4444444431</v>
      </c>
      <c r="X19" s="31">
        <f t="shared" si="17"/>
        <v>0.49221949221949213</v>
      </c>
      <c r="Y19">
        <f t="shared" si="4"/>
        <v>6307</v>
      </c>
      <c r="AA19">
        <f t="shared" si="5"/>
        <v>5004169</v>
      </c>
      <c r="AB19" s="31">
        <f t="shared" si="9"/>
        <v>0.54963144963144961</v>
      </c>
      <c r="AD19">
        <v>4070</v>
      </c>
      <c r="AE19" s="12">
        <f t="shared" si="0"/>
        <v>6446.666666666667</v>
      </c>
      <c r="AF19" s="12">
        <f t="shared" si="6"/>
        <v>5648544.4444444459</v>
      </c>
      <c r="AG19" s="31">
        <f t="shared" si="10"/>
        <v>0.58394758394758406</v>
      </c>
      <c r="AH19" s="12">
        <f t="shared" si="7"/>
        <v>6355</v>
      </c>
      <c r="AI19" s="12">
        <f t="shared" si="8"/>
        <v>5221225</v>
      </c>
      <c r="AJ19" s="31">
        <f t="shared" si="11"/>
        <v>0.56142506142506143</v>
      </c>
      <c r="AK19" s="12">
        <f t="shared" si="12"/>
        <v>6073.333333333333</v>
      </c>
      <c r="AL19" s="12">
        <f t="shared" si="13"/>
        <v>4013344.4444444431</v>
      </c>
      <c r="AM19" s="31">
        <f t="shared" si="18"/>
        <v>0.49221949221949213</v>
      </c>
    </row>
    <row r="20" spans="16:39">
      <c r="P20" s="1">
        <v>2022</v>
      </c>
      <c r="Q20" s="1">
        <v>7</v>
      </c>
      <c r="R20">
        <v>6210</v>
      </c>
      <c r="S20" s="28">
        <f t="shared" si="1"/>
        <v>5430</v>
      </c>
      <c r="T20" s="28">
        <f t="shared" si="14"/>
        <v>5915</v>
      </c>
      <c r="U20" s="29">
        <f t="shared" si="15"/>
        <v>608400</v>
      </c>
      <c r="V20" s="31">
        <f t="shared" si="3"/>
        <v>0.12560386473429952</v>
      </c>
      <c r="W20" s="29">
        <f t="shared" si="16"/>
        <v>87025</v>
      </c>
      <c r="X20" s="31">
        <f t="shared" si="17"/>
        <v>4.7504025764895333E-2</v>
      </c>
      <c r="Y20">
        <f t="shared" si="4"/>
        <v>5393</v>
      </c>
      <c r="AA20">
        <f t="shared" si="5"/>
        <v>667489</v>
      </c>
      <c r="AB20" s="31">
        <f t="shared" si="9"/>
        <v>0.1315619967793881</v>
      </c>
      <c r="AD20">
        <v>6210</v>
      </c>
      <c r="AE20" s="12">
        <f t="shared" si="0"/>
        <v>5430</v>
      </c>
      <c r="AF20" s="12">
        <f t="shared" si="6"/>
        <v>608400</v>
      </c>
      <c r="AG20" s="31">
        <f t="shared" si="10"/>
        <v>0.12560386473429952</v>
      </c>
      <c r="AH20" s="12">
        <f t="shared" si="7"/>
        <v>5852.5</v>
      </c>
      <c r="AI20" s="12">
        <f t="shared" si="8"/>
        <v>127806.25</v>
      </c>
      <c r="AJ20" s="31">
        <f t="shared" si="11"/>
        <v>5.7568438003220611E-2</v>
      </c>
      <c r="AK20" s="12">
        <f t="shared" si="12"/>
        <v>5915</v>
      </c>
      <c r="AL20" s="12">
        <f t="shared" si="13"/>
        <v>87025</v>
      </c>
      <c r="AM20" s="31">
        <f t="shared" si="18"/>
        <v>4.7504025764895333E-2</v>
      </c>
    </row>
    <row r="21" spans="16:39">
      <c r="P21" s="1">
        <v>2022</v>
      </c>
      <c r="Q21" s="1">
        <v>8</v>
      </c>
      <c r="R21">
        <v>6170</v>
      </c>
      <c r="S21" s="28">
        <f t="shared" si="1"/>
        <v>5456.666666666667</v>
      </c>
      <c r="T21" s="28">
        <f t="shared" si="14"/>
        <v>5950</v>
      </c>
      <c r="U21" s="29">
        <f t="shared" si="15"/>
        <v>508844.44444444403</v>
      </c>
      <c r="V21" s="31">
        <f t="shared" si="3"/>
        <v>0.11561318206374928</v>
      </c>
      <c r="W21" s="29">
        <f t="shared" si="16"/>
        <v>48400</v>
      </c>
      <c r="X21" s="31">
        <f t="shared" si="17"/>
        <v>3.5656401944894653E-2</v>
      </c>
      <c r="Y21">
        <f t="shared" si="4"/>
        <v>5536</v>
      </c>
      <c r="AA21">
        <f t="shared" si="5"/>
        <v>401956</v>
      </c>
      <c r="AB21" s="31">
        <f t="shared" si="9"/>
        <v>0.10275526742301459</v>
      </c>
      <c r="AD21">
        <v>6170</v>
      </c>
      <c r="AE21" s="12">
        <f t="shared" si="0"/>
        <v>5456.666666666667</v>
      </c>
      <c r="AF21" s="12">
        <f t="shared" si="6"/>
        <v>508844.44444444403</v>
      </c>
      <c r="AG21" s="31">
        <f t="shared" si="10"/>
        <v>0.11561318206374928</v>
      </c>
      <c r="AH21" s="12">
        <f t="shared" si="7"/>
        <v>5625</v>
      </c>
      <c r="AI21" s="12">
        <f t="shared" si="8"/>
        <v>297025</v>
      </c>
      <c r="AJ21" s="31">
        <f t="shared" si="11"/>
        <v>8.8330632090761751E-2</v>
      </c>
      <c r="AK21" s="12">
        <f t="shared" si="12"/>
        <v>5950</v>
      </c>
      <c r="AL21" s="12">
        <f t="shared" si="13"/>
        <v>48400</v>
      </c>
      <c r="AM21" s="31">
        <f t="shared" si="18"/>
        <v>3.5656401944894653E-2</v>
      </c>
    </row>
    <row r="22" spans="16:39">
      <c r="P22" s="1">
        <v>2022</v>
      </c>
      <c r="Q22" s="1">
        <v>9</v>
      </c>
      <c r="R22">
        <v>6080</v>
      </c>
      <c r="S22" s="28">
        <f t="shared" si="1"/>
        <v>5483.333333333333</v>
      </c>
      <c r="T22" s="28">
        <f t="shared" si="14"/>
        <v>5965</v>
      </c>
      <c r="U22" s="29">
        <f t="shared" si="15"/>
        <v>356011.11111111147</v>
      </c>
      <c r="V22" s="31">
        <f t="shared" si="3"/>
        <v>9.8135964912280757E-2</v>
      </c>
      <c r="W22" s="29">
        <f t="shared" si="16"/>
        <v>13225</v>
      </c>
      <c r="X22" s="31">
        <f t="shared" si="17"/>
        <v>1.8914473684210526E-2</v>
      </c>
      <c r="Y22">
        <f t="shared" si="4"/>
        <v>5754</v>
      </c>
      <c r="AA22">
        <f t="shared" si="5"/>
        <v>106276</v>
      </c>
      <c r="AB22" s="31">
        <f t="shared" si="9"/>
        <v>5.3618421052631579E-2</v>
      </c>
      <c r="AD22">
        <v>6080</v>
      </c>
      <c r="AE22" s="12">
        <f t="shared" si="0"/>
        <v>5483.333333333333</v>
      </c>
      <c r="AF22" s="12">
        <f t="shared" si="6"/>
        <v>356011.11111111147</v>
      </c>
      <c r="AG22" s="31">
        <f t="shared" si="10"/>
        <v>9.8135964912280757E-2</v>
      </c>
      <c r="AH22" s="12">
        <f t="shared" si="7"/>
        <v>5635</v>
      </c>
      <c r="AI22" s="12">
        <f t="shared" si="8"/>
        <v>198025</v>
      </c>
      <c r="AJ22" s="31">
        <f t="shared" si="11"/>
        <v>7.3190789473684209E-2</v>
      </c>
      <c r="AK22" s="12">
        <f t="shared" si="12"/>
        <v>5965</v>
      </c>
      <c r="AL22" s="12">
        <f t="shared" si="13"/>
        <v>13225</v>
      </c>
      <c r="AM22" s="31">
        <f t="shared" si="18"/>
        <v>1.8914473684210526E-2</v>
      </c>
    </row>
    <row r="23" spans="16:39">
      <c r="P23" s="1">
        <v>2022</v>
      </c>
      <c r="Q23" s="1">
        <v>10</v>
      </c>
      <c r="R23">
        <v>6260</v>
      </c>
      <c r="S23" s="28">
        <f t="shared" si="1"/>
        <v>6153.333333333333</v>
      </c>
      <c r="T23" s="28">
        <f t="shared" si="14"/>
        <v>5791.666666666667</v>
      </c>
      <c r="U23" s="29">
        <f t="shared" si="15"/>
        <v>11377.777777777843</v>
      </c>
      <c r="V23" s="31">
        <f t="shared" si="3"/>
        <v>1.7039403620873316E-2</v>
      </c>
      <c r="W23" s="29">
        <f t="shared" si="16"/>
        <v>219336.11111111083</v>
      </c>
      <c r="X23" s="31">
        <f t="shared" si="17"/>
        <v>7.4813631522896648E-2</v>
      </c>
      <c r="Y23">
        <f t="shared" si="4"/>
        <v>5932</v>
      </c>
      <c r="AA23">
        <f t="shared" si="5"/>
        <v>107584</v>
      </c>
      <c r="AB23" s="31">
        <f t="shared" si="9"/>
        <v>5.2396166134185303E-2</v>
      </c>
      <c r="AD23">
        <v>6260</v>
      </c>
      <c r="AE23" s="12">
        <f t="shared" si="0"/>
        <v>6153.333333333333</v>
      </c>
      <c r="AF23" s="12">
        <f t="shared" si="6"/>
        <v>11377.777777777843</v>
      </c>
      <c r="AG23" s="31">
        <f t="shared" si="10"/>
        <v>1.7039403620873316E-2</v>
      </c>
      <c r="AH23" s="12">
        <f t="shared" si="7"/>
        <v>5632.5</v>
      </c>
      <c r="AI23" s="12">
        <f t="shared" si="8"/>
        <v>393756.25</v>
      </c>
      <c r="AJ23" s="31">
        <f t="shared" si="11"/>
        <v>0.10023961661341853</v>
      </c>
      <c r="AK23" s="12">
        <f t="shared" si="12"/>
        <v>5791.666666666667</v>
      </c>
      <c r="AL23" s="12">
        <f t="shared" si="13"/>
        <v>219336.11111111083</v>
      </c>
      <c r="AM23" s="31">
        <f t="shared" si="18"/>
        <v>7.4813631522896648E-2</v>
      </c>
    </row>
    <row r="24" spans="16:39">
      <c r="P24" s="1">
        <v>2022</v>
      </c>
      <c r="Q24" s="1">
        <v>11</v>
      </c>
      <c r="R24">
        <v>6100</v>
      </c>
      <c r="S24" s="28">
        <f t="shared" si="1"/>
        <v>6170</v>
      </c>
      <c r="T24" s="28">
        <f t="shared" si="14"/>
        <v>5813.333333333333</v>
      </c>
      <c r="U24" s="29">
        <f t="shared" si="15"/>
        <v>4900</v>
      </c>
      <c r="V24" s="31">
        <f t="shared" si="3"/>
        <v>1.1475409836065573E-2</v>
      </c>
      <c r="W24" s="29">
        <f t="shared" si="16"/>
        <v>82177.777777777956</v>
      </c>
      <c r="X24" s="31">
        <f t="shared" si="17"/>
        <v>4.6994535519125732E-2</v>
      </c>
      <c r="Y24">
        <f t="shared" si="4"/>
        <v>6183</v>
      </c>
      <c r="AA24">
        <f t="shared" si="5"/>
        <v>6889</v>
      </c>
      <c r="AB24" s="31">
        <f t="shared" si="9"/>
        <v>1.360655737704918E-2</v>
      </c>
      <c r="AD24">
        <v>6100</v>
      </c>
      <c r="AE24" s="12">
        <f t="shared" si="0"/>
        <v>6170</v>
      </c>
      <c r="AF24" s="12">
        <f t="shared" si="6"/>
        <v>4900</v>
      </c>
      <c r="AG24" s="31">
        <f t="shared" si="10"/>
        <v>1.1475409836065573E-2</v>
      </c>
      <c r="AH24" s="12">
        <f t="shared" si="7"/>
        <v>6180</v>
      </c>
      <c r="AI24" s="12">
        <f t="shared" si="8"/>
        <v>6400</v>
      </c>
      <c r="AJ24" s="31">
        <f t="shared" si="11"/>
        <v>1.3114754098360656E-2</v>
      </c>
      <c r="AK24" s="12">
        <f t="shared" si="12"/>
        <v>5813.333333333333</v>
      </c>
      <c r="AL24" s="12">
        <f t="shared" si="13"/>
        <v>82177.777777777956</v>
      </c>
      <c r="AM24" s="31">
        <f t="shared" si="18"/>
        <v>4.6994535519125732E-2</v>
      </c>
    </row>
    <row r="25" spans="16:39">
      <c r="P25" s="1">
        <v>2022</v>
      </c>
      <c r="Q25" s="1">
        <v>12</v>
      </c>
      <c r="R25">
        <v>6050</v>
      </c>
      <c r="S25" s="28">
        <f t="shared" si="1"/>
        <v>6146.666666666667</v>
      </c>
      <c r="T25" s="28">
        <f t="shared" si="14"/>
        <v>5815</v>
      </c>
      <c r="U25" s="29">
        <f t="shared" si="15"/>
        <v>9344.4444444445035</v>
      </c>
      <c r="V25" s="31">
        <f t="shared" si="3"/>
        <v>1.5977961432506939E-2</v>
      </c>
      <c r="W25" s="29">
        <f t="shared" si="16"/>
        <v>55225</v>
      </c>
      <c r="X25" s="31">
        <f t="shared" si="17"/>
        <v>3.884297520661157E-2</v>
      </c>
      <c r="Y25">
        <f t="shared" si="4"/>
        <v>6151</v>
      </c>
      <c r="AA25">
        <f t="shared" si="5"/>
        <v>10201</v>
      </c>
      <c r="AB25" s="31">
        <f t="shared" si="9"/>
        <v>1.6694214876033057E-2</v>
      </c>
      <c r="AD25">
        <v>6050</v>
      </c>
      <c r="AE25" s="12">
        <f t="shared" si="0"/>
        <v>6146.666666666667</v>
      </c>
      <c r="AF25" s="12">
        <f t="shared" si="6"/>
        <v>9344.4444444445035</v>
      </c>
      <c r="AG25" s="31">
        <f t="shared" si="10"/>
        <v>1.5977961432506939E-2</v>
      </c>
      <c r="AH25" s="12">
        <f t="shared" si="7"/>
        <v>6152.5</v>
      </c>
      <c r="AI25" s="12">
        <f t="shared" si="8"/>
        <v>10506.25</v>
      </c>
      <c r="AJ25" s="31">
        <f t="shared" si="11"/>
        <v>1.6942148760330577E-2</v>
      </c>
      <c r="AK25" s="12">
        <f t="shared" si="12"/>
        <v>5815</v>
      </c>
      <c r="AL25" s="12">
        <f t="shared" si="13"/>
        <v>55225</v>
      </c>
      <c r="AM25" s="31">
        <f t="shared" si="18"/>
        <v>3.884297520661157E-2</v>
      </c>
    </row>
    <row r="26" spans="16:39">
      <c r="P26" s="1">
        <v>2023</v>
      </c>
      <c r="Q26" s="1">
        <v>1</v>
      </c>
      <c r="R26">
        <v>7000</v>
      </c>
      <c r="S26" s="28">
        <f t="shared" si="1"/>
        <v>6136.666666666667</v>
      </c>
      <c r="T26" s="28">
        <f t="shared" si="14"/>
        <v>6145</v>
      </c>
      <c r="U26" s="29">
        <f t="shared" si="15"/>
        <v>745344.44444444391</v>
      </c>
      <c r="V26" s="31">
        <f t="shared" si="3"/>
        <v>0.12333333333333329</v>
      </c>
      <c r="W26" s="29">
        <f t="shared" si="16"/>
        <v>731025</v>
      </c>
      <c r="X26" s="31">
        <f t="shared" si="17"/>
        <v>0.12214285714285714</v>
      </c>
      <c r="Y26">
        <f t="shared" si="4"/>
        <v>6110</v>
      </c>
      <c r="AA26">
        <f t="shared" si="5"/>
        <v>792100</v>
      </c>
      <c r="AB26" s="31">
        <f t="shared" si="9"/>
        <v>0.12714285714285714</v>
      </c>
      <c r="AD26">
        <v>7000</v>
      </c>
      <c r="AE26" s="12">
        <f t="shared" si="0"/>
        <v>6136.666666666667</v>
      </c>
      <c r="AF26" s="12">
        <f t="shared" si="6"/>
        <v>745344.44444444391</v>
      </c>
      <c r="AG26" s="31">
        <f t="shared" si="10"/>
        <v>0.12333333333333329</v>
      </c>
      <c r="AH26" s="12">
        <f t="shared" si="7"/>
        <v>6122.5</v>
      </c>
      <c r="AI26" s="12">
        <f t="shared" si="8"/>
        <v>770006.25</v>
      </c>
      <c r="AJ26" s="31">
        <f t="shared" si="11"/>
        <v>0.12535714285714286</v>
      </c>
      <c r="AK26" s="12">
        <f t="shared" si="12"/>
        <v>6145</v>
      </c>
      <c r="AL26" s="12">
        <f t="shared" si="13"/>
        <v>731025</v>
      </c>
      <c r="AM26" s="31">
        <f t="shared" si="18"/>
        <v>0.12214285714285714</v>
      </c>
    </row>
    <row r="27" spans="16:39">
      <c r="P27" s="1">
        <v>2023</v>
      </c>
      <c r="Q27" s="1">
        <v>2</v>
      </c>
      <c r="R27">
        <v>7040</v>
      </c>
      <c r="S27" s="28">
        <f t="shared" si="1"/>
        <v>6383.333333333333</v>
      </c>
      <c r="T27" s="28">
        <f t="shared" si="14"/>
        <v>6276.666666666667</v>
      </c>
      <c r="U27" s="29">
        <f t="shared" si="15"/>
        <v>431211.11111111153</v>
      </c>
      <c r="V27" s="31">
        <f t="shared" si="3"/>
        <v>9.3276515151515194E-2</v>
      </c>
      <c r="W27" s="29">
        <f t="shared" si="16"/>
        <v>582677.77777777729</v>
      </c>
      <c r="X27" s="31">
        <f t="shared" si="17"/>
        <v>0.10842803030303026</v>
      </c>
      <c r="Y27">
        <f t="shared" si="4"/>
        <v>6461</v>
      </c>
      <c r="AA27">
        <f t="shared" si="5"/>
        <v>335241</v>
      </c>
      <c r="AB27" s="31">
        <f t="shared" si="9"/>
        <v>8.2244318181818182E-2</v>
      </c>
      <c r="AD27">
        <v>7040</v>
      </c>
      <c r="AE27" s="12">
        <f t="shared" si="0"/>
        <v>6383.333333333333</v>
      </c>
      <c r="AF27" s="12">
        <f t="shared" si="6"/>
        <v>431211.11111111153</v>
      </c>
      <c r="AG27" s="31">
        <f t="shared" si="10"/>
        <v>9.3276515151515194E-2</v>
      </c>
      <c r="AH27" s="12">
        <f t="shared" si="7"/>
        <v>6352.5</v>
      </c>
      <c r="AI27" s="12">
        <f t="shared" si="8"/>
        <v>472656.25</v>
      </c>
      <c r="AJ27" s="31">
        <f t="shared" si="11"/>
        <v>9.765625E-2</v>
      </c>
      <c r="AK27" s="12">
        <f t="shared" si="12"/>
        <v>6276.666666666667</v>
      </c>
      <c r="AL27" s="12">
        <f t="shared" si="13"/>
        <v>582677.77777777729</v>
      </c>
      <c r="AM27" s="31">
        <f t="shared" si="18"/>
        <v>0.10842803030303026</v>
      </c>
    </row>
    <row r="28" spans="16:39">
      <c r="P28" s="1">
        <v>2023</v>
      </c>
      <c r="Q28" s="1">
        <v>3</v>
      </c>
      <c r="R28">
        <v>8320</v>
      </c>
      <c r="S28" s="28">
        <f t="shared" si="1"/>
        <v>6696.666666666667</v>
      </c>
      <c r="T28" s="28">
        <f t="shared" si="14"/>
        <v>6421.666666666667</v>
      </c>
      <c r="U28" s="29">
        <f t="shared" si="15"/>
        <v>2635211.1111111101</v>
      </c>
      <c r="V28" s="31">
        <f t="shared" si="3"/>
        <v>0.19511217948717946</v>
      </c>
      <c r="W28" s="29">
        <f t="shared" si="16"/>
        <v>3603669.4444444431</v>
      </c>
      <c r="X28" s="31">
        <f t="shared" si="17"/>
        <v>0.22816506410256407</v>
      </c>
      <c r="Y28">
        <f t="shared" si="4"/>
        <v>6736</v>
      </c>
      <c r="AA28">
        <f t="shared" si="5"/>
        <v>2509056</v>
      </c>
      <c r="AB28" s="31">
        <f t="shared" si="9"/>
        <v>0.19038461538461537</v>
      </c>
      <c r="AD28">
        <v>8320</v>
      </c>
      <c r="AE28" s="12">
        <f t="shared" si="0"/>
        <v>6696.666666666667</v>
      </c>
      <c r="AF28" s="12">
        <f t="shared" si="6"/>
        <v>2635211.1111111101</v>
      </c>
      <c r="AG28" s="31">
        <f t="shared" si="10"/>
        <v>0.19511217948717946</v>
      </c>
      <c r="AH28" s="12">
        <f t="shared" si="7"/>
        <v>6547.5</v>
      </c>
      <c r="AI28" s="12">
        <f t="shared" si="8"/>
        <v>3141756.25</v>
      </c>
      <c r="AJ28" s="31">
        <f t="shared" si="11"/>
        <v>0.21304086538461539</v>
      </c>
      <c r="AK28" s="12">
        <f t="shared" si="12"/>
        <v>6421.666666666667</v>
      </c>
      <c r="AL28" s="12">
        <f t="shared" si="13"/>
        <v>3603669.4444444431</v>
      </c>
      <c r="AM28" s="31">
        <f t="shared" si="18"/>
        <v>0.22816506410256407</v>
      </c>
    </row>
    <row r="29" spans="16:39">
      <c r="P29" s="1">
        <v>2023</v>
      </c>
      <c r="Q29" s="1">
        <v>4</v>
      </c>
      <c r="R29">
        <v>7020</v>
      </c>
      <c r="S29" s="28">
        <f t="shared" si="1"/>
        <v>7453.333333333333</v>
      </c>
      <c r="T29" s="28">
        <f t="shared" si="14"/>
        <v>6795</v>
      </c>
      <c r="U29" s="29">
        <f t="shared" si="15"/>
        <v>187777.77777777752</v>
      </c>
      <c r="V29" s="31">
        <f t="shared" si="3"/>
        <v>6.172839506172835E-2</v>
      </c>
      <c r="W29" s="29">
        <f t="shared" si="16"/>
        <v>50625</v>
      </c>
      <c r="X29" s="31">
        <f t="shared" si="17"/>
        <v>3.2051282051282048E-2</v>
      </c>
      <c r="Y29">
        <f t="shared" si="4"/>
        <v>7445</v>
      </c>
      <c r="AA29">
        <f t="shared" si="5"/>
        <v>180625</v>
      </c>
      <c r="AB29" s="31">
        <f t="shared" si="9"/>
        <v>6.0541310541310539E-2</v>
      </c>
      <c r="AD29">
        <v>7020</v>
      </c>
      <c r="AE29" s="12">
        <f t="shared" si="0"/>
        <v>7453.333333333333</v>
      </c>
      <c r="AF29" s="12">
        <f t="shared" si="6"/>
        <v>187777.77777777752</v>
      </c>
      <c r="AG29" s="31">
        <f t="shared" si="10"/>
        <v>6.172839506172835E-2</v>
      </c>
      <c r="AH29" s="12">
        <f t="shared" si="7"/>
        <v>7102.5</v>
      </c>
      <c r="AI29" s="12">
        <f t="shared" si="8"/>
        <v>6806.25</v>
      </c>
      <c r="AJ29" s="31">
        <f t="shared" si="11"/>
        <v>1.1752136752136752E-2</v>
      </c>
      <c r="AK29" s="12">
        <f t="shared" si="12"/>
        <v>6795</v>
      </c>
      <c r="AL29" s="12">
        <f t="shared" si="13"/>
        <v>50625</v>
      </c>
      <c r="AM29" s="31">
        <f t="shared" si="18"/>
        <v>3.2051282051282048E-2</v>
      </c>
    </row>
    <row r="30" spans="16:39">
      <c r="P30" s="1">
        <v>2023</v>
      </c>
      <c r="Q30" s="1">
        <v>5</v>
      </c>
      <c r="R30">
        <v>7140</v>
      </c>
      <c r="S30" s="28">
        <f t="shared" si="1"/>
        <v>7460</v>
      </c>
      <c r="T30" s="28">
        <f t="shared" si="14"/>
        <v>6921.666666666667</v>
      </c>
      <c r="U30" s="29">
        <f t="shared" si="15"/>
        <v>102400</v>
      </c>
      <c r="V30" s="31">
        <f t="shared" si="3"/>
        <v>4.4817927170868348E-2</v>
      </c>
      <c r="W30" s="29">
        <f t="shared" si="16"/>
        <v>47669.444444444314</v>
      </c>
      <c r="X30" s="31">
        <f t="shared" si="17"/>
        <v>3.0578898225957007E-2</v>
      </c>
      <c r="Y30">
        <f t="shared" si="4"/>
        <v>7412</v>
      </c>
      <c r="AA30">
        <f t="shared" si="5"/>
        <v>73984</v>
      </c>
      <c r="AB30" s="31">
        <f t="shared" si="9"/>
        <v>3.8095238095238099E-2</v>
      </c>
      <c r="AD30">
        <v>7140</v>
      </c>
      <c r="AE30" s="12">
        <f t="shared" si="0"/>
        <v>7460</v>
      </c>
      <c r="AF30" s="12">
        <f t="shared" si="6"/>
        <v>102400</v>
      </c>
      <c r="AG30" s="31">
        <f t="shared" si="10"/>
        <v>4.4817927170868348E-2</v>
      </c>
      <c r="AH30" s="12">
        <f t="shared" si="7"/>
        <v>7345</v>
      </c>
      <c r="AI30" s="12">
        <f t="shared" si="8"/>
        <v>42025</v>
      </c>
      <c r="AJ30" s="31">
        <f t="shared" si="11"/>
        <v>2.8711484593837534E-2</v>
      </c>
      <c r="AK30" s="12">
        <f t="shared" si="12"/>
        <v>6921.666666666667</v>
      </c>
      <c r="AL30" s="12">
        <f t="shared" si="13"/>
        <v>47669.444444444314</v>
      </c>
      <c r="AM30" s="31">
        <f t="shared" si="18"/>
        <v>3.0578898225957007E-2</v>
      </c>
    </row>
    <row r="31" spans="16:39">
      <c r="P31" s="1">
        <v>2023</v>
      </c>
      <c r="Q31" s="1">
        <v>6</v>
      </c>
      <c r="R31">
        <v>4900</v>
      </c>
      <c r="S31" s="28">
        <f t="shared" si="1"/>
        <v>7493.333333333333</v>
      </c>
      <c r="T31" s="28">
        <f t="shared" si="14"/>
        <v>7095</v>
      </c>
      <c r="U31" s="29">
        <f t="shared" si="15"/>
        <v>6725377.7777777761</v>
      </c>
      <c r="V31" s="31">
        <f t="shared" si="3"/>
        <v>0.52925170068027205</v>
      </c>
      <c r="W31" s="29">
        <f t="shared" si="16"/>
        <v>4818025</v>
      </c>
      <c r="X31" s="31">
        <f t="shared" si="17"/>
        <v>0.44795918367346937</v>
      </c>
      <c r="Y31">
        <f t="shared" si="4"/>
        <v>7330</v>
      </c>
      <c r="AA31">
        <f t="shared" si="5"/>
        <v>5904900</v>
      </c>
      <c r="AB31" s="31">
        <f t="shared" si="9"/>
        <v>0.49591836734693878</v>
      </c>
      <c r="AD31">
        <v>4900</v>
      </c>
      <c r="AE31" s="12">
        <f t="shared" si="0"/>
        <v>7493.333333333333</v>
      </c>
      <c r="AF31" s="12">
        <f t="shared" si="6"/>
        <v>6725377.7777777761</v>
      </c>
      <c r="AG31" s="31">
        <f t="shared" si="10"/>
        <v>0.52925170068027205</v>
      </c>
      <c r="AH31" s="12">
        <f t="shared" si="7"/>
        <v>7380</v>
      </c>
      <c r="AI31" s="12">
        <f t="shared" si="8"/>
        <v>6150400</v>
      </c>
      <c r="AJ31" s="31">
        <f t="shared" si="11"/>
        <v>0.5061224489795918</v>
      </c>
      <c r="AK31" s="12">
        <f t="shared" si="12"/>
        <v>7095</v>
      </c>
      <c r="AL31" s="12">
        <f t="shared" si="13"/>
        <v>4818025</v>
      </c>
      <c r="AM31" s="31">
        <f t="shared" si="18"/>
        <v>0.44795918367346937</v>
      </c>
    </row>
    <row r="32" spans="16:39">
      <c r="P32" s="1">
        <v>2023</v>
      </c>
      <c r="Q32" s="1">
        <v>7</v>
      </c>
      <c r="R32">
        <v>7040</v>
      </c>
      <c r="S32" s="28">
        <f t="shared" si="1"/>
        <v>6353.333333333333</v>
      </c>
      <c r="T32" s="28">
        <f t="shared" si="14"/>
        <v>6903.333333333333</v>
      </c>
      <c r="U32" s="29">
        <f t="shared" si="15"/>
        <v>471511.11111111153</v>
      </c>
      <c r="V32" s="31">
        <f t="shared" si="3"/>
        <v>9.7537878787878826E-2</v>
      </c>
      <c r="W32" s="29">
        <f t="shared" si="16"/>
        <v>18677.777777777861</v>
      </c>
      <c r="X32" s="31">
        <f t="shared" si="17"/>
        <v>1.941287878787883E-2</v>
      </c>
      <c r="Y32">
        <f t="shared" si="4"/>
        <v>6338</v>
      </c>
      <c r="AA32">
        <f t="shared" si="5"/>
        <v>492804</v>
      </c>
      <c r="AB32" s="31">
        <f t="shared" si="9"/>
        <v>9.9715909090909091E-2</v>
      </c>
      <c r="AD32">
        <v>7040</v>
      </c>
      <c r="AE32" s="12">
        <f t="shared" si="0"/>
        <v>6353.333333333333</v>
      </c>
      <c r="AF32" s="12">
        <f t="shared" si="6"/>
        <v>471511.11111111153</v>
      </c>
      <c r="AG32" s="31">
        <f t="shared" si="10"/>
        <v>9.7537878787878826E-2</v>
      </c>
      <c r="AH32" s="12">
        <f t="shared" si="7"/>
        <v>6845</v>
      </c>
      <c r="AI32" s="12">
        <f t="shared" si="8"/>
        <v>38025</v>
      </c>
      <c r="AJ32" s="31">
        <f t="shared" si="11"/>
        <v>2.7698863636363636E-2</v>
      </c>
      <c r="AK32" s="12">
        <f t="shared" si="12"/>
        <v>6903.333333333333</v>
      </c>
      <c r="AL32" s="12">
        <f t="shared" si="13"/>
        <v>18677.777777777861</v>
      </c>
      <c r="AM32" s="31">
        <f t="shared" si="18"/>
        <v>1.941287878787883E-2</v>
      </c>
    </row>
    <row r="33" spans="16:39">
      <c r="P33" s="1">
        <v>2023</v>
      </c>
      <c r="Q33" s="1">
        <v>8</v>
      </c>
      <c r="R33">
        <v>7060</v>
      </c>
      <c r="S33" s="28">
        <f t="shared" si="1"/>
        <v>6360</v>
      </c>
      <c r="T33" s="28">
        <f t="shared" si="14"/>
        <v>6910</v>
      </c>
      <c r="U33" s="29">
        <f t="shared" si="15"/>
        <v>490000</v>
      </c>
      <c r="V33" s="31">
        <f t="shared" si="3"/>
        <v>9.9150141643059492E-2</v>
      </c>
      <c r="W33" s="29">
        <f t="shared" si="16"/>
        <v>22500</v>
      </c>
      <c r="X33" s="31">
        <f t="shared" si="17"/>
        <v>2.1246458923512748E-2</v>
      </c>
      <c r="Y33">
        <f t="shared" si="4"/>
        <v>6416</v>
      </c>
      <c r="AA33">
        <f t="shared" si="5"/>
        <v>414736</v>
      </c>
      <c r="AB33" s="31">
        <f t="shared" si="9"/>
        <v>9.1218130311614729E-2</v>
      </c>
      <c r="AD33">
        <v>7060</v>
      </c>
      <c r="AE33" s="12">
        <f t="shared" si="0"/>
        <v>6360</v>
      </c>
      <c r="AF33" s="12">
        <f t="shared" si="6"/>
        <v>490000</v>
      </c>
      <c r="AG33" s="31">
        <f t="shared" si="10"/>
        <v>9.9150141643059492E-2</v>
      </c>
      <c r="AH33" s="12">
        <f t="shared" si="7"/>
        <v>6525</v>
      </c>
      <c r="AI33" s="12">
        <f t="shared" si="8"/>
        <v>286225</v>
      </c>
      <c r="AJ33" s="31">
        <f t="shared" si="11"/>
        <v>7.5779036827195473E-2</v>
      </c>
      <c r="AK33" s="12">
        <f t="shared" si="12"/>
        <v>6910</v>
      </c>
      <c r="AL33" s="12">
        <f t="shared" si="13"/>
        <v>22500</v>
      </c>
      <c r="AM33" s="31">
        <f t="shared" si="18"/>
        <v>2.1246458923512748E-2</v>
      </c>
    </row>
    <row r="34" spans="16:39">
      <c r="P34" s="1">
        <v>2023</v>
      </c>
      <c r="Q34" s="1">
        <v>9</v>
      </c>
      <c r="R34">
        <v>7120</v>
      </c>
      <c r="S34" s="28">
        <f t="shared" si="1"/>
        <v>6333.333333333333</v>
      </c>
      <c r="T34" s="28">
        <f t="shared" si="14"/>
        <v>6913.333333333333</v>
      </c>
      <c r="U34" s="29">
        <f t="shared" si="15"/>
        <v>618844.44444444496</v>
      </c>
      <c r="V34" s="31">
        <f t="shared" si="3"/>
        <v>0.11048689138576784</v>
      </c>
      <c r="W34" s="29">
        <f t="shared" si="16"/>
        <v>42711.111111111233</v>
      </c>
      <c r="X34" s="31">
        <f t="shared" si="17"/>
        <v>2.9026217228464463E-2</v>
      </c>
      <c r="Y34">
        <f t="shared" si="4"/>
        <v>6630</v>
      </c>
      <c r="AA34">
        <f t="shared" si="5"/>
        <v>240100</v>
      </c>
      <c r="AB34" s="31">
        <f t="shared" si="9"/>
        <v>6.8820224719101125E-2</v>
      </c>
      <c r="AD34">
        <v>7120</v>
      </c>
      <c r="AE34" s="12">
        <f t="shared" si="0"/>
        <v>6333.333333333333</v>
      </c>
      <c r="AF34" s="12">
        <f t="shared" si="6"/>
        <v>618844.44444444496</v>
      </c>
      <c r="AG34" s="31">
        <f t="shared" si="10"/>
        <v>0.11048689138576784</v>
      </c>
      <c r="AH34" s="12">
        <f t="shared" si="7"/>
        <v>6535</v>
      </c>
      <c r="AI34" s="12">
        <f t="shared" si="8"/>
        <v>342225</v>
      </c>
      <c r="AJ34" s="31">
        <f t="shared" si="11"/>
        <v>8.2162921348314613E-2</v>
      </c>
      <c r="AK34" s="12">
        <f t="shared" si="12"/>
        <v>6913.333333333333</v>
      </c>
      <c r="AL34" s="12">
        <f t="shared" si="13"/>
        <v>42711.111111111233</v>
      </c>
      <c r="AM34" s="31">
        <f t="shared" si="18"/>
        <v>2.9026217228464463E-2</v>
      </c>
    </row>
    <row r="35" spans="16:39">
      <c r="P35" s="1">
        <v>2023</v>
      </c>
      <c r="Q35" s="1">
        <v>10</v>
      </c>
      <c r="R35">
        <v>7080</v>
      </c>
      <c r="S35" s="28">
        <f t="shared" si="1"/>
        <v>7073.333333333333</v>
      </c>
      <c r="T35" s="28">
        <f t="shared" si="14"/>
        <v>6713.333333333333</v>
      </c>
      <c r="U35" s="29">
        <f t="shared" si="15"/>
        <v>44.444444444448486</v>
      </c>
      <c r="V35" s="31">
        <f t="shared" si="3"/>
        <v>9.4161958568742508E-4</v>
      </c>
      <c r="W35" s="29">
        <f t="shared" si="16"/>
        <v>134444.44444444467</v>
      </c>
      <c r="X35" s="31">
        <f t="shared" si="17"/>
        <v>5.1789077212806067E-2</v>
      </c>
      <c r="Y35">
        <f t="shared" si="4"/>
        <v>6864</v>
      </c>
      <c r="AA35">
        <f t="shared" si="5"/>
        <v>46656</v>
      </c>
      <c r="AB35" s="31">
        <f t="shared" si="9"/>
        <v>3.0508474576271188E-2</v>
      </c>
      <c r="AD35">
        <v>7080</v>
      </c>
      <c r="AE35" s="12">
        <f t="shared" si="0"/>
        <v>7073.333333333333</v>
      </c>
      <c r="AF35" s="12">
        <f t="shared" si="6"/>
        <v>44.444444444448486</v>
      </c>
      <c r="AG35" s="31">
        <f t="shared" si="10"/>
        <v>9.4161958568742508E-4</v>
      </c>
      <c r="AH35" s="12">
        <f t="shared" si="7"/>
        <v>6530</v>
      </c>
      <c r="AI35" s="12">
        <f t="shared" si="8"/>
        <v>302500</v>
      </c>
      <c r="AJ35" s="31">
        <f t="shared" si="11"/>
        <v>7.7683615819209045E-2</v>
      </c>
      <c r="AK35" s="12">
        <f t="shared" si="12"/>
        <v>6713.333333333333</v>
      </c>
      <c r="AL35" s="12">
        <f t="shared" si="13"/>
        <v>134444.44444444467</v>
      </c>
      <c r="AM35" s="31">
        <f t="shared" si="18"/>
        <v>5.1789077212806067E-2</v>
      </c>
    </row>
    <row r="36" spans="16:39">
      <c r="P36" s="1">
        <v>2023</v>
      </c>
      <c r="Q36" s="1">
        <v>11</v>
      </c>
      <c r="R36">
        <v>7200</v>
      </c>
      <c r="S36" s="28">
        <f t="shared" si="1"/>
        <v>7086.666666666667</v>
      </c>
      <c r="T36" s="28">
        <f t="shared" si="14"/>
        <v>6723.333333333333</v>
      </c>
      <c r="U36" s="29">
        <f t="shared" si="15"/>
        <v>12844.444444444376</v>
      </c>
      <c r="V36" s="31">
        <f t="shared" si="3"/>
        <v>1.5740740740740698E-2</v>
      </c>
      <c r="W36" s="29">
        <f t="shared" si="16"/>
        <v>227211.11111111139</v>
      </c>
      <c r="X36" s="31">
        <f t="shared" si="17"/>
        <v>6.6203703703703751E-2</v>
      </c>
      <c r="Y36">
        <f t="shared" si="4"/>
        <v>7084</v>
      </c>
      <c r="AA36">
        <f t="shared" si="5"/>
        <v>13456</v>
      </c>
      <c r="AB36" s="31">
        <f t="shared" si="9"/>
        <v>1.6111111111111111E-2</v>
      </c>
      <c r="AD36">
        <v>7200</v>
      </c>
      <c r="AE36" s="12">
        <f t="shared" si="0"/>
        <v>7086.666666666667</v>
      </c>
      <c r="AF36" s="12">
        <f t="shared" si="6"/>
        <v>12844.444444444376</v>
      </c>
      <c r="AG36" s="31">
        <f t="shared" si="10"/>
        <v>1.5740740740740698E-2</v>
      </c>
      <c r="AH36" s="12">
        <f t="shared" si="7"/>
        <v>7075</v>
      </c>
      <c r="AI36" s="12">
        <f t="shared" si="8"/>
        <v>15625</v>
      </c>
      <c r="AJ36" s="31">
        <f t="shared" si="11"/>
        <v>1.7361111111111112E-2</v>
      </c>
      <c r="AK36" s="12">
        <f t="shared" si="12"/>
        <v>6723.333333333333</v>
      </c>
      <c r="AL36" s="12">
        <f t="shared" si="13"/>
        <v>227211.11111111139</v>
      </c>
      <c r="AM36" s="31">
        <f t="shared" si="18"/>
        <v>6.6203703703703751E-2</v>
      </c>
    </row>
    <row r="37" spans="16:39">
      <c r="P37" s="1">
        <v>2023</v>
      </c>
      <c r="Q37" s="1">
        <v>12</v>
      </c>
      <c r="R37">
        <v>7150</v>
      </c>
      <c r="S37" s="28">
        <f t="shared" si="1"/>
        <v>7133.333333333333</v>
      </c>
      <c r="T37" s="28">
        <f t="shared" si="14"/>
        <v>6733.333333333333</v>
      </c>
      <c r="U37" s="29">
        <f t="shared" si="15"/>
        <v>277.77777777778789</v>
      </c>
      <c r="V37" s="31">
        <f t="shared" si="3"/>
        <v>2.3310023310023735E-3</v>
      </c>
      <c r="W37" s="29">
        <f t="shared" si="16"/>
        <v>173611.11111111136</v>
      </c>
      <c r="X37" s="31">
        <f t="shared" si="17"/>
        <v>5.8275058275058314E-2</v>
      </c>
      <c r="Y37">
        <f t="shared" si="4"/>
        <v>7134</v>
      </c>
      <c r="AA37">
        <f t="shared" si="5"/>
        <v>256</v>
      </c>
      <c r="AB37" s="31">
        <f t="shared" si="9"/>
        <v>2.2377622377622378E-3</v>
      </c>
      <c r="AD37">
        <v>7150</v>
      </c>
      <c r="AE37" s="12">
        <f t="shared" si="0"/>
        <v>7133.333333333333</v>
      </c>
      <c r="AF37" s="12">
        <f t="shared" si="6"/>
        <v>277.77777777778789</v>
      </c>
      <c r="AG37" s="31">
        <f t="shared" si="10"/>
        <v>2.3310023310023735E-3</v>
      </c>
      <c r="AH37" s="12">
        <f t="shared" si="7"/>
        <v>7115</v>
      </c>
      <c r="AI37" s="12">
        <f t="shared" si="8"/>
        <v>1225</v>
      </c>
      <c r="AJ37" s="31">
        <f t="shared" si="11"/>
        <v>4.8951048951048955E-3</v>
      </c>
      <c r="AK37" s="12">
        <f t="shared" si="12"/>
        <v>6733.333333333333</v>
      </c>
      <c r="AL37" s="12">
        <f t="shared" si="13"/>
        <v>173611.11111111136</v>
      </c>
      <c r="AM37" s="31">
        <f t="shared" si="18"/>
        <v>5.8275058275058314E-2</v>
      </c>
    </row>
    <row r="38" spans="16:39">
      <c r="S38" s="28">
        <f t="shared" si="1"/>
        <v>7143.333333333333</v>
      </c>
      <c r="T38" s="28">
        <f t="shared" si="14"/>
        <v>7108.333333333333</v>
      </c>
      <c r="W38" s="29">
        <f t="shared" ref="W38" si="19">(S38-T38)^2</f>
        <v>1225</v>
      </c>
      <c r="X38" s="29"/>
      <c r="Y38">
        <f t="shared" si="4"/>
        <v>7148</v>
      </c>
      <c r="AE38" s="12">
        <f t="shared" si="0"/>
        <v>7143.333333333333</v>
      </c>
      <c r="AH38" s="12">
        <f t="shared" si="7"/>
        <v>7137.5</v>
      </c>
      <c r="AI38" s="12"/>
      <c r="AJ38" s="12"/>
      <c r="AK38" s="12">
        <f t="shared" si="12"/>
        <v>7108.333333333333</v>
      </c>
    </row>
    <row r="39" spans="16:39">
      <c r="T39" s="11" t="s">
        <v>105</v>
      </c>
      <c r="U39" s="30">
        <f>SQRT(AVERAGE(U5:U37))</f>
        <v>953.23991207163056</v>
      </c>
      <c r="V39" s="30"/>
      <c r="W39" s="36">
        <f>SQRT(AVERAGE(W8:W37))</f>
        <v>824.98338928283431</v>
      </c>
      <c r="X39" s="30"/>
      <c r="AA39" s="5">
        <f>SQRT(AVERAGE(AA6:AA37))</f>
        <v>909.77868187818069</v>
      </c>
      <c r="AD39" s="11" t="s">
        <v>105</v>
      </c>
      <c r="AF39" s="5">
        <f>SQRT(AVERAGE(AF5:AF37))</f>
        <v>953.23991207163056</v>
      </c>
      <c r="AG39" s="5"/>
      <c r="AI39" s="5">
        <f>SQRT(AVERAGE(AI6:AI37))</f>
        <v>930.4763984782204</v>
      </c>
      <c r="AJ39" s="5"/>
      <c r="AL39" s="10">
        <f>SQRT(AVERAGE(AL8:AL37))</f>
        <v>824.98338928283431</v>
      </c>
      <c r="AM39" s="5"/>
    </row>
    <row r="40" spans="16:39">
      <c r="T40" s="11" t="s">
        <v>114</v>
      </c>
      <c r="V40" s="32">
        <f>AVERAGE(V5:V37)</f>
        <v>0.12714222047210294</v>
      </c>
      <c r="X40" s="35">
        <f>AVERAGE(X5:X37)</f>
        <v>9.7191080854709372E-2</v>
      </c>
      <c r="AB40" s="32">
        <f>AVERAGE(AB5:AB37)</f>
        <v>0.12224695504514828</v>
      </c>
      <c r="AD40" s="11" t="s">
        <v>114</v>
      </c>
      <c r="AG40" s="32">
        <f>AVERAGE(AG5:AG37)</f>
        <v>0.12714222047210294</v>
      </c>
      <c r="AJ40" s="32">
        <f>AVERAGE(AJ5:AJ37)</f>
        <v>0.12059833958571566</v>
      </c>
      <c r="AM40" s="35">
        <f>AVERAGE(AM5:AM37)</f>
        <v>9.7191080854709372E-2</v>
      </c>
    </row>
    <row r="43" spans="16:39">
      <c r="S43" s="40"/>
    </row>
    <row r="44" spans="16:39">
      <c r="S44" s="40"/>
    </row>
    <row r="45" spans="16:39">
      <c r="S45" s="40"/>
    </row>
    <row r="46" spans="16:39">
      <c r="S46" s="40"/>
    </row>
    <row r="47" spans="16:39">
      <c r="S47" s="40"/>
    </row>
    <row r="48" spans="16:39">
      <c r="S48" s="40"/>
    </row>
    <row r="49" spans="19:19">
      <c r="S49" s="40"/>
    </row>
    <row r="50" spans="19:19">
      <c r="S50" s="40"/>
    </row>
    <row r="51" spans="19:19">
      <c r="S51" s="40"/>
    </row>
    <row r="52" spans="19:19">
      <c r="S52" s="40"/>
    </row>
    <row r="53" spans="19:19">
      <c r="S53" s="40"/>
    </row>
    <row r="54" spans="19:19">
      <c r="S54" s="40"/>
    </row>
    <row r="55" spans="19:19">
      <c r="S55" s="40"/>
    </row>
    <row r="56" spans="19:19">
      <c r="S56" s="40"/>
    </row>
    <row r="57" spans="19:19">
      <c r="S57" s="40"/>
    </row>
    <row r="58" spans="19:19">
      <c r="S58" s="40"/>
    </row>
    <row r="59" spans="19:19">
      <c r="S59" s="40"/>
    </row>
    <row r="60" spans="19:19">
      <c r="S60" s="40"/>
    </row>
    <row r="61" spans="19:19">
      <c r="S61" s="40"/>
    </row>
    <row r="62" spans="19:19">
      <c r="S62" s="40"/>
    </row>
    <row r="63" spans="19:19">
      <c r="S63" s="40"/>
    </row>
    <row r="64" spans="19:19">
      <c r="S64" s="40"/>
    </row>
    <row r="65" spans="19:19">
      <c r="S65" s="40"/>
    </row>
    <row r="66" spans="19:19">
      <c r="S66" s="40"/>
    </row>
    <row r="67" spans="19:19">
      <c r="S67" s="40"/>
    </row>
    <row r="68" spans="19:19">
      <c r="S68" s="40"/>
    </row>
    <row r="69" spans="19:19">
      <c r="S69" s="40"/>
    </row>
    <row r="70" spans="19:19">
      <c r="S70" s="40"/>
    </row>
    <row r="71" spans="19:19">
      <c r="S71" s="40"/>
    </row>
    <row r="72" spans="19:19">
      <c r="S72" s="40"/>
    </row>
    <row r="73" spans="19:19">
      <c r="S73" s="40"/>
    </row>
    <row r="74" spans="19:19">
      <c r="S74" s="40"/>
    </row>
    <row r="75" spans="19:19">
      <c r="S75" s="40"/>
    </row>
    <row r="76" spans="19:19">
      <c r="S76" s="40"/>
    </row>
    <row r="77" spans="19:19">
      <c r="S77" s="40"/>
    </row>
    <row r="78" spans="19:19">
      <c r="S78" s="40"/>
    </row>
  </sheetData>
  <phoneticPr fontId="2" type="noConversion"/>
  <pageMargins left="0.7" right="0.7" top="0.75" bottom="0.75" header="0.3" footer="0.3"/>
  <ignoredErrors>
    <ignoredError sqref="F5 S5 S8:T8 T9:T38 S6:S7 S9:S38 AE5:AE38 AH6:AH38 AK8:AK3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FA84-44C2-495F-A0B8-B052D2AF28C5}">
  <dimension ref="A1:Z146"/>
  <sheetViews>
    <sheetView topLeftCell="A70" zoomScale="70" zoomScaleNormal="70" workbookViewId="0">
      <selection activeCell="A80" sqref="A80:XFD146"/>
    </sheetView>
  </sheetViews>
  <sheetFormatPr defaultColWidth="8.796875" defaultRowHeight="16.149999999999999"/>
  <cols>
    <col min="1" max="1" width="12.46484375" customWidth="1"/>
    <col min="3" max="3" width="14.1328125" bestFit="1" customWidth="1"/>
    <col min="4" max="4" width="16.46484375" customWidth="1"/>
    <col min="5" max="5" width="14.1328125" customWidth="1"/>
    <col min="6" max="6" width="19.6640625" customWidth="1"/>
    <col min="7" max="7" width="12.796875" customWidth="1"/>
    <col min="8" max="8" width="14.6640625" customWidth="1"/>
    <col min="9" max="9" width="9.46484375" bestFit="1" customWidth="1"/>
    <col min="10" max="10" width="11.46484375" customWidth="1"/>
    <col min="11" max="12" width="11.796875" customWidth="1"/>
    <col min="13" max="13" width="13.33203125" customWidth="1"/>
    <col min="14" max="14" width="11.796875" customWidth="1"/>
    <col min="19" max="19" width="13.46484375" bestFit="1" customWidth="1"/>
    <col min="20" max="20" width="10.1328125" customWidth="1"/>
    <col min="23" max="23" width="13.46484375" bestFit="1" customWidth="1"/>
    <col min="24" max="24" width="11.796875" customWidth="1"/>
    <col min="25" max="25" width="9.796875" bestFit="1" customWidth="1"/>
  </cols>
  <sheetData>
    <row r="1" spans="1:14">
      <c r="A1" s="9" t="s">
        <v>144</v>
      </c>
      <c r="B1" t="s">
        <v>96</v>
      </c>
      <c r="C1" t="s">
        <v>151</v>
      </c>
      <c r="D1" t="s">
        <v>139</v>
      </c>
      <c r="E1" s="11" t="s">
        <v>94</v>
      </c>
      <c r="F1" t="s">
        <v>140</v>
      </c>
      <c r="G1" s="11" t="s">
        <v>94</v>
      </c>
      <c r="H1" t="s">
        <v>141</v>
      </c>
      <c r="I1" s="11" t="s">
        <v>94</v>
      </c>
      <c r="J1" t="s">
        <v>142</v>
      </c>
      <c r="K1" s="11" t="s">
        <v>94</v>
      </c>
    </row>
    <row r="2" spans="1:14">
      <c r="B2">
        <v>0</v>
      </c>
      <c r="C2">
        <v>121</v>
      </c>
      <c r="D2">
        <v>121</v>
      </c>
      <c r="F2">
        <v>121</v>
      </c>
      <c r="H2">
        <v>121</v>
      </c>
      <c r="J2">
        <v>121</v>
      </c>
      <c r="M2" t="s">
        <v>143</v>
      </c>
    </row>
    <row r="3" spans="1:14">
      <c r="B3">
        <v>1</v>
      </c>
      <c r="C3">
        <v>133</v>
      </c>
      <c r="D3" s="12">
        <f t="shared" ref="D3:D15" si="0">$D$16*C2+(1-$D$16)*D2</f>
        <v>121</v>
      </c>
      <c r="E3" s="29">
        <f>(C3-D3)^2</f>
        <v>144</v>
      </c>
      <c r="F3" s="12">
        <f t="shared" ref="F3:F15" si="1">$F$16*C2+(1-$F$16)*F2</f>
        <v>120.99999999999999</v>
      </c>
      <c r="G3" s="29">
        <f>(C3-F3)^2</f>
        <v>144.00000000000034</v>
      </c>
      <c r="H3" s="12">
        <f t="shared" ref="H3:H15" si="2">$H$16*C2+(1-$H$16)*H2</f>
        <v>121</v>
      </c>
      <c r="I3" s="29">
        <f>(C3-H3)^2</f>
        <v>144</v>
      </c>
      <c r="J3" s="12">
        <f t="shared" ref="J3:J15" si="3">$J$16*C2+(1-$J$16)*J2</f>
        <v>121</v>
      </c>
      <c r="K3" s="12">
        <f>(C3-J3)^2</f>
        <v>144</v>
      </c>
      <c r="M3" t="e">
        <v>#N/A</v>
      </c>
      <c r="N3" t="e">
        <v>#N/A</v>
      </c>
    </row>
    <row r="4" spans="1:14">
      <c r="B4">
        <v>2</v>
      </c>
      <c r="C4">
        <v>137</v>
      </c>
      <c r="D4" s="12">
        <f t="shared" si="0"/>
        <v>122.2</v>
      </c>
      <c r="E4" s="29">
        <f t="shared" ref="E4:E14" si="4">(C4-D4)^2</f>
        <v>219.03999999999991</v>
      </c>
      <c r="F4" s="12">
        <f t="shared" si="1"/>
        <v>124.6</v>
      </c>
      <c r="G4" s="29">
        <f t="shared" ref="G4:G14" si="5">(C4-F4)^2</f>
        <v>153.76000000000013</v>
      </c>
      <c r="H4" s="12">
        <f t="shared" si="2"/>
        <v>128.19999999999999</v>
      </c>
      <c r="I4" s="29">
        <f t="shared" ref="I4:I14" si="6">(C4-H4)^2</f>
        <v>77.440000000000197</v>
      </c>
      <c r="J4" s="12">
        <f t="shared" si="3"/>
        <v>131.80000000000001</v>
      </c>
      <c r="K4" s="12">
        <f t="shared" ref="K4:K14" si="7">(C4-J4)^2</f>
        <v>27.039999999999882</v>
      </c>
      <c r="M4">
        <f>C2</f>
        <v>121</v>
      </c>
      <c r="N4" t="e">
        <v>#N/A</v>
      </c>
    </row>
    <row r="5" spans="1:14">
      <c r="B5">
        <v>3</v>
      </c>
      <c r="C5">
        <v>145</v>
      </c>
      <c r="D5" s="12">
        <f t="shared" si="0"/>
        <v>123.68</v>
      </c>
      <c r="E5" s="29">
        <f t="shared" si="4"/>
        <v>454.5423999999997</v>
      </c>
      <c r="F5" s="12">
        <f t="shared" si="1"/>
        <v>128.32</v>
      </c>
      <c r="G5" s="29">
        <f t="shared" si="5"/>
        <v>278.22240000000022</v>
      </c>
      <c r="H5" s="12">
        <f t="shared" si="2"/>
        <v>133.48000000000002</v>
      </c>
      <c r="I5" s="29">
        <f t="shared" si="6"/>
        <v>132.71039999999959</v>
      </c>
      <c r="J5" s="12">
        <f t="shared" si="3"/>
        <v>136.47999999999999</v>
      </c>
      <c r="K5" s="12">
        <f t="shared" si="7"/>
        <v>72.590400000000173</v>
      </c>
      <c r="M5">
        <f t="shared" ref="M5:M15" si="8">0.9*C3+0.1*M4</f>
        <v>131.80000000000001</v>
      </c>
      <c r="N5" t="e">
        <v>#N/A</v>
      </c>
    </row>
    <row r="6" spans="1:14">
      <c r="B6">
        <v>4</v>
      </c>
      <c r="C6">
        <v>155</v>
      </c>
      <c r="D6" s="12">
        <f t="shared" si="0"/>
        <v>125.81200000000001</v>
      </c>
      <c r="E6" s="29">
        <f t="shared" si="4"/>
        <v>851.93934399999932</v>
      </c>
      <c r="F6" s="12">
        <f t="shared" si="1"/>
        <v>133.32399999999998</v>
      </c>
      <c r="G6" s="29">
        <f t="shared" si="5"/>
        <v>469.84897600000068</v>
      </c>
      <c r="H6" s="12">
        <f t="shared" si="2"/>
        <v>140.392</v>
      </c>
      <c r="I6" s="29">
        <f t="shared" si="6"/>
        <v>213.39366400000011</v>
      </c>
      <c r="J6" s="12">
        <f t="shared" si="3"/>
        <v>144.148</v>
      </c>
      <c r="K6" s="12">
        <f t="shared" si="7"/>
        <v>117.76590400000008</v>
      </c>
      <c r="M6">
        <f t="shared" si="8"/>
        <v>136.47999999999999</v>
      </c>
      <c r="N6" t="e">
        <v>#N/A</v>
      </c>
    </row>
    <row r="7" spans="1:14">
      <c r="B7">
        <v>5</v>
      </c>
      <c r="C7">
        <v>150</v>
      </c>
      <c r="D7" s="12">
        <f t="shared" si="0"/>
        <v>128.73080000000002</v>
      </c>
      <c r="E7" s="29">
        <f t="shared" si="4"/>
        <v>452.37886863999933</v>
      </c>
      <c r="F7" s="12">
        <f t="shared" si="1"/>
        <v>139.82679999999999</v>
      </c>
      <c r="G7" s="29">
        <f t="shared" si="5"/>
        <v>103.49399824000017</v>
      </c>
      <c r="H7" s="12">
        <f t="shared" si="2"/>
        <v>149.1568</v>
      </c>
      <c r="I7" s="29">
        <f t="shared" si="6"/>
        <v>0.71098623999999322</v>
      </c>
      <c r="J7" s="12">
        <f t="shared" si="3"/>
        <v>153.91479999999999</v>
      </c>
      <c r="K7" s="12">
        <f t="shared" si="7"/>
        <v>15.325659039999886</v>
      </c>
      <c r="M7">
        <f t="shared" si="8"/>
        <v>144.148</v>
      </c>
      <c r="N7">
        <f t="shared" ref="N7:N15" si="9">SQRT(SUMXMY2(C3:C5,M4:M6)/3)</f>
        <v>9.0116665125454656</v>
      </c>
    </row>
    <row r="8" spans="1:14">
      <c r="B8">
        <v>6</v>
      </c>
      <c r="C8">
        <v>148</v>
      </c>
      <c r="D8" s="12">
        <f t="shared" si="0"/>
        <v>130.85772000000003</v>
      </c>
      <c r="E8" s="29">
        <f t="shared" si="4"/>
        <v>293.857763598399</v>
      </c>
      <c r="F8" s="12">
        <f t="shared" si="1"/>
        <v>142.87876</v>
      </c>
      <c r="G8" s="29">
        <f t="shared" si="5"/>
        <v>26.227099137600003</v>
      </c>
      <c r="H8" s="12">
        <f t="shared" si="2"/>
        <v>149.66272000000001</v>
      </c>
      <c r="I8" s="29">
        <f t="shared" si="6"/>
        <v>2.7646377984000243</v>
      </c>
      <c r="J8" s="12">
        <f t="shared" si="3"/>
        <v>150.39148</v>
      </c>
      <c r="K8" s="12">
        <f t="shared" si="7"/>
        <v>5.7191765904000063</v>
      </c>
      <c r="M8">
        <f t="shared" si="8"/>
        <v>153.91480000000001</v>
      </c>
      <c r="N8">
        <f t="shared" si="9"/>
        <v>8.5126631947156657</v>
      </c>
    </row>
    <row r="9" spans="1:14">
      <c r="B9">
        <v>7</v>
      </c>
      <c r="C9">
        <v>155</v>
      </c>
      <c r="D9" s="12">
        <f t="shared" si="0"/>
        <v>132.57194800000002</v>
      </c>
      <c r="E9" s="29">
        <f t="shared" si="4"/>
        <v>503.01751651470306</v>
      </c>
      <c r="F9" s="12">
        <f t="shared" si="1"/>
        <v>144.415132</v>
      </c>
      <c r="G9" s="29">
        <f t="shared" si="5"/>
        <v>112.039430577424</v>
      </c>
      <c r="H9" s="12">
        <f t="shared" si="2"/>
        <v>148.665088</v>
      </c>
      <c r="I9" s="29">
        <f t="shared" si="6"/>
        <v>40.131110047744038</v>
      </c>
      <c r="J9" s="12">
        <f t="shared" si="3"/>
        <v>148.239148</v>
      </c>
      <c r="K9" s="12">
        <f t="shared" si="7"/>
        <v>45.709119765903999</v>
      </c>
      <c r="M9">
        <f t="shared" si="8"/>
        <v>150.39148</v>
      </c>
      <c r="N9">
        <f t="shared" si="9"/>
        <v>8.2801361309260368</v>
      </c>
    </row>
    <row r="10" spans="1:14">
      <c r="B10">
        <v>8</v>
      </c>
      <c r="C10">
        <v>150</v>
      </c>
      <c r="D10" s="12">
        <f t="shared" si="0"/>
        <v>134.81475320000004</v>
      </c>
      <c r="E10" s="29">
        <f t="shared" si="4"/>
        <v>230.591720376909</v>
      </c>
      <c r="F10" s="12">
        <f t="shared" si="1"/>
        <v>147.59059239999999</v>
      </c>
      <c r="G10" s="29">
        <f t="shared" si="5"/>
        <v>5.8052449829378014</v>
      </c>
      <c r="H10" s="12">
        <f t="shared" si="2"/>
        <v>152.46603519999999</v>
      </c>
      <c r="I10" s="29">
        <f t="shared" si="6"/>
        <v>6.0813296076390069</v>
      </c>
      <c r="J10" s="12">
        <f t="shared" si="3"/>
        <v>154.32391480000001</v>
      </c>
      <c r="K10" s="12">
        <f t="shared" si="7"/>
        <v>18.696239197659139</v>
      </c>
      <c r="M10">
        <f t="shared" si="8"/>
        <v>148.23914800000003</v>
      </c>
      <c r="N10">
        <f t="shared" si="9"/>
        <v>6.8022236469750625</v>
      </c>
    </row>
    <row r="11" spans="1:14">
      <c r="B11">
        <v>9</v>
      </c>
      <c r="C11">
        <v>161</v>
      </c>
      <c r="D11" s="12">
        <f t="shared" si="0"/>
        <v>136.33327788000003</v>
      </c>
      <c r="E11" s="29">
        <f t="shared" si="4"/>
        <v>608.44718014529599</v>
      </c>
      <c r="F11" s="12">
        <f t="shared" si="1"/>
        <v>148.31341467999999</v>
      </c>
      <c r="G11" s="29">
        <f t="shared" si="5"/>
        <v>160.94944708163965</v>
      </c>
      <c r="H11" s="12">
        <f t="shared" si="2"/>
        <v>150.98641408</v>
      </c>
      <c r="I11" s="29">
        <f t="shared" si="6"/>
        <v>100.27190297722218</v>
      </c>
      <c r="J11" s="12">
        <f t="shared" si="3"/>
        <v>150.43239148000001</v>
      </c>
      <c r="K11" s="12">
        <f t="shared" si="7"/>
        <v>111.67434983197644</v>
      </c>
      <c r="M11">
        <f t="shared" si="8"/>
        <v>154.32391480000001</v>
      </c>
      <c r="N11">
        <f t="shared" si="9"/>
        <v>4.7171303210145226</v>
      </c>
    </row>
    <row r="12" spans="1:14">
      <c r="B12">
        <v>10</v>
      </c>
      <c r="C12">
        <v>158</v>
      </c>
      <c r="D12" s="12">
        <f t="shared" si="0"/>
        <v>138.79995009200002</v>
      </c>
      <c r="E12" s="29">
        <f t="shared" si="4"/>
        <v>368.64191646969016</v>
      </c>
      <c r="F12" s="12">
        <f t="shared" si="1"/>
        <v>152.11939027599999</v>
      </c>
      <c r="G12" s="29">
        <f t="shared" si="5"/>
        <v>34.58157072600347</v>
      </c>
      <c r="H12" s="12">
        <f t="shared" si="2"/>
        <v>156.99456563199999</v>
      </c>
      <c r="I12" s="29">
        <f t="shared" si="6"/>
        <v>1.0108982683555798</v>
      </c>
      <c r="J12" s="12">
        <f t="shared" si="3"/>
        <v>159.943239148</v>
      </c>
      <c r="K12" s="12">
        <f t="shared" si="7"/>
        <v>3.7761783863197795</v>
      </c>
      <c r="M12">
        <f t="shared" si="8"/>
        <v>150.43239148000001</v>
      </c>
      <c r="N12">
        <f t="shared" si="9"/>
        <v>4.8347538908050174</v>
      </c>
    </row>
    <row r="13" spans="1:14">
      <c r="B13">
        <v>11</v>
      </c>
      <c r="C13">
        <v>167</v>
      </c>
      <c r="D13" s="12">
        <f t="shared" si="0"/>
        <v>140.71995508280003</v>
      </c>
      <c r="E13" s="29">
        <f t="shared" si="4"/>
        <v>690.64076085004808</v>
      </c>
      <c r="F13" s="12">
        <f t="shared" si="1"/>
        <v>153.88357319319999</v>
      </c>
      <c r="G13" s="29">
        <f t="shared" si="5"/>
        <v>172.04065217814184</v>
      </c>
      <c r="H13" s="12">
        <f t="shared" si="2"/>
        <v>157.59782625279999</v>
      </c>
      <c r="I13" s="29">
        <f t="shared" si="6"/>
        <v>88.400871172537066</v>
      </c>
      <c r="J13" s="12">
        <f t="shared" si="3"/>
        <v>158.19432391480001</v>
      </c>
      <c r="K13" s="12">
        <f t="shared" si="7"/>
        <v>77.539931317463044</v>
      </c>
      <c r="M13">
        <f t="shared" si="8"/>
        <v>159.943239148</v>
      </c>
      <c r="N13">
        <f t="shared" si="9"/>
        <v>7.661151105752956</v>
      </c>
    </row>
    <row r="14" spans="1:14">
      <c r="B14">
        <v>12</v>
      </c>
      <c r="C14">
        <v>174</v>
      </c>
      <c r="D14" s="12">
        <f t="shared" si="0"/>
        <v>143.34795957452002</v>
      </c>
      <c r="E14" s="29">
        <f t="shared" si="4"/>
        <v>939.54758224525904</v>
      </c>
      <c r="F14" s="12">
        <f t="shared" si="1"/>
        <v>157.81850123523998</v>
      </c>
      <c r="G14" s="29">
        <f t="shared" si="5"/>
        <v>261.84090227393011</v>
      </c>
      <c r="H14" s="12">
        <f t="shared" si="2"/>
        <v>163.23913050112</v>
      </c>
      <c r="I14" s="29">
        <f t="shared" si="6"/>
        <v>115.79631237192586</v>
      </c>
      <c r="J14" s="12">
        <f t="shared" si="3"/>
        <v>166.11943239148002</v>
      </c>
      <c r="K14" s="12">
        <f t="shared" si="7"/>
        <v>62.103345832454352</v>
      </c>
      <c r="M14">
        <f t="shared" si="8"/>
        <v>158.19432391480001</v>
      </c>
      <c r="N14">
        <f t="shared" si="9"/>
        <v>6.686971596967628</v>
      </c>
    </row>
    <row r="15" spans="1:14">
      <c r="B15">
        <v>13</v>
      </c>
      <c r="D15" s="12">
        <f t="shared" si="0"/>
        <v>146.41316361706802</v>
      </c>
      <c r="F15" s="12">
        <f t="shared" si="1"/>
        <v>162.67295086466797</v>
      </c>
      <c r="H15" s="12">
        <f t="shared" si="2"/>
        <v>169.695652200448</v>
      </c>
      <c r="I15" s="29"/>
      <c r="J15" s="12">
        <f t="shared" si="3"/>
        <v>173.21194323914798</v>
      </c>
      <c r="M15">
        <f t="shared" si="8"/>
        <v>166.11943239148002</v>
      </c>
      <c r="N15">
        <f t="shared" si="9"/>
        <v>8.0206080304791367</v>
      </c>
    </row>
    <row r="16" spans="1:14">
      <c r="A16" s="7" t="s">
        <v>91</v>
      </c>
      <c r="B16" s="7"/>
      <c r="C16" s="21"/>
      <c r="D16" s="21">
        <v>0.1</v>
      </c>
      <c r="F16" s="11">
        <v>0.3</v>
      </c>
      <c r="H16" s="11">
        <v>0.6</v>
      </c>
      <c r="J16" s="11">
        <v>0.9</v>
      </c>
      <c r="M16">
        <f t="shared" ref="M16" si="10">0.9*C14+0.1*M15</f>
        <v>173.21194323914798</v>
      </c>
    </row>
    <row r="17" spans="1:11">
      <c r="A17" t="s">
        <v>118</v>
      </c>
      <c r="E17" s="12">
        <f>SQRT(AVERAGE(E3:E14))</f>
        <v>21.902520883907979</v>
      </c>
      <c r="G17" s="12">
        <f>SQRT(AVERAGE(G3:G14))</f>
        <v>12.658362588942531</v>
      </c>
      <c r="I17" s="12">
        <f>SQRT(AVERAGE(I3:I14))</f>
        <v>8.7688469048284023</v>
      </c>
      <c r="K17" s="5">
        <f>SQRT(AVERAGE(K3:K14))</f>
        <v>7.6482040591358045</v>
      </c>
    </row>
    <row r="19" spans="1:11" ht="19.149999999999999">
      <c r="B19" t="s">
        <v>96</v>
      </c>
      <c r="C19" t="s">
        <v>151</v>
      </c>
      <c r="D19" t="s">
        <v>98</v>
      </c>
      <c r="E19" s="11" t="s">
        <v>94</v>
      </c>
      <c r="F19" s="38" t="s">
        <v>149</v>
      </c>
    </row>
    <row r="20" spans="1:11">
      <c r="B20">
        <v>0</v>
      </c>
      <c r="C20">
        <v>21102</v>
      </c>
      <c r="D20" s="12">
        <v>21102</v>
      </c>
      <c r="G20" t="e">
        <v>#N/A</v>
      </c>
    </row>
    <row r="21" spans="1:11">
      <c r="B21">
        <v>1</v>
      </c>
      <c r="C21">
        <v>22083</v>
      </c>
      <c r="D21" s="12">
        <f>$C$35*C20+(1-$C$35)*D20</f>
        <v>21102</v>
      </c>
      <c r="E21" s="12">
        <f>(C21-D21)^2</f>
        <v>962361</v>
      </c>
      <c r="F21" s="31">
        <f>ABS(D21-C21)/C21</f>
        <v>4.442331204999321E-2</v>
      </c>
      <c r="G21" s="12">
        <f>C20</f>
        <v>21102</v>
      </c>
    </row>
    <row r="22" spans="1:11">
      <c r="B22">
        <v>2</v>
      </c>
      <c r="C22">
        <v>20675</v>
      </c>
      <c r="D22" s="12">
        <f t="shared" ref="D22:D33" si="11">$C$35*C21+(1-$C$35)*D21</f>
        <v>21984.9</v>
      </c>
      <c r="E22" s="12">
        <f t="shared" ref="E22:E32" si="12">(C22-D22)^2</f>
        <v>1715838.0100000037</v>
      </c>
      <c r="F22" s="31">
        <f t="shared" ref="F22:F32" si="13">ABS(D22-C22)/C22</f>
        <v>6.3356711003627636E-2</v>
      </c>
      <c r="G22" s="12">
        <f>$C$35*C21+(1-$C$35)*G21</f>
        <v>21984.9</v>
      </c>
    </row>
    <row r="23" spans="1:11">
      <c r="B23">
        <v>3</v>
      </c>
      <c r="C23">
        <v>19908</v>
      </c>
      <c r="D23" s="12">
        <f t="shared" si="11"/>
        <v>20805.989999999998</v>
      </c>
      <c r="E23" s="12">
        <f t="shared" si="12"/>
        <v>806386.04009999637</v>
      </c>
      <c r="F23" s="31">
        <f t="shared" si="13"/>
        <v>4.5106992163954085E-2</v>
      </c>
      <c r="G23" s="12">
        <f t="shared" ref="G23:G32" si="14">$C$35*C22+(1-$C$35)*G22</f>
        <v>20805.989999999998</v>
      </c>
    </row>
    <row r="24" spans="1:11">
      <c r="B24">
        <v>4</v>
      </c>
      <c r="C24">
        <v>20217</v>
      </c>
      <c r="D24" s="12">
        <f t="shared" si="11"/>
        <v>19997.798999999999</v>
      </c>
      <c r="E24" s="12">
        <f t="shared" si="12"/>
        <v>48049.078401000406</v>
      </c>
      <c r="F24" s="31">
        <f t="shared" si="13"/>
        <v>1.0842409853093976E-2</v>
      </c>
      <c r="G24" s="12">
        <f t="shared" si="14"/>
        <v>19997.798999999999</v>
      </c>
    </row>
    <row r="25" spans="1:11">
      <c r="B25">
        <v>5</v>
      </c>
      <c r="C25">
        <v>21595</v>
      </c>
      <c r="D25" s="12">
        <f t="shared" si="11"/>
        <v>20195.079899999997</v>
      </c>
      <c r="E25" s="12">
        <f t="shared" si="12"/>
        <v>1959776.2863840184</v>
      </c>
      <c r="F25" s="31">
        <f t="shared" si="13"/>
        <v>6.4826121787450938E-2</v>
      </c>
      <c r="G25" s="12">
        <f t="shared" si="14"/>
        <v>20195.079899999997</v>
      </c>
    </row>
    <row r="26" spans="1:11">
      <c r="B26">
        <v>6</v>
      </c>
      <c r="C26">
        <v>20436</v>
      </c>
      <c r="D26" s="12">
        <f t="shared" si="11"/>
        <v>21455.007989999998</v>
      </c>
      <c r="E26" s="12">
        <f t="shared" si="12"/>
        <v>1038377.2836838366</v>
      </c>
      <c r="F26" s="31">
        <f t="shared" si="13"/>
        <v>4.9863377862595336E-2</v>
      </c>
      <c r="G26" s="12">
        <f t="shared" si="14"/>
        <v>21455.007989999998</v>
      </c>
    </row>
    <row r="27" spans="1:11">
      <c r="B27">
        <v>7</v>
      </c>
      <c r="C27">
        <v>20192</v>
      </c>
      <c r="D27" s="12">
        <f t="shared" si="11"/>
        <v>20537.900799000003</v>
      </c>
      <c r="E27" s="12">
        <f t="shared" si="12"/>
        <v>119647.3627488403</v>
      </c>
      <c r="F27" s="31">
        <f t="shared" si="13"/>
        <v>1.7130586321315509E-2</v>
      </c>
      <c r="G27" s="12">
        <f t="shared" si="14"/>
        <v>20537.900799000003</v>
      </c>
    </row>
    <row r="28" spans="1:11">
      <c r="B28">
        <v>8</v>
      </c>
      <c r="C28">
        <v>20473</v>
      </c>
      <c r="D28" s="12">
        <f t="shared" si="11"/>
        <v>20226.590079900001</v>
      </c>
      <c r="E28" s="12">
        <f t="shared" si="12"/>
        <v>60717.848723687894</v>
      </c>
      <c r="F28" s="31">
        <f t="shared" si="13"/>
        <v>1.2035848195183852E-2</v>
      </c>
      <c r="G28" s="12">
        <f t="shared" si="14"/>
        <v>20226.590079900001</v>
      </c>
    </row>
    <row r="29" spans="1:11">
      <c r="B29">
        <v>9</v>
      </c>
      <c r="C29">
        <v>22226</v>
      </c>
      <c r="D29" s="12">
        <f t="shared" si="11"/>
        <v>20448.359007990002</v>
      </c>
      <c r="E29" s="12">
        <f t="shared" si="12"/>
        <v>3160007.4964742889</v>
      </c>
      <c r="F29" s="31">
        <f t="shared" si="13"/>
        <v>7.9980247998290191E-2</v>
      </c>
      <c r="G29" s="12">
        <f t="shared" si="14"/>
        <v>20448.359007990002</v>
      </c>
    </row>
    <row r="30" spans="1:11">
      <c r="B30">
        <v>10</v>
      </c>
      <c r="C30">
        <v>21203</v>
      </c>
      <c r="D30" s="12">
        <f t="shared" si="11"/>
        <v>22048.235900799002</v>
      </c>
      <c r="E30" s="12">
        <f t="shared" si="12"/>
        <v>714423.72799949977</v>
      </c>
      <c r="F30" s="31">
        <f t="shared" si="13"/>
        <v>3.9863976833419877E-2</v>
      </c>
      <c r="G30" s="12">
        <f t="shared" si="14"/>
        <v>22048.235900799002</v>
      </c>
    </row>
    <row r="31" spans="1:11">
      <c r="B31">
        <v>11</v>
      </c>
      <c r="C31">
        <v>20383</v>
      </c>
      <c r="D31" s="12">
        <f t="shared" si="11"/>
        <v>21287.523590079902</v>
      </c>
      <c r="E31" s="12">
        <f t="shared" si="12"/>
        <v>818162.92501103389</v>
      </c>
      <c r="F31" s="31">
        <f t="shared" si="13"/>
        <v>4.4376371980567215E-2</v>
      </c>
      <c r="G31" s="12">
        <f t="shared" si="14"/>
        <v>21287.523590079902</v>
      </c>
    </row>
    <row r="32" spans="1:11">
      <c r="B32">
        <v>12</v>
      </c>
      <c r="C32">
        <v>21544</v>
      </c>
      <c r="D32" s="12">
        <f t="shared" si="11"/>
        <v>20473.452359007992</v>
      </c>
      <c r="E32" s="12">
        <f t="shared" si="12"/>
        <v>1146072.251633554</v>
      </c>
      <c r="F32" s="31">
        <f t="shared" si="13"/>
        <v>4.9691219875232472E-2</v>
      </c>
      <c r="G32" s="12">
        <f t="shared" si="14"/>
        <v>20473.452359007992</v>
      </c>
    </row>
    <row r="33" spans="1:26">
      <c r="B33">
        <v>13</v>
      </c>
      <c r="D33" s="12">
        <f t="shared" si="11"/>
        <v>21436.945235900799</v>
      </c>
      <c r="G33" s="12">
        <f>$C$35*C32+(1-$C$35)*D32</f>
        <v>21436.945235900799</v>
      </c>
    </row>
    <row r="34" spans="1:26">
      <c r="D34" s="11" t="s">
        <v>105</v>
      </c>
      <c r="E34" s="5">
        <f>SQRT(AVERAGE(E21:E32))</f>
        <v>1022.6525685343873</v>
      </c>
    </row>
    <row r="35" spans="1:26">
      <c r="A35" s="7" t="s">
        <v>91</v>
      </c>
      <c r="B35" s="7"/>
      <c r="C35" s="21">
        <v>0.9</v>
      </c>
      <c r="D35" s="11" t="s">
        <v>114</v>
      </c>
      <c r="F35" s="32">
        <f>AVERAGE(F21:F32)</f>
        <v>4.3458097993727018E-2</v>
      </c>
    </row>
    <row r="42" spans="1:26">
      <c r="A42" s="37" t="s">
        <v>119</v>
      </c>
      <c r="D42" s="9" t="s">
        <v>125</v>
      </c>
      <c r="T42" s="9" t="s">
        <v>144</v>
      </c>
    </row>
    <row r="43" spans="1:26" ht="19.149999999999999">
      <c r="T43" s="1" t="s">
        <v>96</v>
      </c>
      <c r="U43" s="1" t="s">
        <v>138</v>
      </c>
      <c r="V43" t="s">
        <v>98</v>
      </c>
      <c r="W43" s="11" t="s">
        <v>94</v>
      </c>
      <c r="X43" s="38" t="s">
        <v>149</v>
      </c>
    </row>
    <row r="44" spans="1:26" ht="19.149999999999999">
      <c r="B44" s="1" t="s">
        <v>150</v>
      </c>
      <c r="C44" s="1" t="s">
        <v>151</v>
      </c>
      <c r="D44" s="1" t="s">
        <v>123</v>
      </c>
      <c r="E44" s="1" t="s">
        <v>124</v>
      </c>
      <c r="F44" t="s">
        <v>98</v>
      </c>
      <c r="G44" s="11" t="s">
        <v>94</v>
      </c>
      <c r="H44" s="38" t="s">
        <v>149</v>
      </c>
      <c r="T44">
        <v>0</v>
      </c>
      <c r="U44">
        <v>9300</v>
      </c>
      <c r="V44">
        <v>9300</v>
      </c>
      <c r="Z44" t="e">
        <v>#N/A</v>
      </c>
    </row>
    <row r="45" spans="1:26">
      <c r="B45">
        <v>0</v>
      </c>
      <c r="D45" s="1">
        <v>11695</v>
      </c>
      <c r="E45">
        <v>1997.9</v>
      </c>
      <c r="T45">
        <v>1</v>
      </c>
      <c r="U45">
        <v>9500</v>
      </c>
      <c r="V45" s="12">
        <f>$T$62*U44+(1-$T$62)*V44</f>
        <v>9300</v>
      </c>
      <c r="W45" s="12">
        <f t="shared" ref="W45:W56" si="15">(V45-U45)^2</f>
        <v>40000</v>
      </c>
      <c r="X45" s="31">
        <f>ABS(V45-U45)/U45</f>
        <v>2.1052631578947368E-2</v>
      </c>
      <c r="Z45">
        <f>U44</f>
        <v>9300</v>
      </c>
    </row>
    <row r="46" spans="1:26">
      <c r="B46">
        <v>1</v>
      </c>
      <c r="C46">
        <v>9500</v>
      </c>
      <c r="D46" s="28">
        <f t="shared" ref="D46:D57" si="16">$B$64*C46+(1-$B$64)*(D45+E45)</f>
        <v>9919.2899999999991</v>
      </c>
      <c r="E46" s="12">
        <f t="shared" ref="E46:E57" si="17">$B$65*(D46-D45)+(1-$B$65)*E45</f>
        <v>111.09499999999957</v>
      </c>
      <c r="F46" s="12">
        <f>D45+E45</f>
        <v>13692.9</v>
      </c>
      <c r="G46" s="12">
        <f>(C46-F46)^2</f>
        <v>17580410.409999996</v>
      </c>
      <c r="H46" s="31">
        <f>ABS(F46-C46)/C46</f>
        <v>0.44135789473684206</v>
      </c>
      <c r="T46">
        <v>2</v>
      </c>
      <c r="U46">
        <v>17000</v>
      </c>
      <c r="V46" s="12">
        <f t="shared" ref="V46:V57" si="18">$T$62*U45+(1-$T$62)*V45</f>
        <v>9500</v>
      </c>
      <c r="W46" s="12">
        <f t="shared" si="15"/>
        <v>56250000</v>
      </c>
      <c r="X46" s="31">
        <f t="shared" ref="X46:X56" si="19">ABS(V46-U46)/U46</f>
        <v>0.44117647058823528</v>
      </c>
      <c r="Z46">
        <f t="shared" ref="Z46:Z56" si="20">0.9999*U45+0.0001*Z45</f>
        <v>9499.98</v>
      </c>
    </row>
    <row r="47" spans="1:26">
      <c r="B47">
        <v>2</v>
      </c>
      <c r="C47">
        <v>17000</v>
      </c>
      <c r="D47" s="28">
        <f t="shared" si="16"/>
        <v>16303.038499999999</v>
      </c>
      <c r="E47" s="12">
        <f t="shared" si="17"/>
        <v>3247.4217499999995</v>
      </c>
      <c r="F47" s="12">
        <f t="shared" ref="F47:F57" si="21">D46+E46</f>
        <v>10030.384999999998</v>
      </c>
      <c r="G47" s="12">
        <f t="shared" ref="G47:G57" si="22">(C47-F47)^2</f>
        <v>48575533.248225026</v>
      </c>
      <c r="H47" s="31">
        <f t="shared" ref="H47:H57" si="23">ABS(F47-C47)/C47</f>
        <v>0.40997735294117654</v>
      </c>
      <c r="T47">
        <v>3</v>
      </c>
      <c r="U47">
        <v>23500</v>
      </c>
      <c r="V47" s="12">
        <f t="shared" si="18"/>
        <v>17000</v>
      </c>
      <c r="W47" s="12">
        <f t="shared" si="15"/>
        <v>42250000</v>
      </c>
      <c r="X47" s="31">
        <f t="shared" si="19"/>
        <v>0.27659574468085107</v>
      </c>
      <c r="Z47">
        <f t="shared" si="20"/>
        <v>16999.249997999999</v>
      </c>
    </row>
    <row r="48" spans="1:26">
      <c r="B48">
        <v>3</v>
      </c>
      <c r="C48">
        <v>23500</v>
      </c>
      <c r="D48" s="28">
        <f t="shared" si="16"/>
        <v>23105.046025</v>
      </c>
      <c r="E48" s="12">
        <f t="shared" si="17"/>
        <v>5024.7146375000002</v>
      </c>
      <c r="F48" s="12">
        <f t="shared" si="21"/>
        <v>19550.460249999996</v>
      </c>
      <c r="G48" s="12">
        <f t="shared" si="22"/>
        <v>15598864.236830091</v>
      </c>
      <c r="H48" s="31">
        <f t="shared" si="23"/>
        <v>0.16806552127659591</v>
      </c>
      <c r="T48">
        <v>4</v>
      </c>
      <c r="U48">
        <v>24520</v>
      </c>
      <c r="V48" s="12">
        <f t="shared" si="18"/>
        <v>23500</v>
      </c>
      <c r="W48" s="12">
        <f t="shared" si="15"/>
        <v>1040400</v>
      </c>
      <c r="X48" s="31">
        <f t="shared" si="19"/>
        <v>4.1598694942903754E-2</v>
      </c>
      <c r="Z48">
        <f t="shared" si="20"/>
        <v>23499.349924999802</v>
      </c>
    </row>
    <row r="49" spans="1:26">
      <c r="B49">
        <v>4</v>
      </c>
      <c r="C49">
        <v>24520</v>
      </c>
      <c r="D49" s="28">
        <f t="shared" si="16"/>
        <v>24880.976066249998</v>
      </c>
      <c r="E49" s="12">
        <f t="shared" si="17"/>
        <v>3400.322339374999</v>
      </c>
      <c r="F49" s="12">
        <f t="shared" si="21"/>
        <v>28129.760662500001</v>
      </c>
      <c r="G49" s="12">
        <f t="shared" si="22"/>
        <v>13030372.040532444</v>
      </c>
      <c r="H49" s="31">
        <f t="shared" si="23"/>
        <v>0.14721699276101144</v>
      </c>
      <c r="T49">
        <v>5</v>
      </c>
      <c r="U49">
        <v>17640</v>
      </c>
      <c r="V49" s="12">
        <f t="shared" si="18"/>
        <v>24520</v>
      </c>
      <c r="W49" s="12">
        <f t="shared" si="15"/>
        <v>47334400</v>
      </c>
      <c r="X49" s="31">
        <f t="shared" si="19"/>
        <v>0.39002267573696148</v>
      </c>
      <c r="Z49">
        <f t="shared" si="20"/>
        <v>24519.897934992499</v>
      </c>
    </row>
    <row r="50" spans="1:26">
      <c r="B50">
        <v>5</v>
      </c>
      <c r="C50">
        <v>17640</v>
      </c>
      <c r="D50" s="28">
        <f t="shared" si="16"/>
        <v>18704.129840562498</v>
      </c>
      <c r="E50" s="12">
        <f t="shared" si="17"/>
        <v>-1388.26194315625</v>
      </c>
      <c r="F50" s="12">
        <f t="shared" si="21"/>
        <v>28281.298405624995</v>
      </c>
      <c r="G50" s="12">
        <f t="shared" si="22"/>
        <v>113237231.75755706</v>
      </c>
      <c r="H50" s="31">
        <f t="shared" si="23"/>
        <v>0.60324820893565734</v>
      </c>
      <c r="T50">
        <v>6</v>
      </c>
      <c r="U50">
        <v>19700</v>
      </c>
      <c r="V50" s="12">
        <f t="shared" si="18"/>
        <v>17640</v>
      </c>
      <c r="W50" s="12">
        <f t="shared" si="15"/>
        <v>4243600</v>
      </c>
      <c r="X50" s="31">
        <f t="shared" si="19"/>
        <v>0.10456852791878173</v>
      </c>
      <c r="Z50">
        <f t="shared" si="20"/>
        <v>17640.6879897935</v>
      </c>
    </row>
    <row r="51" spans="1:26">
      <c r="B51">
        <v>6</v>
      </c>
      <c r="C51">
        <v>19700</v>
      </c>
      <c r="D51" s="28">
        <f t="shared" si="16"/>
        <v>19461.586789740624</v>
      </c>
      <c r="E51" s="12">
        <f t="shared" si="17"/>
        <v>-315.40249698906212</v>
      </c>
      <c r="F51" s="12">
        <f t="shared" si="21"/>
        <v>17315.86789740625</v>
      </c>
      <c r="G51" s="12">
        <f t="shared" si="22"/>
        <v>5684085.8826180976</v>
      </c>
      <c r="H51" s="31">
        <f t="shared" si="23"/>
        <v>0.12102193414181474</v>
      </c>
      <c r="T51">
        <v>7</v>
      </c>
      <c r="U51">
        <v>27400</v>
      </c>
      <c r="V51" s="12">
        <f t="shared" si="18"/>
        <v>19700</v>
      </c>
      <c r="W51" s="12">
        <f t="shared" si="15"/>
        <v>59290000</v>
      </c>
      <c r="X51" s="31">
        <f t="shared" si="19"/>
        <v>0.28102189781021897</v>
      </c>
      <c r="Z51">
        <f t="shared" si="20"/>
        <v>19699.794068798979</v>
      </c>
    </row>
    <row r="52" spans="1:26">
      <c r="B52">
        <v>7</v>
      </c>
      <c r="C52">
        <v>27400</v>
      </c>
      <c r="D52" s="28">
        <f t="shared" si="16"/>
        <v>26574.618429275157</v>
      </c>
      <c r="E52" s="12">
        <f t="shared" si="17"/>
        <v>3398.8145712727351</v>
      </c>
      <c r="F52" s="12">
        <f t="shared" si="21"/>
        <v>19146.184292751561</v>
      </c>
      <c r="G52" s="12">
        <f t="shared" si="22"/>
        <v>68125473.729221046</v>
      </c>
      <c r="H52" s="31">
        <f t="shared" si="23"/>
        <v>0.30123414989957809</v>
      </c>
      <c r="T52">
        <v>8</v>
      </c>
      <c r="U52">
        <v>29540</v>
      </c>
      <c r="V52" s="12">
        <f t="shared" si="18"/>
        <v>27400</v>
      </c>
      <c r="W52" s="12">
        <f t="shared" si="15"/>
        <v>4579600</v>
      </c>
      <c r="X52" s="31">
        <f t="shared" si="19"/>
        <v>7.244414353419093E-2</v>
      </c>
      <c r="Z52">
        <f t="shared" si="20"/>
        <v>27399.229979406882</v>
      </c>
    </row>
    <row r="53" spans="1:26">
      <c r="B53">
        <v>8</v>
      </c>
      <c r="C53">
        <v>29540</v>
      </c>
      <c r="D53" s="28">
        <f t="shared" si="16"/>
        <v>29583.343300054788</v>
      </c>
      <c r="E53" s="12">
        <f t="shared" si="17"/>
        <v>3203.7697210261831</v>
      </c>
      <c r="F53" s="12">
        <f t="shared" si="21"/>
        <v>29973.433000547891</v>
      </c>
      <c r="G53" s="12">
        <f t="shared" si="22"/>
        <v>187864.16596394844</v>
      </c>
      <c r="H53" s="31">
        <f t="shared" si="23"/>
        <v>1.4672748833713318E-2</v>
      </c>
      <c r="T53">
        <v>9</v>
      </c>
      <c r="U53">
        <v>25230</v>
      </c>
      <c r="V53" s="12">
        <f t="shared" si="18"/>
        <v>29540</v>
      </c>
      <c r="W53" s="12">
        <f t="shared" si="15"/>
        <v>18576100</v>
      </c>
      <c r="X53" s="31">
        <f t="shared" si="19"/>
        <v>0.17082837891399127</v>
      </c>
      <c r="Z53">
        <f t="shared" si="20"/>
        <v>29539.785922997944</v>
      </c>
    </row>
    <row r="54" spans="1:26">
      <c r="B54">
        <v>9</v>
      </c>
      <c r="C54">
        <v>25230</v>
      </c>
      <c r="D54" s="28">
        <f t="shared" si="16"/>
        <v>25985.711302108095</v>
      </c>
      <c r="E54" s="12">
        <f t="shared" si="17"/>
        <v>-196.93113846025517</v>
      </c>
      <c r="F54" s="12">
        <f t="shared" si="21"/>
        <v>32787.113021080972</v>
      </c>
      <c r="G54" s="12">
        <f t="shared" si="22"/>
        <v>57109957.213391565</v>
      </c>
      <c r="H54" s="31">
        <f t="shared" si="23"/>
        <v>0.29952885537379992</v>
      </c>
      <c r="T54">
        <v>10</v>
      </c>
      <c r="U54">
        <v>27450</v>
      </c>
      <c r="V54" s="12">
        <f t="shared" si="18"/>
        <v>25230</v>
      </c>
      <c r="W54" s="12">
        <f t="shared" si="15"/>
        <v>4928400</v>
      </c>
      <c r="X54" s="31">
        <f t="shared" si="19"/>
        <v>8.0874316939890709E-2</v>
      </c>
      <c r="Z54">
        <f t="shared" si="20"/>
        <v>25230.4309785923</v>
      </c>
    </row>
    <row r="55" spans="1:26">
      <c r="B55">
        <v>10</v>
      </c>
      <c r="C55">
        <v>27450</v>
      </c>
      <c r="D55" s="28">
        <f t="shared" si="16"/>
        <v>27283.878016364783</v>
      </c>
      <c r="E55" s="12">
        <f t="shared" si="17"/>
        <v>550.61778789821619</v>
      </c>
      <c r="F55" s="12">
        <f t="shared" si="21"/>
        <v>25788.78016364784</v>
      </c>
      <c r="G55" s="12">
        <f t="shared" si="22"/>
        <v>2759651.3446898977</v>
      </c>
      <c r="H55" s="31">
        <f t="shared" si="23"/>
        <v>6.0518026825215308E-2</v>
      </c>
      <c r="T55">
        <v>11</v>
      </c>
      <c r="U55">
        <v>33700</v>
      </c>
      <c r="V55" s="12">
        <f t="shared" si="18"/>
        <v>27450</v>
      </c>
      <c r="W55" s="12">
        <f t="shared" si="15"/>
        <v>39062500</v>
      </c>
      <c r="X55" s="31">
        <f t="shared" si="19"/>
        <v>0.18545994065281898</v>
      </c>
      <c r="Z55">
        <f t="shared" si="20"/>
        <v>27449.77804309786</v>
      </c>
    </row>
    <row r="56" spans="1:26">
      <c r="B56">
        <v>11</v>
      </c>
      <c r="C56">
        <v>33700</v>
      </c>
      <c r="D56" s="28">
        <f t="shared" si="16"/>
        <v>33113.449580426299</v>
      </c>
      <c r="E56" s="12">
        <f t="shared" si="17"/>
        <v>3190.0946759798662</v>
      </c>
      <c r="F56" s="12">
        <f t="shared" si="21"/>
        <v>27834.495804262999</v>
      </c>
      <c r="G56" s="12">
        <f t="shared" si="22"/>
        <v>34404139.470208369</v>
      </c>
      <c r="H56" s="31">
        <f t="shared" si="23"/>
        <v>0.17405056960643922</v>
      </c>
      <c r="T56">
        <v>12</v>
      </c>
      <c r="U56">
        <v>41000</v>
      </c>
      <c r="V56" s="12">
        <f t="shared" si="18"/>
        <v>33700</v>
      </c>
      <c r="W56" s="12">
        <f t="shared" si="15"/>
        <v>53290000</v>
      </c>
      <c r="X56" s="31">
        <f t="shared" si="19"/>
        <v>0.17804878048780487</v>
      </c>
      <c r="Z56">
        <f t="shared" si="20"/>
        <v>33699.374977804306</v>
      </c>
    </row>
    <row r="57" spans="1:26">
      <c r="B57">
        <v>12</v>
      </c>
      <c r="C57">
        <v>41000</v>
      </c>
      <c r="D57" s="28">
        <f t="shared" si="16"/>
        <v>40530.354425640617</v>
      </c>
      <c r="E57" s="12">
        <f t="shared" si="17"/>
        <v>5303.4997605970921</v>
      </c>
      <c r="F57" s="12">
        <f t="shared" si="21"/>
        <v>36303.544256406167</v>
      </c>
      <c r="G57" s="12">
        <f t="shared" si="22"/>
        <v>22056696.551535506</v>
      </c>
      <c r="H57" s="31">
        <f t="shared" si="23"/>
        <v>0.11454770106326423</v>
      </c>
      <c r="T57">
        <v>13</v>
      </c>
      <c r="V57" s="12">
        <f t="shared" si="18"/>
        <v>41000</v>
      </c>
    </row>
    <row r="58" spans="1:26">
      <c r="B58">
        <v>13</v>
      </c>
      <c r="D58" s="1"/>
      <c r="F58" s="5">
        <f>D57+E57*1</f>
        <v>45833.85418623771</v>
      </c>
      <c r="T58">
        <v>14</v>
      </c>
    </row>
    <row r="59" spans="1:26">
      <c r="B59">
        <v>14</v>
      </c>
      <c r="D59" s="1"/>
      <c r="F59" s="12">
        <f>D57+E57*2</f>
        <v>51137.353946834803</v>
      </c>
      <c r="T59">
        <v>15</v>
      </c>
    </row>
    <row r="60" spans="1:26">
      <c r="B60">
        <v>15</v>
      </c>
      <c r="F60" s="12">
        <f>D57+E57*3</f>
        <v>56440.853707431888</v>
      </c>
      <c r="T60">
        <v>16</v>
      </c>
    </row>
    <row r="61" spans="1:26">
      <c r="B61">
        <v>16</v>
      </c>
      <c r="F61" s="12">
        <f>D57+E57*4</f>
        <v>61744.353468028989</v>
      </c>
    </row>
    <row r="62" spans="1:26">
      <c r="F62" s="11" t="s">
        <v>122</v>
      </c>
      <c r="G62" s="12">
        <f>SQRT(AVERAGE(G46:G57))</f>
        <v>5761.5845625051579</v>
      </c>
      <c r="S62" t="s">
        <v>91</v>
      </c>
      <c r="T62">
        <v>1</v>
      </c>
    </row>
    <row r="63" spans="1:26">
      <c r="F63" s="11" t="s">
        <v>114</v>
      </c>
      <c r="H63" s="32">
        <f>AVERAGE(H46:H57)</f>
        <v>0.23795332969959235</v>
      </c>
      <c r="S63" t="s">
        <v>105</v>
      </c>
      <c r="W63" s="12">
        <f>SQRT(AVERAGE(W45:W56))</f>
        <v>5251.0713192642888</v>
      </c>
    </row>
    <row r="64" spans="1:26">
      <c r="A64" t="s">
        <v>120</v>
      </c>
      <c r="B64">
        <v>0.9</v>
      </c>
      <c r="S64" t="s">
        <v>114</v>
      </c>
      <c r="X64" s="39">
        <f>AVERAGE(X45:X56)</f>
        <v>0.18697435031546639</v>
      </c>
    </row>
    <row r="65" spans="1:8">
      <c r="A65" t="s">
        <v>121</v>
      </c>
      <c r="B65">
        <v>0.5</v>
      </c>
    </row>
    <row r="67" spans="1:8" ht="19.149999999999999">
      <c r="B67" s="1" t="s">
        <v>96</v>
      </c>
      <c r="C67" s="1" t="s">
        <v>151</v>
      </c>
      <c r="D67" s="1" t="s">
        <v>123</v>
      </c>
      <c r="E67" s="1" t="s">
        <v>124</v>
      </c>
      <c r="F67" t="s">
        <v>98</v>
      </c>
      <c r="G67" s="11" t="s">
        <v>94</v>
      </c>
      <c r="H67" s="38" t="s">
        <v>149</v>
      </c>
    </row>
    <row r="68" spans="1:8">
      <c r="B68">
        <v>0</v>
      </c>
      <c r="D68" s="33">
        <v>100</v>
      </c>
      <c r="E68" s="25">
        <v>2</v>
      </c>
    </row>
    <row r="69" spans="1:8">
      <c r="B69">
        <v>1</v>
      </c>
      <c r="C69">
        <v>100</v>
      </c>
      <c r="D69" s="33">
        <f>$B$75*C70+(1-$B$75)*(D68+E68)</f>
        <v>102</v>
      </c>
      <c r="E69" s="25">
        <f>$B$76*(D69-D68)+(1-$B$76)*E68</f>
        <v>2</v>
      </c>
      <c r="F69" s="12">
        <f>D68+E68</f>
        <v>102</v>
      </c>
      <c r="G69" s="34">
        <f>(C70-F69)^2</f>
        <v>0</v>
      </c>
      <c r="H69" s="31">
        <f>ABS(F69-C69)/C69</f>
        <v>0.02</v>
      </c>
    </row>
    <row r="70" spans="1:8">
      <c r="B70">
        <v>2</v>
      </c>
      <c r="C70">
        <v>102</v>
      </c>
      <c r="D70" s="33">
        <f>$B$75*C71+(1-$B$75)*(D69+E69)</f>
        <v>104</v>
      </c>
      <c r="E70" s="25">
        <f>$B$76*(D70-D69)+(1-$B$76)*E69</f>
        <v>2</v>
      </c>
      <c r="F70" s="12">
        <f t="shared" ref="F70:F72" si="24">D69+E69</f>
        <v>104</v>
      </c>
      <c r="G70" s="34">
        <f>(C71-F70)^2</f>
        <v>0</v>
      </c>
      <c r="H70" s="31">
        <f t="shared" ref="H70:H72" si="25">ABS(F70-C70)/C70</f>
        <v>1.9607843137254902E-2</v>
      </c>
    </row>
    <row r="71" spans="1:8">
      <c r="B71">
        <v>3</v>
      </c>
      <c r="C71">
        <v>104</v>
      </c>
      <c r="D71" s="33">
        <f>$B$75*C72+(1-$B$75)*(D70+E70)</f>
        <v>107</v>
      </c>
      <c r="E71" s="25">
        <f>$B$76*(D71-D70)+(1-$B$76)*E70</f>
        <v>2.2999999999999998</v>
      </c>
      <c r="F71" s="12">
        <f t="shared" si="24"/>
        <v>106</v>
      </c>
      <c r="G71" s="34">
        <f>(C72-F71)^2</f>
        <v>4</v>
      </c>
      <c r="H71" s="31">
        <f t="shared" si="25"/>
        <v>1.9230769230769232E-2</v>
      </c>
    </row>
    <row r="72" spans="1:8">
      <c r="B72">
        <v>4</v>
      </c>
      <c r="C72">
        <v>108</v>
      </c>
      <c r="D72" s="4">
        <f>$B$75*C73+(1-$B$75)*(D71+E71)</f>
        <v>109.65</v>
      </c>
      <c r="E72" s="25">
        <f>$B$76*(D72-D71)+(1-$B$76)*E71</f>
        <v>2.4050000000000016</v>
      </c>
      <c r="F72" s="19">
        <f t="shared" si="24"/>
        <v>109.3</v>
      </c>
      <c r="G72" s="34">
        <f>(C73-F72)^2</f>
        <v>0.49000000000000399</v>
      </c>
      <c r="H72" s="31">
        <f t="shared" si="25"/>
        <v>1.2037037037037011E-2</v>
      </c>
    </row>
    <row r="73" spans="1:8">
      <c r="B73">
        <v>5</v>
      </c>
      <c r="C73">
        <v>110</v>
      </c>
      <c r="F73" s="25">
        <f>D72+E72</f>
        <v>112.05500000000001</v>
      </c>
    </row>
    <row r="74" spans="1:8">
      <c r="F74" t="s">
        <v>122</v>
      </c>
      <c r="G74" s="34">
        <f>SQRT(AVERAGE(G69:G72))</f>
        <v>1.059481005020855</v>
      </c>
    </row>
    <row r="75" spans="1:8">
      <c r="A75" t="s">
        <v>120</v>
      </c>
      <c r="B75">
        <v>0.5</v>
      </c>
      <c r="F75" t="s">
        <v>114</v>
      </c>
      <c r="H75" s="39">
        <f>AVERAGE(H69:H72)</f>
        <v>1.7718912351265288E-2</v>
      </c>
    </row>
    <row r="76" spans="1:8">
      <c r="A76" t="s">
        <v>121</v>
      </c>
      <c r="B76">
        <v>0.3</v>
      </c>
    </row>
    <row r="80" spans="1:8">
      <c r="A80" s="37" t="s">
        <v>126</v>
      </c>
      <c r="D80" s="9" t="s">
        <v>127</v>
      </c>
    </row>
    <row r="82" spans="2:11" ht="19.149999999999999">
      <c r="B82" t="s">
        <v>129</v>
      </c>
      <c r="C82" t="s">
        <v>128</v>
      </c>
      <c r="D82" s="1" t="s">
        <v>96</v>
      </c>
      <c r="E82" s="1" t="s">
        <v>151</v>
      </c>
      <c r="F82" s="1" t="s">
        <v>123</v>
      </c>
      <c r="G82" s="1" t="s">
        <v>124</v>
      </c>
      <c r="H82" s="1" t="s">
        <v>154</v>
      </c>
      <c r="I82" t="s">
        <v>98</v>
      </c>
      <c r="J82" s="11" t="s">
        <v>94</v>
      </c>
      <c r="K82" s="38" t="s">
        <v>149</v>
      </c>
    </row>
    <row r="83" spans="2:11">
      <c r="B83">
        <v>2018</v>
      </c>
      <c r="C83">
        <v>1</v>
      </c>
      <c r="D83">
        <v>1</v>
      </c>
      <c r="E83">
        <v>10000</v>
      </c>
      <c r="H83" s="13">
        <f>E83/AVERAGE($E$83:$E$86)</f>
        <v>0.70175438596491224</v>
      </c>
    </row>
    <row r="84" spans="2:11">
      <c r="B84">
        <v>2018</v>
      </c>
      <c r="C84">
        <v>2</v>
      </c>
      <c r="D84">
        <v>2</v>
      </c>
      <c r="E84">
        <v>14000</v>
      </c>
      <c r="H84" s="13">
        <f t="shared" ref="H84:H85" si="26">E84/AVERAGE($E$83:$E$86)</f>
        <v>0.98245614035087714</v>
      </c>
    </row>
    <row r="85" spans="2:11">
      <c r="B85">
        <v>2018</v>
      </c>
      <c r="C85">
        <v>3</v>
      </c>
      <c r="D85">
        <v>3</v>
      </c>
      <c r="E85">
        <v>8000</v>
      </c>
      <c r="H85" s="13">
        <f t="shared" si="26"/>
        <v>0.56140350877192979</v>
      </c>
    </row>
    <row r="86" spans="2:11">
      <c r="B86">
        <v>2018</v>
      </c>
      <c r="C86">
        <v>4</v>
      </c>
      <c r="D86">
        <v>4</v>
      </c>
      <c r="E86">
        <v>25000</v>
      </c>
      <c r="F86">
        <f>E86/H86</f>
        <v>14250</v>
      </c>
      <c r="G86">
        <f>((AVERAGE(E87:E90)-AVERAGE(E83:E86))/4)</f>
        <v>1875</v>
      </c>
      <c r="H86" s="13">
        <f>E86/AVERAGE($E$83:$E$86)</f>
        <v>1.7543859649122806</v>
      </c>
    </row>
    <row r="87" spans="2:11">
      <c r="B87">
        <v>2019</v>
      </c>
      <c r="C87">
        <v>1</v>
      </c>
      <c r="D87">
        <v>5</v>
      </c>
      <c r="E87">
        <v>16000</v>
      </c>
      <c r="F87" s="12">
        <f t="shared" ref="F87:F98" si="27">$B$104*(E87/H83)+(1-$B$104)*(F86+G86)</f>
        <v>19462.5</v>
      </c>
      <c r="G87" s="12">
        <f t="shared" ref="G87:G88" si="28">$B105*(F87-F86)+(1-$B$105)*G86</f>
        <v>3543.75</v>
      </c>
      <c r="H87" s="13">
        <f t="shared" ref="H87:H98" si="29">$B$106*(E87/F87)+(1-$B$106)*H83</f>
        <v>0.7619240780177805</v>
      </c>
      <c r="I87" s="12">
        <f>(F86+1*G86)*H83</f>
        <v>11315.78947368421</v>
      </c>
      <c r="J87" s="29">
        <f>(E87-I87)^2</f>
        <v>21941828.254847649</v>
      </c>
      <c r="K87" s="31">
        <f>ABS(I87-E87)/E87</f>
        <v>0.29276315789473689</v>
      </c>
    </row>
    <row r="88" spans="2:11">
      <c r="B88">
        <v>2019</v>
      </c>
      <c r="C88">
        <v>2</v>
      </c>
      <c r="D88">
        <v>6</v>
      </c>
      <c r="E88">
        <v>22000</v>
      </c>
      <c r="F88" s="12">
        <f t="shared" si="27"/>
        <v>22699.553571428572</v>
      </c>
      <c r="G88" s="12">
        <f t="shared" si="28"/>
        <v>3390.4017857142862</v>
      </c>
      <c r="H88" s="13">
        <f t="shared" si="29"/>
        <v>0.97581909816135703</v>
      </c>
      <c r="I88" s="12">
        <f>(F87+1*G87)*H84</f>
        <v>22602.631578947367</v>
      </c>
      <c r="J88" s="29">
        <f>(E88-I88)^2</f>
        <v>363164.81994459603</v>
      </c>
      <c r="K88" s="31">
        <f t="shared" ref="K88:K98" si="30">ABS(I88-E88)/E88</f>
        <v>2.7392344497607569E-2</v>
      </c>
    </row>
    <row r="89" spans="2:11">
      <c r="B89">
        <v>2019</v>
      </c>
      <c r="C89">
        <v>3</v>
      </c>
      <c r="D89">
        <v>7</v>
      </c>
      <c r="E89">
        <v>14000</v>
      </c>
      <c r="F89" s="12">
        <f t="shared" si="27"/>
        <v>25513.727678571428</v>
      </c>
      <c r="G89" s="12">
        <f t="shared" ref="G89:G98" si="31">$B108*(F89-F88)+(1-$B$105)*G88</f>
        <v>1695.2008928571431</v>
      </c>
      <c r="H89" s="13">
        <f t="shared" si="29"/>
        <v>0.55506385812038661</v>
      </c>
      <c r="I89" s="12">
        <f t="shared" ref="I89:I99" si="32">(F88+1*G88)*H85</f>
        <v>14646.992481203008</v>
      </c>
      <c r="J89" s="29">
        <f t="shared" ref="J89:J98" si="33">(E89-I89)^2</f>
        <v>418599.27073322417</v>
      </c>
      <c r="K89" s="31">
        <f t="shared" si="30"/>
        <v>4.6213748657357688E-2</v>
      </c>
    </row>
    <row r="90" spans="2:11">
      <c r="B90">
        <v>2019</v>
      </c>
      <c r="C90">
        <v>4</v>
      </c>
      <c r="D90">
        <v>8</v>
      </c>
      <c r="E90">
        <v>35000</v>
      </c>
      <c r="F90" s="12">
        <f t="shared" si="27"/>
        <v>23579.464285714286</v>
      </c>
      <c r="G90" s="12">
        <f t="shared" si="31"/>
        <v>847.60044642857156</v>
      </c>
      <c r="H90" s="13">
        <f t="shared" si="29"/>
        <v>1.6193642119612333</v>
      </c>
      <c r="I90" s="12">
        <f t="shared" si="32"/>
        <v>47734.962406015038</v>
      </c>
      <c r="J90" s="29">
        <f t="shared" si="33"/>
        <v>162179267.48261634</v>
      </c>
      <c r="K90" s="31">
        <f t="shared" si="30"/>
        <v>0.3638560687432868</v>
      </c>
    </row>
    <row r="91" spans="2:11">
      <c r="B91">
        <v>2020</v>
      </c>
      <c r="C91">
        <v>1</v>
      </c>
      <c r="D91">
        <v>9</v>
      </c>
      <c r="E91">
        <v>15000</v>
      </c>
      <c r="F91" s="12">
        <f t="shared" si="27"/>
        <v>22057.032809727152</v>
      </c>
      <c r="G91" s="12">
        <f t="shared" si="31"/>
        <v>423.80022321428578</v>
      </c>
      <c r="H91" s="13">
        <f t="shared" si="29"/>
        <v>0.720989642209104</v>
      </c>
      <c r="I91" s="12">
        <f t="shared" si="32"/>
        <v>18611.568774718591</v>
      </c>
      <c r="J91" s="29">
        <f t="shared" si="33"/>
        <v>13043429.014522346</v>
      </c>
      <c r="K91" s="31">
        <f t="shared" si="30"/>
        <v>0.24077125164790608</v>
      </c>
    </row>
    <row r="92" spans="2:11">
      <c r="B92">
        <v>2020</v>
      </c>
      <c r="C92">
        <v>2</v>
      </c>
      <c r="D92">
        <v>10</v>
      </c>
      <c r="E92">
        <v>27000</v>
      </c>
      <c r="F92" s="12">
        <f t="shared" si="27"/>
        <v>25074.947963371855</v>
      </c>
      <c r="G92" s="12">
        <f t="shared" si="31"/>
        <v>211.90011160714289</v>
      </c>
      <c r="H92" s="13">
        <f t="shared" si="29"/>
        <v>1.026295511824054</v>
      </c>
      <c r="I92" s="12">
        <f t="shared" si="32"/>
        <v>21937.226216120958</v>
      </c>
      <c r="J92" s="29">
        <f t="shared" si="33"/>
        <v>25631678.38673291</v>
      </c>
      <c r="K92" s="31">
        <f t="shared" si="30"/>
        <v>0.18751014014366821</v>
      </c>
    </row>
    <row r="93" spans="2:11">
      <c r="B93">
        <v>2020</v>
      </c>
      <c r="C93">
        <v>3</v>
      </c>
      <c r="D93">
        <v>11</v>
      </c>
      <c r="E93">
        <v>18000</v>
      </c>
      <c r="F93" s="12">
        <f t="shared" si="27"/>
        <v>28857.77463577329</v>
      </c>
      <c r="G93" s="12">
        <f t="shared" si="31"/>
        <v>105.95005580357144</v>
      </c>
      <c r="H93" s="13">
        <f t="shared" si="29"/>
        <v>0.58940628921418892</v>
      </c>
      <c r="I93" s="12">
        <f t="shared" si="32"/>
        <v>14035.815452201912</v>
      </c>
      <c r="J93" s="29">
        <f t="shared" si="33"/>
        <v>15714759.129001129</v>
      </c>
      <c r="K93" s="31">
        <f t="shared" si="30"/>
        <v>0.22023247487767156</v>
      </c>
    </row>
    <row r="94" spans="2:11">
      <c r="B94">
        <v>2020</v>
      </c>
      <c r="C94">
        <v>4</v>
      </c>
      <c r="D94">
        <v>12</v>
      </c>
      <c r="E94">
        <v>40000</v>
      </c>
      <c r="F94" s="12">
        <f t="shared" si="27"/>
        <v>26832.388467257879</v>
      </c>
      <c r="G94" s="12">
        <f t="shared" si="31"/>
        <v>52.975027901785722</v>
      </c>
      <c r="H94" s="13">
        <f t="shared" si="29"/>
        <v>1.5550499670789653</v>
      </c>
      <c r="I94" s="12">
        <f t="shared" si="32"/>
        <v>46902.819210637477</v>
      </c>
      <c r="J94" s="29">
        <f t="shared" si="33"/>
        <v>47648913.054745801</v>
      </c>
      <c r="K94" s="31">
        <f t="shared" si="30"/>
        <v>0.17257048026593694</v>
      </c>
    </row>
    <row r="95" spans="2:11">
      <c r="B95">
        <v>2021</v>
      </c>
      <c r="C95">
        <v>1</v>
      </c>
      <c r="D95">
        <v>13</v>
      </c>
      <c r="E95">
        <v>28000</v>
      </c>
      <c r="F95" s="12">
        <f t="shared" si="27"/>
        <v>32860.436428637608</v>
      </c>
      <c r="G95" s="12">
        <f t="shared" si="31"/>
        <v>26.487513950892861</v>
      </c>
      <c r="H95" s="13">
        <f t="shared" si="29"/>
        <v>0.78653907132026468</v>
      </c>
      <c r="I95" s="12">
        <f t="shared" si="32"/>
        <v>19384.068607036872</v>
      </c>
      <c r="J95" s="29">
        <f t="shared" si="33"/>
        <v>74234273.768247545</v>
      </c>
      <c r="K95" s="31">
        <f t="shared" si="30"/>
        <v>0.30771183546296887</v>
      </c>
    </row>
    <row r="96" spans="2:11">
      <c r="B96">
        <v>2021</v>
      </c>
      <c r="C96">
        <v>2</v>
      </c>
      <c r="D96">
        <v>14</v>
      </c>
      <c r="E96">
        <v>40000</v>
      </c>
      <c r="F96" s="12">
        <f t="shared" si="27"/>
        <v>35931.026488120042</v>
      </c>
      <c r="G96" s="12">
        <f t="shared" si="31"/>
        <v>13.243756975446431</v>
      </c>
      <c r="H96" s="13">
        <f t="shared" si="29"/>
        <v>1.0697697607582466</v>
      </c>
      <c r="I96" s="12">
        <f t="shared" si="32"/>
        <v>33751.702439977606</v>
      </c>
      <c r="J96" s="29">
        <f t="shared" si="33"/>
        <v>39041222.39858181</v>
      </c>
      <c r="K96" s="31">
        <f t="shared" si="30"/>
        <v>0.15620743900055986</v>
      </c>
    </row>
    <row r="97" spans="1:11">
      <c r="B97">
        <v>2021</v>
      </c>
      <c r="C97">
        <v>3</v>
      </c>
      <c r="D97">
        <v>15</v>
      </c>
      <c r="E97">
        <v>25000</v>
      </c>
      <c r="F97" s="12">
        <f t="shared" si="27"/>
        <v>39179.91696801348</v>
      </c>
      <c r="G97" s="12">
        <f t="shared" si="31"/>
        <v>6.6218784877232153</v>
      </c>
      <c r="H97" s="13">
        <f t="shared" si="29"/>
        <v>0.61374414743017369</v>
      </c>
      <c r="I97" s="12">
        <f t="shared" si="32"/>
        <v>21185.778943673718</v>
      </c>
      <c r="J97" s="29">
        <f t="shared" si="33"/>
        <v>14548282.266522774</v>
      </c>
      <c r="K97" s="31">
        <f t="shared" si="30"/>
        <v>0.15256884225305126</v>
      </c>
    </row>
    <row r="98" spans="1:11">
      <c r="B98">
        <v>2021</v>
      </c>
      <c r="C98">
        <v>4</v>
      </c>
      <c r="D98">
        <v>16</v>
      </c>
      <c r="E98">
        <v>65000</v>
      </c>
      <c r="F98" s="12">
        <f t="shared" si="27"/>
        <v>40492.91939465866</v>
      </c>
      <c r="G98" s="12">
        <f t="shared" si="31"/>
        <v>3.3109392438616077</v>
      </c>
      <c r="H98" s="13">
        <f t="shared" si="29"/>
        <v>1.5801344393617025</v>
      </c>
      <c r="I98" s="12">
        <f t="shared" si="32"/>
        <v>60937.025943190281</v>
      </c>
      <c r="J98" s="29">
        <f t="shared" si="33"/>
        <v>16507758.186308822</v>
      </c>
      <c r="K98" s="31">
        <f t="shared" si="30"/>
        <v>6.2507293181687976E-2</v>
      </c>
    </row>
    <row r="99" spans="1:11">
      <c r="B99">
        <v>2022</v>
      </c>
      <c r="C99">
        <v>1</v>
      </c>
      <c r="D99">
        <v>17</v>
      </c>
      <c r="F99" s="12"/>
      <c r="G99" s="12"/>
      <c r="H99" s="13"/>
      <c r="I99" s="12">
        <f t="shared" si="32"/>
        <v>31851.867398799222</v>
      </c>
      <c r="J99" s="30">
        <f>SQRT(AVERAGE(J98))</f>
        <v>4062.9740568097186</v>
      </c>
      <c r="K99" s="32">
        <f>AVERAGE(K87:K98)</f>
        <v>0.18585875638553664</v>
      </c>
    </row>
    <row r="100" spans="1:11">
      <c r="B100">
        <v>2022</v>
      </c>
      <c r="C100">
        <v>2</v>
      </c>
      <c r="D100">
        <v>18</v>
      </c>
      <c r="J100" s="11" t="s">
        <v>131</v>
      </c>
      <c r="K100" s="11" t="s">
        <v>114</v>
      </c>
    </row>
    <row r="101" spans="1:11">
      <c r="B101">
        <v>2022</v>
      </c>
      <c r="C101">
        <v>3</v>
      </c>
      <c r="D101">
        <v>19</v>
      </c>
      <c r="J101" s="11"/>
      <c r="K101" s="11"/>
    </row>
    <row r="102" spans="1:11">
      <c r="B102">
        <v>2022</v>
      </c>
      <c r="C102">
        <v>4</v>
      </c>
      <c r="D102">
        <v>20</v>
      </c>
      <c r="J102" s="11"/>
      <c r="K102" s="11"/>
    </row>
    <row r="103" spans="1:11">
      <c r="J103" s="11"/>
      <c r="K103" s="11"/>
    </row>
    <row r="104" spans="1:11">
      <c r="A104" t="s">
        <v>120</v>
      </c>
      <c r="B104">
        <v>0.5</v>
      </c>
    </row>
    <row r="105" spans="1:11">
      <c r="A105" t="s">
        <v>121</v>
      </c>
      <c r="B105">
        <v>0.5</v>
      </c>
    </row>
    <row r="106" spans="1:11">
      <c r="A106" t="s">
        <v>130</v>
      </c>
      <c r="B106">
        <v>0.5</v>
      </c>
    </row>
    <row r="108" spans="1:11">
      <c r="A108" s="37" t="s">
        <v>126</v>
      </c>
      <c r="D108" s="9" t="s">
        <v>155</v>
      </c>
    </row>
    <row r="109" spans="1:11" ht="19.149999999999999">
      <c r="D109" s="1" t="s">
        <v>96</v>
      </c>
      <c r="E109" s="1" t="s">
        <v>151</v>
      </c>
      <c r="F109" s="1" t="s">
        <v>123</v>
      </c>
      <c r="G109" s="1" t="s">
        <v>124</v>
      </c>
      <c r="H109" s="1" t="s">
        <v>154</v>
      </c>
      <c r="I109" t="s">
        <v>98</v>
      </c>
      <c r="J109" s="11"/>
      <c r="K109" s="38"/>
    </row>
    <row r="110" spans="1:11">
      <c r="D110">
        <v>1</v>
      </c>
      <c r="E110">
        <v>120</v>
      </c>
      <c r="H110" s="25">
        <f>E110/F113</f>
        <v>0.92307692307692313</v>
      </c>
    </row>
    <row r="111" spans="1:11">
      <c r="D111">
        <v>2</v>
      </c>
      <c r="E111">
        <v>130</v>
      </c>
      <c r="H111" s="25">
        <f>E111/F113</f>
        <v>1</v>
      </c>
    </row>
    <row r="112" spans="1:11">
      <c r="D112">
        <v>3</v>
      </c>
      <c r="E112">
        <v>100</v>
      </c>
      <c r="H112" s="25">
        <f>E112/F113</f>
        <v>0.76923076923076927</v>
      </c>
    </row>
    <row r="113" spans="1:9">
      <c r="D113">
        <v>4</v>
      </c>
      <c r="E113">
        <v>170</v>
      </c>
      <c r="F113" s="19">
        <f>AVERAGE(E110:E113)</f>
        <v>130</v>
      </c>
      <c r="G113" s="19">
        <f>AVERAGE(E114:E117)-AVERAGE(E110:E113)</f>
        <v>17.5</v>
      </c>
      <c r="H113" s="25">
        <f>E113/F113</f>
        <v>1.3076923076923077</v>
      </c>
    </row>
    <row r="114" spans="1:9">
      <c r="D114">
        <v>5</v>
      </c>
      <c r="E114">
        <v>140</v>
      </c>
      <c r="F114" s="19">
        <f>B123*E114/H110+(1-B123)*(F113+G113)</f>
        <v>149.58333333333331</v>
      </c>
      <c r="G114" s="19">
        <f>B124*(F114-F113)+(1-B124)*G113</f>
        <v>18.333333333333325</v>
      </c>
      <c r="H114" s="25">
        <f>B125*E114/F114+(1-B125)*H110</f>
        <v>0.92693379044353974</v>
      </c>
      <c r="I114" s="12"/>
    </row>
    <row r="115" spans="1:9">
      <c r="D115">
        <v>6</v>
      </c>
      <c r="E115">
        <v>150</v>
      </c>
      <c r="F115" s="19">
        <f>B123*E115/H111+(1-B123)*(F114+G114)</f>
        <v>158.95833333333331</v>
      </c>
      <c r="G115" s="19">
        <f>B124*(F115-F114)+(1-B124)*G114</f>
        <v>14.749999999999995</v>
      </c>
      <c r="H115" s="25">
        <f>B125*E115/F115+(1-B125)*H111</f>
        <v>0.98309305373525557</v>
      </c>
      <c r="I115" s="12"/>
    </row>
    <row r="116" spans="1:9">
      <c r="D116">
        <v>7</v>
      </c>
      <c r="E116">
        <v>120</v>
      </c>
      <c r="F116" s="19">
        <f>B123*E116/H112+(1-B123)*(F115+G115)</f>
        <v>164.85416666666666</v>
      </c>
      <c r="G116" s="19">
        <f>B124*(F116-F115)+(1-B124)*G115</f>
        <v>11.208333333333334</v>
      </c>
      <c r="H116" s="25">
        <f>B125*E116/F116+(1-B125)*H112</f>
        <v>0.75683636469684745</v>
      </c>
      <c r="I116" s="12"/>
    </row>
    <row r="117" spans="1:9">
      <c r="D117">
        <v>8</v>
      </c>
      <c r="E117">
        <v>180</v>
      </c>
      <c r="F117" s="19">
        <f>B123*E117/H113+(1-B123)*(F116+G116)</f>
        <v>156.8547794117647</v>
      </c>
      <c r="G117" s="13">
        <f>B124*(F117-F116)+(1-B124)*G116</f>
        <v>3.5252450980392158</v>
      </c>
      <c r="H117" s="25">
        <f>B125*E117/F117+(1-B125)*H113</f>
        <v>1.2596520977177026</v>
      </c>
      <c r="I117" s="12"/>
    </row>
    <row r="118" spans="1:9">
      <c r="D118">
        <v>9</v>
      </c>
      <c r="F118" s="12"/>
      <c r="G118" s="13"/>
      <c r="H118" s="13"/>
      <c r="I118" s="17">
        <f>(F117+G117*1)*H114</f>
        <v>148.66166403030036</v>
      </c>
    </row>
    <row r="119" spans="1:9">
      <c r="D119">
        <v>10</v>
      </c>
      <c r="I119" s="17">
        <f>(F117+G117*2)*H115</f>
        <v>161.13413202207488</v>
      </c>
    </row>
    <row r="120" spans="1:9">
      <c r="D120">
        <v>11</v>
      </c>
      <c r="I120" s="17">
        <f>(F117+G117*3)*H116</f>
        <v>126.71750208932204</v>
      </c>
    </row>
    <row r="121" spans="1:9">
      <c r="D121">
        <v>12</v>
      </c>
      <c r="I121" s="17">
        <f>(F117+G117*4)*H117</f>
        <v>215.34478145393348</v>
      </c>
    </row>
    <row r="123" spans="1:9">
      <c r="A123" t="s">
        <v>120</v>
      </c>
      <c r="B123">
        <v>0.5</v>
      </c>
    </row>
    <row r="124" spans="1:9">
      <c r="A124" t="s">
        <v>121</v>
      </c>
      <c r="B124">
        <v>0.4</v>
      </c>
    </row>
    <row r="125" spans="1:9">
      <c r="A125" t="s">
        <v>130</v>
      </c>
      <c r="B125">
        <v>0.3</v>
      </c>
    </row>
    <row r="126" spans="1:9">
      <c r="A126" t="s">
        <v>152</v>
      </c>
      <c r="B126">
        <v>4</v>
      </c>
      <c r="C126" t="s">
        <v>153</v>
      </c>
    </row>
    <row r="128" spans="1:9">
      <c r="A128" s="37" t="s">
        <v>126</v>
      </c>
      <c r="D128" s="9" t="s">
        <v>156</v>
      </c>
    </row>
    <row r="129" spans="1:11" ht="19.149999999999999">
      <c r="D129" s="1" t="s">
        <v>96</v>
      </c>
      <c r="E129" s="1" t="s">
        <v>151</v>
      </c>
      <c r="F129" s="1" t="s">
        <v>123</v>
      </c>
      <c r="G129" s="1" t="s">
        <v>124</v>
      </c>
      <c r="H129" s="1" t="s">
        <v>154</v>
      </c>
      <c r="I129" t="s">
        <v>98</v>
      </c>
      <c r="J129" s="11" t="s">
        <v>94</v>
      </c>
      <c r="K129" s="38" t="s">
        <v>149</v>
      </c>
    </row>
    <row r="130" spans="1:11">
      <c r="D130">
        <v>0</v>
      </c>
      <c r="E130">
        <v>130</v>
      </c>
    </row>
    <row r="131" spans="1:11">
      <c r="D131">
        <v>1</v>
      </c>
      <c r="E131">
        <v>120</v>
      </c>
      <c r="H131" s="12">
        <f>E131-E130</f>
        <v>-10</v>
      </c>
    </row>
    <row r="132" spans="1:11">
      <c r="D132">
        <v>2</v>
      </c>
      <c r="E132">
        <v>130</v>
      </c>
      <c r="H132" s="12">
        <f>E132-E130</f>
        <v>0</v>
      </c>
    </row>
    <row r="133" spans="1:11">
      <c r="D133">
        <v>3</v>
      </c>
      <c r="E133">
        <v>100</v>
      </c>
      <c r="H133" s="12">
        <f>E133-E130</f>
        <v>-30</v>
      </c>
    </row>
    <row r="134" spans="1:11">
      <c r="D134">
        <v>4</v>
      </c>
      <c r="E134">
        <v>170</v>
      </c>
      <c r="F134" s="13">
        <f>AVERAGE(E131:E134)</f>
        <v>130</v>
      </c>
      <c r="G134" s="19">
        <f>AVERAGE(E135:E138)-AVERAGE(E131:E134)</f>
        <v>17.5</v>
      </c>
      <c r="H134" s="12">
        <f>E134-E130</f>
        <v>40</v>
      </c>
    </row>
    <row r="135" spans="1:11">
      <c r="D135">
        <v>5</v>
      </c>
      <c r="E135">
        <v>140</v>
      </c>
      <c r="F135" s="13">
        <f>B143*(E135-H131)+(1-B143)*(F134+G134)</f>
        <v>148.75</v>
      </c>
      <c r="G135" s="19">
        <f>B144*(F135-F134)+(1-B144)*G134</f>
        <v>18</v>
      </c>
      <c r="H135" s="25">
        <f>B145*(E135-F135)+(1-B145)*H131</f>
        <v>-9.625</v>
      </c>
      <c r="I135" s="17">
        <f>F134+G134*1+H131</f>
        <v>137.5</v>
      </c>
      <c r="J135" s="22">
        <f>(I135-E135)^2</f>
        <v>6.25</v>
      </c>
      <c r="K135" s="31">
        <f>ABS(I135-E135)/E135</f>
        <v>1.7857142857142856E-2</v>
      </c>
    </row>
    <row r="136" spans="1:11">
      <c r="D136">
        <v>6</v>
      </c>
      <c r="E136">
        <v>150</v>
      </c>
      <c r="F136" s="13">
        <f>B143*(E136-H132)+(1-B143)*(F135+G135)</f>
        <v>158.375</v>
      </c>
      <c r="G136" s="19">
        <f>B144*(F136-F135)+(1-B144)*G135</f>
        <v>14.649999999999999</v>
      </c>
      <c r="H136" s="25">
        <f>B145*(E136-F136)+(1-B145)*H132</f>
        <v>-2.5124999999999997</v>
      </c>
      <c r="I136" s="17">
        <f>F135+G135*1+H132</f>
        <v>166.75</v>
      </c>
      <c r="J136" s="22">
        <f t="shared" ref="J136:J138" si="34">(I136-E136)^2</f>
        <v>280.5625</v>
      </c>
      <c r="K136" s="31">
        <f t="shared" ref="K136:K138" si="35">ABS(I136-E136)/E136</f>
        <v>0.11166666666666666</v>
      </c>
    </row>
    <row r="137" spans="1:11">
      <c r="D137">
        <v>7</v>
      </c>
      <c r="E137">
        <v>120</v>
      </c>
      <c r="F137" s="13">
        <f>B143*(E137-H133)+(1-B143)*(F136+G136)</f>
        <v>161.51249999999999</v>
      </c>
      <c r="G137" s="19">
        <f>B144*(F137-F136)+(1-B144)*G136</f>
        <v>10.044999999999995</v>
      </c>
      <c r="H137" s="25">
        <f>B145*(E137-F137)+(1-B145)*H133</f>
        <v>-33.453749999999999</v>
      </c>
      <c r="I137" s="17">
        <f>F136+G136*1+H133</f>
        <v>143.02500000000001</v>
      </c>
      <c r="J137" s="22">
        <f t="shared" si="34"/>
        <v>530.15062500000022</v>
      </c>
      <c r="K137" s="31">
        <f t="shared" si="35"/>
        <v>0.19187500000000005</v>
      </c>
    </row>
    <row r="138" spans="1:11">
      <c r="D138">
        <v>8</v>
      </c>
      <c r="E138">
        <v>180</v>
      </c>
      <c r="F138" s="13">
        <f>B143*(E138-H134)+(1-B143)*(F137+G137)</f>
        <v>155.77875</v>
      </c>
      <c r="G138" s="13">
        <f>B144*(F138-F137)+(1-B144)*G137</f>
        <v>3.733500000000002</v>
      </c>
      <c r="H138" s="25">
        <f>B145*(E138-F138)+(1-B145)*H134</f>
        <v>35.266374999999996</v>
      </c>
      <c r="I138" s="17">
        <f>F137+G137*1+H134</f>
        <v>211.55749999999998</v>
      </c>
      <c r="J138" s="22">
        <f t="shared" si="34"/>
        <v>995.8758062499985</v>
      </c>
      <c r="K138" s="31">
        <f t="shared" si="35"/>
        <v>0.17531944444444431</v>
      </c>
    </row>
    <row r="139" spans="1:11">
      <c r="D139">
        <v>9</v>
      </c>
      <c r="F139" s="12"/>
      <c r="G139" s="13"/>
      <c r="H139" s="13"/>
      <c r="I139" s="17">
        <f>F138+G138*1+H135</f>
        <v>149.88724999999999</v>
      </c>
    </row>
    <row r="140" spans="1:11">
      <c r="D140">
        <v>10</v>
      </c>
      <c r="I140" s="17">
        <f>F138+G138*2+H136</f>
        <v>160.73325000000003</v>
      </c>
    </row>
    <row r="141" spans="1:11">
      <c r="D141">
        <v>11</v>
      </c>
      <c r="I141" s="17">
        <f>F138+G138*3+H137</f>
        <v>133.52550000000002</v>
      </c>
    </row>
    <row r="142" spans="1:11">
      <c r="D142">
        <v>12</v>
      </c>
      <c r="I142" s="17">
        <f>F138+G138*4+H138</f>
        <v>205.97912500000001</v>
      </c>
      <c r="J142" s="24">
        <f>AVERAGE(J135:J138)</f>
        <v>453.20973281249968</v>
      </c>
      <c r="K142" s="32">
        <f>AVERAGE(K135:K138)</f>
        <v>0.12417956349206347</v>
      </c>
    </row>
    <row r="143" spans="1:11">
      <c r="A143" t="s">
        <v>120</v>
      </c>
      <c r="B143">
        <v>0.5</v>
      </c>
      <c r="J143" s="11" t="s">
        <v>131</v>
      </c>
      <c r="K143" s="11" t="s">
        <v>157</v>
      </c>
    </row>
    <row r="144" spans="1:11">
      <c r="A144" t="s">
        <v>121</v>
      </c>
      <c r="B144">
        <v>0.4</v>
      </c>
    </row>
    <row r="145" spans="1:3">
      <c r="A145" t="s">
        <v>130</v>
      </c>
      <c r="B145">
        <v>0.3</v>
      </c>
    </row>
    <row r="146" spans="1:3">
      <c r="A146" t="s">
        <v>152</v>
      </c>
      <c r="B146">
        <v>4</v>
      </c>
      <c r="C146" t="s">
        <v>153</v>
      </c>
    </row>
  </sheetData>
  <phoneticPr fontId="2" type="noConversion"/>
  <pageMargins left="0.7" right="0.7" top="0.75" bottom="0.75" header="0.3" footer="0.3"/>
  <ignoredErrors>
    <ignoredError sqref="F113 F134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63D6-EC5B-41D9-BF42-E537693ECD56}">
  <dimension ref="A1:E14"/>
  <sheetViews>
    <sheetView topLeftCell="G1" zoomScale="55" zoomScaleNormal="55" workbookViewId="0">
      <selection sqref="A1:B14"/>
    </sheetView>
  </sheetViews>
  <sheetFormatPr defaultColWidth="8.796875" defaultRowHeight="16.149999999999999"/>
  <cols>
    <col min="2" max="2" width="15.796875" customWidth="1"/>
    <col min="3" max="3" width="26.46484375" customWidth="1"/>
    <col min="4" max="5" width="33.33203125" customWidth="1"/>
  </cols>
  <sheetData>
    <row r="1" spans="1:5">
      <c r="A1" t="s">
        <v>158</v>
      </c>
      <c r="B1" t="s">
        <v>159</v>
      </c>
      <c r="C1" t="s">
        <v>160</v>
      </c>
      <c r="D1" t="s">
        <v>161</v>
      </c>
      <c r="E1" t="s">
        <v>162</v>
      </c>
    </row>
    <row r="2" spans="1:5">
      <c r="A2" s="41">
        <v>0</v>
      </c>
      <c r="B2" s="41">
        <v>130</v>
      </c>
    </row>
    <row r="3" spans="1:5">
      <c r="A3" s="41">
        <v>1</v>
      </c>
      <c r="B3" s="41">
        <v>120</v>
      </c>
    </row>
    <row r="4" spans="1:5">
      <c r="A4" s="41">
        <v>2</v>
      </c>
      <c r="B4" s="41">
        <v>130</v>
      </c>
    </row>
    <row r="5" spans="1:5">
      <c r="A5" s="41">
        <v>3</v>
      </c>
      <c r="B5" s="41">
        <v>100</v>
      </c>
    </row>
    <row r="6" spans="1:5">
      <c r="A6" s="41">
        <v>4</v>
      </c>
      <c r="B6" s="41">
        <v>170</v>
      </c>
    </row>
    <row r="7" spans="1:5">
      <c r="A7" s="41">
        <v>5</v>
      </c>
      <c r="B7" s="41">
        <v>140</v>
      </c>
    </row>
    <row r="8" spans="1:5">
      <c r="A8" s="41">
        <v>6</v>
      </c>
      <c r="B8" s="41">
        <v>150</v>
      </c>
    </row>
    <row r="9" spans="1:5">
      <c r="A9" s="41">
        <v>7</v>
      </c>
      <c r="B9" s="41">
        <v>120</v>
      </c>
    </row>
    <row r="10" spans="1:5">
      <c r="A10" s="41">
        <v>8</v>
      </c>
      <c r="B10" s="41">
        <v>180</v>
      </c>
      <c r="C10" s="41">
        <v>180</v>
      </c>
      <c r="D10" s="42">
        <v>180</v>
      </c>
      <c r="E10" s="42">
        <v>180</v>
      </c>
    </row>
    <row r="11" spans="1:5">
      <c r="A11" s="41">
        <v>9</v>
      </c>
      <c r="C11" s="41">
        <f>_xlfn.FORECAST.ETS(A11,$B$2:$B$10,$A$2:$A$10,4,1)</f>
        <v>156.65813251434471</v>
      </c>
      <c r="D11" s="42">
        <f>C11-_xlfn.FORECAST.ETS.CONFINT(A11,$B$2:$B$10,$A$2:$A$10,0.95,4,1)</f>
        <v>142.04212812346287</v>
      </c>
      <c r="E11" s="42">
        <f>C11+_xlfn.FORECAST.ETS.CONFINT(A11,$B$2:$B$10,$A$2:$A$10,0.95,4,1)</f>
        <v>171.27413690522656</v>
      </c>
    </row>
    <row r="12" spans="1:5">
      <c r="A12" s="41">
        <v>10</v>
      </c>
      <c r="C12" s="41">
        <f>_xlfn.FORECAST.ETS(A12,$B$2:$B$10,$A$2:$A$10,4,1)</f>
        <v>165.49826373703158</v>
      </c>
      <c r="D12" s="42">
        <f>C12-_xlfn.FORECAST.ETS.CONFINT(A12,$B$2:$B$10,$A$2:$A$10,0.95,4,1)</f>
        <v>147.21948490589318</v>
      </c>
      <c r="E12" s="42">
        <f>C12+_xlfn.FORECAST.ETS.CONFINT(A12,$B$2:$B$10,$A$2:$A$10,0.95,4,1)</f>
        <v>183.77704256816997</v>
      </c>
    </row>
    <row r="13" spans="1:5">
      <c r="A13" s="41">
        <v>11</v>
      </c>
      <c r="C13" s="41">
        <f>_xlfn.FORECAST.ETS(A13,$B$2:$B$10,$A$2:$A$10,4,1)</f>
        <v>134.36186068201397</v>
      </c>
      <c r="D13" s="42">
        <f>C13-_xlfn.FORECAST.ETS.CONFINT(A13,$B$2:$B$10,$A$2:$A$10,0.95,4,1)</f>
        <v>113.03298333180273</v>
      </c>
      <c r="E13" s="42">
        <f>C13+_xlfn.FORECAST.ETS.CONFINT(A13,$B$2:$B$10,$A$2:$A$10,0.95,4,1)</f>
        <v>155.69073803222523</v>
      </c>
    </row>
    <row r="14" spans="1:5">
      <c r="A14" s="41">
        <v>12</v>
      </c>
      <c r="C14" s="41">
        <f>_xlfn.FORECAST.ETS(A14,$B$2:$B$10,$A$2:$A$10,4,1)</f>
        <v>201.39556629965412</v>
      </c>
      <c r="D14" s="42">
        <f>C14-_xlfn.FORECAST.ETS.CONFINT(A14,$B$2:$B$10,$A$2:$A$10,0.95,4,1)</f>
        <v>177.39452940543873</v>
      </c>
      <c r="E14" s="42">
        <f>C14+_xlfn.FORECAST.ETS.CONFINT(A14,$B$2:$B$10,$A$2:$A$10,0.95,4,1)</f>
        <v>225.39660319386951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B6C-0D83-4C58-AF87-2BA934506A4C}">
  <dimension ref="A1:AA63"/>
  <sheetViews>
    <sheetView tabSelected="1" topLeftCell="A31" zoomScale="70" zoomScaleNormal="70" workbookViewId="0">
      <selection activeCell="G49" sqref="G49"/>
    </sheetView>
  </sheetViews>
  <sheetFormatPr defaultColWidth="8.796875" defaultRowHeight="16.149999999999999"/>
  <cols>
    <col min="1" max="1" width="8.1328125" customWidth="1"/>
    <col min="3" max="3" width="18.46484375" bestFit="1" customWidth="1"/>
    <col min="4" max="4" width="13.33203125" bestFit="1" customWidth="1"/>
    <col min="5" max="5" width="13.1328125" bestFit="1" customWidth="1"/>
    <col min="6" max="6" width="13" bestFit="1" customWidth="1"/>
    <col min="7" max="7" width="16.1328125" bestFit="1" customWidth="1"/>
    <col min="8" max="8" width="11.1328125" bestFit="1" customWidth="1"/>
    <col min="18" max="18" width="15.46484375" bestFit="1" customWidth="1"/>
    <col min="20" max="20" width="13.796875" customWidth="1"/>
    <col min="21" max="21" width="15.1328125" customWidth="1"/>
    <col min="22" max="22" width="15.796875" customWidth="1"/>
    <col min="23" max="23" width="15.1328125" customWidth="1"/>
    <col min="24" max="24" width="16.46484375" bestFit="1" customWidth="1"/>
    <col min="25" max="25" width="11.33203125" bestFit="1" customWidth="1"/>
    <col min="27" max="27" width="17.33203125" bestFit="1" customWidth="1"/>
  </cols>
  <sheetData>
    <row r="1" spans="2:27">
      <c r="B1" t="s">
        <v>96</v>
      </c>
      <c r="C1" t="s">
        <v>163</v>
      </c>
      <c r="D1" t="s">
        <v>90</v>
      </c>
      <c r="E1" t="s">
        <v>88</v>
      </c>
      <c r="F1" t="s">
        <v>89</v>
      </c>
      <c r="G1" s="11" t="s">
        <v>93</v>
      </c>
      <c r="H1" s="11" t="s">
        <v>94</v>
      </c>
      <c r="S1" t="s">
        <v>83</v>
      </c>
      <c r="T1" t="s">
        <v>163</v>
      </c>
      <c r="U1" t="s">
        <v>90</v>
      </c>
      <c r="V1" t="s">
        <v>88</v>
      </c>
      <c r="W1" t="s">
        <v>89</v>
      </c>
      <c r="X1" s="11" t="s">
        <v>93</v>
      </c>
      <c r="Y1" s="11" t="s">
        <v>94</v>
      </c>
    </row>
    <row r="2" spans="2:27">
      <c r="B2">
        <v>1</v>
      </c>
      <c r="C2">
        <v>0</v>
      </c>
      <c r="D2">
        <v>1</v>
      </c>
      <c r="E2">
        <v>0</v>
      </c>
      <c r="F2">
        <v>0</v>
      </c>
      <c r="S2">
        <v>1</v>
      </c>
      <c r="T2">
        <v>0</v>
      </c>
      <c r="U2">
        <v>1</v>
      </c>
      <c r="V2">
        <v>0</v>
      </c>
      <c r="W2">
        <v>0</v>
      </c>
    </row>
    <row r="3" spans="2:27">
      <c r="B3">
        <v>2</v>
      </c>
      <c r="C3">
        <v>0</v>
      </c>
      <c r="D3">
        <v>2</v>
      </c>
      <c r="E3" s="19">
        <f t="shared" ref="E3:E26" si="0">$C$32*C3+(1-$C$32)*E2</f>
        <v>0</v>
      </c>
      <c r="F3" s="13">
        <f>C33*D3+(1-C33)*F2</f>
        <v>1</v>
      </c>
      <c r="G3" s="19">
        <f>E3/F3</f>
        <v>0</v>
      </c>
      <c r="H3" s="20">
        <f>(G3-C3)^2</f>
        <v>0</v>
      </c>
      <c r="S3">
        <v>2</v>
      </c>
      <c r="T3">
        <v>0</v>
      </c>
      <c r="U3">
        <v>2</v>
      </c>
      <c r="V3" s="19">
        <f t="shared" ref="V3:V25" si="1">$U$31*T3+(1-$U$31)*V2</f>
        <v>0</v>
      </c>
      <c r="W3" s="13">
        <f t="shared" ref="W3:W26" si="2">$U$32*U3+(1-$U$32)*W2</f>
        <v>0.36</v>
      </c>
      <c r="X3" s="19">
        <f>V3/W3</f>
        <v>0</v>
      </c>
      <c r="Y3" s="20">
        <f>(X3-T3)^2</f>
        <v>0</v>
      </c>
      <c r="AA3" s="12"/>
    </row>
    <row r="4" spans="2:27">
      <c r="B4">
        <v>3</v>
      </c>
      <c r="C4">
        <v>19</v>
      </c>
      <c r="D4">
        <v>3</v>
      </c>
      <c r="E4" s="19">
        <f t="shared" si="0"/>
        <v>13.299999999999999</v>
      </c>
      <c r="F4" s="13">
        <f t="shared" ref="F4:F26" si="3">$C$33*D4+(1-$C$33)*F3</f>
        <v>2</v>
      </c>
      <c r="G4" s="19">
        <f t="shared" ref="G4:G26" si="4">E4/F4</f>
        <v>6.6499999999999995</v>
      </c>
      <c r="H4" s="20">
        <f t="shared" ref="H4:H25" si="5">(G4-C4)^2</f>
        <v>152.52250000000004</v>
      </c>
      <c r="S4">
        <v>3</v>
      </c>
      <c r="T4">
        <v>19</v>
      </c>
      <c r="U4">
        <v>3</v>
      </c>
      <c r="V4" s="19">
        <f t="shared" si="1"/>
        <v>19</v>
      </c>
      <c r="W4" s="13">
        <f t="shared" si="2"/>
        <v>0.83520000000000005</v>
      </c>
      <c r="X4" s="19">
        <f t="shared" ref="X4:X26" si="6">V4/W4</f>
        <v>22.749042145593869</v>
      </c>
      <c r="Y4" s="20">
        <f t="shared" ref="Y4:Y25" si="7">(X4-T4)^2</f>
        <v>14.055317009439079</v>
      </c>
      <c r="AA4" s="12"/>
    </row>
    <row r="5" spans="2:27">
      <c r="B5">
        <v>4</v>
      </c>
      <c r="C5">
        <v>0</v>
      </c>
      <c r="D5">
        <v>1</v>
      </c>
      <c r="E5" s="19">
        <f t="shared" si="0"/>
        <v>3.99</v>
      </c>
      <c r="F5" s="13">
        <f t="shared" si="3"/>
        <v>1.5</v>
      </c>
      <c r="G5" s="19">
        <f t="shared" si="4"/>
        <v>2.66</v>
      </c>
      <c r="H5" s="20">
        <f t="shared" si="5"/>
        <v>7.0756000000000006</v>
      </c>
      <c r="S5">
        <v>4</v>
      </c>
      <c r="T5">
        <v>0</v>
      </c>
      <c r="U5">
        <v>1</v>
      </c>
      <c r="V5" s="19">
        <f t="shared" si="1"/>
        <v>0</v>
      </c>
      <c r="W5" s="13">
        <f t="shared" si="2"/>
        <v>0.86486400000000008</v>
      </c>
      <c r="X5" s="19">
        <f t="shared" si="6"/>
        <v>0</v>
      </c>
      <c r="Y5" s="20">
        <f t="shared" si="7"/>
        <v>0</v>
      </c>
      <c r="AA5" s="12"/>
    </row>
    <row r="6" spans="2:27">
      <c r="B6">
        <v>5</v>
      </c>
      <c r="C6">
        <v>0</v>
      </c>
      <c r="D6">
        <v>2</v>
      </c>
      <c r="E6" s="19">
        <f t="shared" si="0"/>
        <v>1.1970000000000003</v>
      </c>
      <c r="F6" s="13">
        <f t="shared" si="3"/>
        <v>1.75</v>
      </c>
      <c r="G6" s="19">
        <f t="shared" si="4"/>
        <v>0.68400000000000016</v>
      </c>
      <c r="H6" s="20">
        <f t="shared" si="5"/>
        <v>0.46785600000000022</v>
      </c>
      <c r="S6">
        <v>5</v>
      </c>
      <c r="T6">
        <v>0</v>
      </c>
      <c r="U6">
        <v>2</v>
      </c>
      <c r="V6" s="19">
        <f t="shared" si="1"/>
        <v>0</v>
      </c>
      <c r="W6" s="13">
        <f t="shared" si="2"/>
        <v>1.0691884800000002</v>
      </c>
      <c r="X6" s="19">
        <f t="shared" si="6"/>
        <v>0</v>
      </c>
      <c r="Y6" s="20">
        <f t="shared" si="7"/>
        <v>0</v>
      </c>
      <c r="AA6" s="12"/>
    </row>
    <row r="7" spans="2:27">
      <c r="B7">
        <v>6</v>
      </c>
      <c r="C7">
        <v>0</v>
      </c>
      <c r="D7">
        <v>3</v>
      </c>
      <c r="E7" s="19">
        <f t="shared" si="0"/>
        <v>0.35910000000000014</v>
      </c>
      <c r="F7" s="13">
        <f t="shared" si="3"/>
        <v>2.375</v>
      </c>
      <c r="G7" s="19">
        <f t="shared" si="4"/>
        <v>0.15120000000000006</v>
      </c>
      <c r="H7" s="20">
        <f t="shared" si="5"/>
        <v>2.2861440000000018E-2</v>
      </c>
      <c r="S7">
        <v>6</v>
      </c>
      <c r="T7">
        <v>0</v>
      </c>
      <c r="U7">
        <v>3</v>
      </c>
      <c r="V7" s="19">
        <f t="shared" si="1"/>
        <v>0</v>
      </c>
      <c r="W7" s="13">
        <f t="shared" si="2"/>
        <v>1.4167345536000004</v>
      </c>
      <c r="X7" s="19">
        <f t="shared" si="6"/>
        <v>0</v>
      </c>
      <c r="Y7" s="20">
        <f t="shared" si="7"/>
        <v>0</v>
      </c>
      <c r="AA7" s="12"/>
    </row>
    <row r="8" spans="2:27">
      <c r="B8">
        <v>7</v>
      </c>
      <c r="C8">
        <v>4</v>
      </c>
      <c r="D8">
        <v>4</v>
      </c>
      <c r="E8" s="19">
        <f t="shared" si="0"/>
        <v>2.9077299999999999</v>
      </c>
      <c r="F8" s="13">
        <f t="shared" si="3"/>
        <v>3.1875</v>
      </c>
      <c r="G8" s="19">
        <f t="shared" si="4"/>
        <v>0.91222901960784308</v>
      </c>
      <c r="H8" s="20">
        <f t="shared" si="5"/>
        <v>9.5343296273519407</v>
      </c>
      <c r="S8">
        <v>7</v>
      </c>
      <c r="T8">
        <v>4</v>
      </c>
      <c r="U8">
        <v>4</v>
      </c>
      <c r="V8" s="19">
        <f t="shared" si="1"/>
        <v>4</v>
      </c>
      <c r="W8" s="13">
        <f t="shared" si="2"/>
        <v>1.8817223339520004</v>
      </c>
      <c r="X8" s="19">
        <f t="shared" si="6"/>
        <v>2.1257121350094117</v>
      </c>
      <c r="Y8" s="20">
        <f t="shared" si="7"/>
        <v>3.5129550008509778</v>
      </c>
      <c r="AA8" s="12"/>
    </row>
    <row r="9" spans="2:27">
      <c r="B9">
        <v>8</v>
      </c>
      <c r="C9">
        <v>18</v>
      </c>
      <c r="D9">
        <v>1</v>
      </c>
      <c r="E9" s="19">
        <f t="shared" si="0"/>
        <v>13.472318999999999</v>
      </c>
      <c r="F9" s="13">
        <f t="shared" si="3"/>
        <v>2.09375</v>
      </c>
      <c r="G9" s="19">
        <f t="shared" si="4"/>
        <v>6.4345404179104468</v>
      </c>
      <c r="H9" s="20">
        <f t="shared" si="5"/>
        <v>133.75985534494703</v>
      </c>
      <c r="S9">
        <v>8</v>
      </c>
      <c r="T9">
        <v>18</v>
      </c>
      <c r="U9">
        <v>1</v>
      </c>
      <c r="V9" s="19">
        <f t="shared" si="1"/>
        <v>18</v>
      </c>
      <c r="W9" s="13">
        <f t="shared" si="2"/>
        <v>1.7230123138406404</v>
      </c>
      <c r="X9" s="19">
        <f t="shared" si="6"/>
        <v>10.446820289912798</v>
      </c>
      <c r="Y9" s="20">
        <f t="shared" si="7"/>
        <v>57.050523732872982</v>
      </c>
      <c r="AA9" s="12"/>
    </row>
    <row r="10" spans="2:27">
      <c r="B10">
        <v>9</v>
      </c>
      <c r="C10">
        <v>17</v>
      </c>
      <c r="D10">
        <v>1</v>
      </c>
      <c r="E10" s="19">
        <f t="shared" si="0"/>
        <v>15.941695699999999</v>
      </c>
      <c r="F10" s="13">
        <f t="shared" si="3"/>
        <v>1.546875</v>
      </c>
      <c r="G10" s="19">
        <f t="shared" si="4"/>
        <v>10.305742674747474</v>
      </c>
      <c r="H10" s="20">
        <f t="shared" si="5"/>
        <v>44.8130811366971</v>
      </c>
      <c r="S10">
        <v>9</v>
      </c>
      <c r="T10">
        <v>17</v>
      </c>
      <c r="U10">
        <v>1</v>
      </c>
      <c r="V10" s="19">
        <f t="shared" si="1"/>
        <v>17</v>
      </c>
      <c r="W10" s="13">
        <f t="shared" si="2"/>
        <v>1.5928700973493251</v>
      </c>
      <c r="X10" s="19">
        <f t="shared" si="6"/>
        <v>10.672558941428736</v>
      </c>
      <c r="Y10" s="20">
        <f t="shared" si="7"/>
        <v>40.036510349693437</v>
      </c>
      <c r="AA10" s="12"/>
    </row>
    <row r="11" spans="2:27">
      <c r="B11">
        <v>10</v>
      </c>
      <c r="C11">
        <v>0</v>
      </c>
      <c r="D11">
        <v>1</v>
      </c>
      <c r="E11" s="19">
        <f t="shared" si="0"/>
        <v>4.7825087100000001</v>
      </c>
      <c r="F11" s="13">
        <f t="shared" si="3"/>
        <v>1.2734375</v>
      </c>
      <c r="G11" s="19">
        <f t="shared" si="4"/>
        <v>3.7555896618404909</v>
      </c>
      <c r="H11" s="20">
        <f t="shared" si="5"/>
        <v>14.104453708123174</v>
      </c>
      <c r="S11">
        <v>10</v>
      </c>
      <c r="T11">
        <v>0</v>
      </c>
      <c r="U11">
        <v>1</v>
      </c>
      <c r="V11" s="19">
        <f t="shared" si="1"/>
        <v>0</v>
      </c>
      <c r="W11" s="13">
        <f t="shared" si="2"/>
        <v>1.4861534798264466</v>
      </c>
      <c r="X11" s="19">
        <f t="shared" si="6"/>
        <v>0</v>
      </c>
      <c r="Y11" s="20">
        <f t="shared" si="7"/>
        <v>0</v>
      </c>
      <c r="AA11" s="12"/>
    </row>
    <row r="12" spans="2:27">
      <c r="B12">
        <v>11</v>
      </c>
      <c r="C12">
        <v>0</v>
      </c>
      <c r="D12">
        <v>2</v>
      </c>
      <c r="E12" s="19">
        <f t="shared" si="0"/>
        <v>1.4347526130000003</v>
      </c>
      <c r="F12" s="13">
        <f t="shared" si="3"/>
        <v>1.63671875</v>
      </c>
      <c r="G12" s="19">
        <f t="shared" si="4"/>
        <v>0.8766030284677806</v>
      </c>
      <c r="H12" s="20">
        <f t="shared" si="5"/>
        <v>0.76843286951888456</v>
      </c>
      <c r="S12">
        <v>11</v>
      </c>
      <c r="T12">
        <v>0</v>
      </c>
      <c r="U12">
        <v>2</v>
      </c>
      <c r="V12" s="19">
        <f t="shared" si="1"/>
        <v>0</v>
      </c>
      <c r="W12" s="13">
        <f t="shared" si="2"/>
        <v>1.5786458534576862</v>
      </c>
      <c r="X12" s="19">
        <f t="shared" si="6"/>
        <v>0</v>
      </c>
      <c r="Y12" s="20">
        <f t="shared" si="7"/>
        <v>0</v>
      </c>
      <c r="AA12" s="12"/>
    </row>
    <row r="13" spans="2:27">
      <c r="B13">
        <v>12</v>
      </c>
      <c r="C13">
        <v>0</v>
      </c>
      <c r="D13">
        <v>3</v>
      </c>
      <c r="E13" s="19">
        <f t="shared" si="0"/>
        <v>0.43042578390000019</v>
      </c>
      <c r="F13" s="13">
        <f t="shared" si="3"/>
        <v>2.318359375</v>
      </c>
      <c r="G13" s="19">
        <f t="shared" si="4"/>
        <v>0.18565964730985687</v>
      </c>
      <c r="H13" s="20">
        <f t="shared" si="5"/>
        <v>3.4469504639220445E-2</v>
      </c>
      <c r="S13">
        <v>12</v>
      </c>
      <c r="T13">
        <v>0</v>
      </c>
      <c r="U13">
        <v>3</v>
      </c>
      <c r="V13" s="19">
        <f t="shared" si="1"/>
        <v>0</v>
      </c>
      <c r="W13" s="13">
        <f t="shared" si="2"/>
        <v>1.8344895998353028</v>
      </c>
      <c r="X13" s="19">
        <f t="shared" si="6"/>
        <v>0</v>
      </c>
      <c r="Y13" s="20">
        <f t="shared" si="7"/>
        <v>0</v>
      </c>
      <c r="AA13" s="12"/>
    </row>
    <row r="14" spans="2:27">
      <c r="B14">
        <v>13</v>
      </c>
      <c r="C14">
        <v>0</v>
      </c>
      <c r="D14">
        <v>4</v>
      </c>
      <c r="E14" s="19">
        <f t="shared" si="0"/>
        <v>0.12912773517000006</v>
      </c>
      <c r="F14" s="13">
        <f t="shared" si="3"/>
        <v>3.1591796875</v>
      </c>
      <c r="G14" s="19">
        <f t="shared" si="4"/>
        <v>4.0873817871431239E-2</v>
      </c>
      <c r="H14" s="20">
        <f t="shared" si="5"/>
        <v>1.6706689873869317E-3</v>
      </c>
      <c r="S14">
        <v>13</v>
      </c>
      <c r="T14">
        <v>0</v>
      </c>
      <c r="U14">
        <v>4</v>
      </c>
      <c r="V14" s="19">
        <f t="shared" si="1"/>
        <v>0</v>
      </c>
      <c r="W14" s="13">
        <f t="shared" si="2"/>
        <v>2.2242814718649484</v>
      </c>
      <c r="X14" s="19">
        <f t="shared" si="6"/>
        <v>0</v>
      </c>
      <c r="Y14" s="20">
        <f t="shared" si="7"/>
        <v>0</v>
      </c>
      <c r="AA14" s="12"/>
    </row>
    <row r="15" spans="2:27">
      <c r="B15">
        <v>14</v>
      </c>
      <c r="C15">
        <v>0</v>
      </c>
      <c r="D15">
        <v>5</v>
      </c>
      <c r="E15" s="19">
        <f t="shared" si="0"/>
        <v>3.8738320551000023E-2</v>
      </c>
      <c r="F15" s="13">
        <f t="shared" si="3"/>
        <v>4.07958984375</v>
      </c>
      <c r="G15" s="19">
        <f t="shared" si="4"/>
        <v>9.4956409920344768E-3</v>
      </c>
      <c r="H15" s="20">
        <f t="shared" si="5"/>
        <v>9.0167197849605506E-5</v>
      </c>
      <c r="S15">
        <v>14</v>
      </c>
      <c r="T15">
        <v>0</v>
      </c>
      <c r="U15">
        <v>5</v>
      </c>
      <c r="V15" s="19">
        <f t="shared" si="1"/>
        <v>0</v>
      </c>
      <c r="W15" s="13">
        <f t="shared" si="2"/>
        <v>2.7239108069292577</v>
      </c>
      <c r="X15" s="19">
        <f t="shared" si="6"/>
        <v>0</v>
      </c>
      <c r="Y15" s="20">
        <f t="shared" si="7"/>
        <v>0</v>
      </c>
      <c r="AA15" s="12"/>
    </row>
    <row r="16" spans="2:27">
      <c r="B16">
        <v>15</v>
      </c>
      <c r="C16">
        <v>3</v>
      </c>
      <c r="D16">
        <v>6</v>
      </c>
      <c r="E16" s="19">
        <f t="shared" si="0"/>
        <v>2.1116214961652995</v>
      </c>
      <c r="F16" s="13">
        <f t="shared" si="3"/>
        <v>5.039794921875</v>
      </c>
      <c r="G16" s="19">
        <f t="shared" si="4"/>
        <v>0.41898956780957547</v>
      </c>
      <c r="H16" s="20">
        <f t="shared" si="5"/>
        <v>6.6616148510758011</v>
      </c>
      <c r="S16">
        <v>15</v>
      </c>
      <c r="T16">
        <v>3</v>
      </c>
      <c r="U16">
        <v>6</v>
      </c>
      <c r="V16" s="19">
        <f t="shared" si="1"/>
        <v>3</v>
      </c>
      <c r="W16" s="13">
        <f t="shared" si="2"/>
        <v>3.3136068616819916</v>
      </c>
      <c r="X16" s="19">
        <f t="shared" si="6"/>
        <v>0.90535785481721143</v>
      </c>
      <c r="Y16" s="20">
        <f t="shared" si="7"/>
        <v>4.3875257163759551</v>
      </c>
      <c r="AA16" s="12"/>
    </row>
    <row r="17" spans="1:27">
      <c r="B17">
        <v>16</v>
      </c>
      <c r="C17">
        <v>0</v>
      </c>
      <c r="D17">
        <v>1</v>
      </c>
      <c r="E17" s="19">
        <f t="shared" si="0"/>
        <v>0.63348644884958993</v>
      </c>
      <c r="F17" s="13">
        <f t="shared" si="3"/>
        <v>3.0198974609375</v>
      </c>
      <c r="G17" s="19">
        <f t="shared" si="4"/>
        <v>0.20977084720384173</v>
      </c>
      <c r="H17" s="20">
        <f t="shared" si="5"/>
        <v>4.4003808336617517E-2</v>
      </c>
      <c r="S17">
        <v>16</v>
      </c>
      <c r="T17">
        <v>0</v>
      </c>
      <c r="U17">
        <v>1</v>
      </c>
      <c r="V17" s="19">
        <f t="shared" si="1"/>
        <v>0</v>
      </c>
      <c r="W17" s="13">
        <f t="shared" si="2"/>
        <v>2.8971576265792334</v>
      </c>
      <c r="X17" s="19">
        <f t="shared" si="6"/>
        <v>0</v>
      </c>
      <c r="Y17" s="20">
        <f t="shared" si="7"/>
        <v>0</v>
      </c>
      <c r="AA17" s="12"/>
    </row>
    <row r="18" spans="1:27">
      <c r="B18">
        <v>17</v>
      </c>
      <c r="C18">
        <v>0</v>
      </c>
      <c r="D18">
        <v>2</v>
      </c>
      <c r="E18" s="19">
        <f t="shared" si="0"/>
        <v>0.19004593465487701</v>
      </c>
      <c r="F18" s="13">
        <f t="shared" si="3"/>
        <v>2.50994873046875</v>
      </c>
      <c r="G18" s="19">
        <f t="shared" si="4"/>
        <v>7.5717058419509889E-2</v>
      </c>
      <c r="H18" s="20">
        <f t="shared" si="5"/>
        <v>5.7330729357034736E-3</v>
      </c>
      <c r="S18">
        <v>17</v>
      </c>
      <c r="T18">
        <v>0</v>
      </c>
      <c r="U18">
        <v>2</v>
      </c>
      <c r="V18" s="19">
        <f t="shared" si="1"/>
        <v>0</v>
      </c>
      <c r="W18" s="13">
        <f t="shared" si="2"/>
        <v>2.7356692537949714</v>
      </c>
      <c r="X18" s="19">
        <f t="shared" si="6"/>
        <v>0</v>
      </c>
      <c r="Y18" s="20">
        <f t="shared" si="7"/>
        <v>0</v>
      </c>
      <c r="AA18" s="12"/>
    </row>
    <row r="19" spans="1:27">
      <c r="B19">
        <v>18</v>
      </c>
      <c r="C19">
        <v>19</v>
      </c>
      <c r="D19">
        <v>3</v>
      </c>
      <c r="E19" s="19">
        <f t="shared" si="0"/>
        <v>13.357013780396462</v>
      </c>
      <c r="F19" s="13">
        <f t="shared" si="3"/>
        <v>2.754974365234375</v>
      </c>
      <c r="G19" s="19">
        <f t="shared" si="4"/>
        <v>4.8483259768045555</v>
      </c>
      <c r="H19" s="20">
        <f t="shared" si="5"/>
        <v>200.26987765878471</v>
      </c>
      <c r="S19">
        <v>18</v>
      </c>
      <c r="T19">
        <v>19</v>
      </c>
      <c r="U19">
        <v>3</v>
      </c>
      <c r="V19" s="19">
        <f t="shared" si="1"/>
        <v>19</v>
      </c>
      <c r="W19" s="13">
        <f t="shared" si="2"/>
        <v>2.7832487881118766</v>
      </c>
      <c r="X19" s="19">
        <f t="shared" si="6"/>
        <v>6.8265546655961638</v>
      </c>
      <c r="Y19" s="20">
        <f t="shared" si="7"/>
        <v>148.19277130971855</v>
      </c>
      <c r="AA19" s="12"/>
    </row>
    <row r="20" spans="1:27">
      <c r="B20">
        <v>19</v>
      </c>
      <c r="C20">
        <v>0</v>
      </c>
      <c r="D20">
        <v>1</v>
      </c>
      <c r="E20" s="19">
        <f t="shared" si="0"/>
        <v>4.0071041341189391</v>
      </c>
      <c r="F20" s="13">
        <f t="shared" si="3"/>
        <v>1.8774871826171875</v>
      </c>
      <c r="G20" s="19">
        <f t="shared" si="4"/>
        <v>2.1342910733127347</v>
      </c>
      <c r="H20" s="20">
        <f t="shared" si="5"/>
        <v>4.5551983856224254</v>
      </c>
      <c r="S20">
        <v>19</v>
      </c>
      <c r="T20">
        <v>0</v>
      </c>
      <c r="U20">
        <v>1</v>
      </c>
      <c r="V20" s="19">
        <f t="shared" si="1"/>
        <v>0</v>
      </c>
      <c r="W20" s="13">
        <f t="shared" si="2"/>
        <v>2.4622640062517394</v>
      </c>
      <c r="X20" s="19">
        <f t="shared" si="6"/>
        <v>0</v>
      </c>
      <c r="Y20" s="20">
        <f t="shared" si="7"/>
        <v>0</v>
      </c>
      <c r="AA20" s="12"/>
    </row>
    <row r="21" spans="1:27">
      <c r="B21">
        <v>20</v>
      </c>
      <c r="C21">
        <v>0</v>
      </c>
      <c r="D21">
        <v>2</v>
      </c>
      <c r="E21" s="19">
        <f t="shared" si="0"/>
        <v>1.2021312402356819</v>
      </c>
      <c r="F21" s="13">
        <f t="shared" si="3"/>
        <v>1.9387435913085938</v>
      </c>
      <c r="G21" s="19">
        <f t="shared" si="4"/>
        <v>0.6200568479632107</v>
      </c>
      <c r="H21" s="20">
        <f t="shared" si="5"/>
        <v>0.3844704947060722</v>
      </c>
      <c r="S21">
        <v>20</v>
      </c>
      <c r="T21">
        <v>0</v>
      </c>
      <c r="U21">
        <v>2</v>
      </c>
      <c r="V21" s="19">
        <f t="shared" si="1"/>
        <v>0</v>
      </c>
      <c r="W21" s="13">
        <f t="shared" si="2"/>
        <v>2.3790564851264264</v>
      </c>
      <c r="X21" s="19">
        <f t="shared" si="6"/>
        <v>0</v>
      </c>
      <c r="Y21" s="20">
        <f t="shared" si="7"/>
        <v>0</v>
      </c>
      <c r="AA21" s="12"/>
    </row>
    <row r="22" spans="1:27">
      <c r="B22">
        <v>21</v>
      </c>
      <c r="C22">
        <v>0</v>
      </c>
      <c r="D22">
        <v>3</v>
      </c>
      <c r="E22" s="19">
        <f t="shared" si="0"/>
        <v>0.36063937207070462</v>
      </c>
      <c r="F22" s="13">
        <f t="shared" si="3"/>
        <v>2.4693717956542969</v>
      </c>
      <c r="G22" s="19">
        <f t="shared" si="4"/>
        <v>0.14604498711185282</v>
      </c>
      <c r="H22" s="20">
        <f t="shared" si="5"/>
        <v>2.1329138260501257E-2</v>
      </c>
      <c r="S22">
        <v>21</v>
      </c>
      <c r="T22">
        <v>0</v>
      </c>
      <c r="U22">
        <v>3</v>
      </c>
      <c r="V22" s="19">
        <f t="shared" si="1"/>
        <v>0</v>
      </c>
      <c r="W22" s="13">
        <f t="shared" si="2"/>
        <v>2.4908263178036698</v>
      </c>
      <c r="X22" s="19">
        <f t="shared" si="6"/>
        <v>0</v>
      </c>
      <c r="Y22" s="20">
        <f t="shared" si="7"/>
        <v>0</v>
      </c>
      <c r="AA22" s="12"/>
    </row>
    <row r="23" spans="1:27">
      <c r="B23">
        <v>22</v>
      </c>
      <c r="C23">
        <v>5</v>
      </c>
      <c r="D23">
        <v>4</v>
      </c>
      <c r="E23" s="19">
        <f t="shared" si="0"/>
        <v>3.6081918116212113</v>
      </c>
      <c r="F23" s="13">
        <f t="shared" si="3"/>
        <v>3.2346858978271484</v>
      </c>
      <c r="G23" s="19">
        <f t="shared" si="4"/>
        <v>1.1154689900632886</v>
      </c>
      <c r="H23" s="20">
        <f t="shared" si="5"/>
        <v>15.089581167159928</v>
      </c>
      <c r="S23">
        <v>22</v>
      </c>
      <c r="T23">
        <v>5</v>
      </c>
      <c r="U23">
        <v>4</v>
      </c>
      <c r="V23" s="19">
        <f t="shared" si="1"/>
        <v>5</v>
      </c>
      <c r="W23" s="13">
        <f t="shared" si="2"/>
        <v>2.7624775805990094</v>
      </c>
      <c r="X23" s="19">
        <f t="shared" si="6"/>
        <v>1.8099694401558948</v>
      </c>
      <c r="Y23" s="20">
        <f t="shared" si="7"/>
        <v>10.176294972739298</v>
      </c>
      <c r="AA23" s="12"/>
    </row>
    <row r="24" spans="1:27">
      <c r="B24">
        <v>23</v>
      </c>
      <c r="C24">
        <v>4</v>
      </c>
      <c r="D24">
        <v>1</v>
      </c>
      <c r="E24" s="19">
        <f t="shared" si="0"/>
        <v>3.8824575434863631</v>
      </c>
      <c r="F24" s="13">
        <f t="shared" si="3"/>
        <v>2.1173429489135742</v>
      </c>
      <c r="G24" s="19">
        <f t="shared" si="4"/>
        <v>1.833646054116308</v>
      </c>
      <c r="H24" s="20">
        <f t="shared" si="5"/>
        <v>4.693089418845843</v>
      </c>
      <c r="S24">
        <v>23</v>
      </c>
      <c r="T24">
        <v>4</v>
      </c>
      <c r="U24">
        <v>1</v>
      </c>
      <c r="V24" s="19">
        <f t="shared" si="1"/>
        <v>4</v>
      </c>
      <c r="W24" s="13">
        <f t="shared" si="2"/>
        <v>2.445231616091188</v>
      </c>
      <c r="X24" s="19">
        <f t="shared" si="6"/>
        <v>1.6358368563850727</v>
      </c>
      <c r="Y24" s="20">
        <f t="shared" si="7"/>
        <v>5.5892673696272164</v>
      </c>
      <c r="AA24" s="12"/>
    </row>
    <row r="25" spans="1:27">
      <c r="B25">
        <v>24</v>
      </c>
      <c r="C25">
        <v>5</v>
      </c>
      <c r="D25">
        <v>1</v>
      </c>
      <c r="E25" s="19">
        <f t="shared" si="0"/>
        <v>4.6647372630459092</v>
      </c>
      <c r="F25" s="13">
        <f t="shared" si="3"/>
        <v>1.5586714744567871</v>
      </c>
      <c r="G25" s="19">
        <f t="shared" si="4"/>
        <v>2.9927648895169634</v>
      </c>
      <c r="H25" s="20">
        <f t="shared" si="5"/>
        <v>4.0289927887558479</v>
      </c>
      <c r="S25">
        <v>24</v>
      </c>
      <c r="T25">
        <v>5</v>
      </c>
      <c r="U25">
        <v>1</v>
      </c>
      <c r="V25" s="19">
        <f t="shared" si="1"/>
        <v>5</v>
      </c>
      <c r="W25" s="13">
        <f t="shared" si="2"/>
        <v>2.1850899251947746</v>
      </c>
      <c r="X25" s="19">
        <f t="shared" si="6"/>
        <v>2.2882353455335758</v>
      </c>
      <c r="Y25" s="20">
        <f t="shared" si="7"/>
        <v>7.3536675412134054</v>
      </c>
      <c r="AA25" s="12"/>
    </row>
    <row r="26" spans="1:27">
      <c r="B26" s="47" t="s">
        <v>169</v>
      </c>
      <c r="C26" s="46">
        <f>$C$32*C25+(1-$C$32)*G25</f>
        <v>4.3978294668550895</v>
      </c>
      <c r="D26">
        <v>1</v>
      </c>
      <c r="E26" s="19">
        <f t="shared" si="0"/>
        <v>4.4779018057123352</v>
      </c>
      <c r="F26" s="13">
        <f t="shared" si="3"/>
        <v>1.2793357372283936</v>
      </c>
      <c r="G26" s="17">
        <f t="shared" si="4"/>
        <v>3.5001772211987521</v>
      </c>
      <c r="I26" s="20"/>
      <c r="S26" s="11" t="s">
        <v>95</v>
      </c>
      <c r="T26">
        <f>T25*U31+(1-U31)*X25</f>
        <v>5</v>
      </c>
      <c r="U26">
        <v>1</v>
      </c>
      <c r="V26" s="19">
        <f>T26*U31+(1-U31)*V25</f>
        <v>5</v>
      </c>
      <c r="W26" s="13">
        <f t="shared" si="2"/>
        <v>1.9717737386597152</v>
      </c>
      <c r="X26" s="17">
        <f t="shared" si="6"/>
        <v>2.5357879060701345</v>
      </c>
      <c r="Y26" s="20"/>
    </row>
    <row r="27" spans="1:27">
      <c r="H27" s="23">
        <f>SQRT(AVERAGE(H3:H25))</f>
        <v>5.1026808437881828</v>
      </c>
    </row>
    <row r="28" spans="1:27">
      <c r="S28" t="s">
        <v>84</v>
      </c>
      <c r="U28" s="17">
        <f>AVERAGE(T2:T25)</f>
        <v>3.9166666666666665</v>
      </c>
      <c r="V28" s="11" t="s">
        <v>109</v>
      </c>
      <c r="W28" s="20">
        <f>SQRT(AVERAGE(Y3:Y25))</f>
        <v>3.5530442122246497</v>
      </c>
    </row>
    <row r="29" spans="1:27">
      <c r="A29" t="s">
        <v>84</v>
      </c>
      <c r="C29" s="17">
        <f>AVERAGE(C2:C25)</f>
        <v>3.9166666666666665</v>
      </c>
      <c r="E29" s="11"/>
      <c r="G29" s="11" t="s">
        <v>109</v>
      </c>
      <c r="S29" t="s">
        <v>85</v>
      </c>
      <c r="U29" s="17">
        <f>STDEV(T2:T25)</f>
        <v>6.7817957520990264</v>
      </c>
      <c r="W29" s="11"/>
    </row>
    <row r="30" spans="1:27">
      <c r="A30" t="s">
        <v>85</v>
      </c>
      <c r="C30" s="17">
        <f>STDEV(C2:C25)</f>
        <v>6.7817957520990264</v>
      </c>
      <c r="E30" s="11"/>
      <c r="S30" t="s">
        <v>86</v>
      </c>
      <c r="U30" s="17">
        <f>U29/U28</f>
        <v>1.7315223196848579</v>
      </c>
      <c r="W30" s="11"/>
    </row>
    <row r="31" spans="1:27">
      <c r="A31" t="s">
        <v>86</v>
      </c>
      <c r="C31" s="17">
        <f>C30/C29</f>
        <v>1.7315223196848579</v>
      </c>
      <c r="S31" s="7" t="s">
        <v>91</v>
      </c>
      <c r="T31" s="7"/>
      <c r="U31" s="21">
        <v>1</v>
      </c>
    </row>
    <row r="32" spans="1:27">
      <c r="A32" s="7" t="s">
        <v>91</v>
      </c>
      <c r="B32" s="7"/>
      <c r="C32" s="21">
        <v>0.7</v>
      </c>
      <c r="S32" s="7" t="s">
        <v>92</v>
      </c>
      <c r="T32" s="7"/>
      <c r="U32" s="21">
        <v>0.18</v>
      </c>
    </row>
    <row r="33" spans="1:21">
      <c r="A33" s="7" t="s">
        <v>92</v>
      </c>
      <c r="B33" s="7"/>
      <c r="C33" s="21">
        <v>0.5</v>
      </c>
    </row>
    <row r="40" spans="1:21">
      <c r="B40" t="s">
        <v>96</v>
      </c>
      <c r="C40" t="s">
        <v>163</v>
      </c>
      <c r="D40" t="s">
        <v>90</v>
      </c>
      <c r="E40" t="s">
        <v>88</v>
      </c>
      <c r="F40" t="s">
        <v>89</v>
      </c>
      <c r="G40" s="11" t="s">
        <v>93</v>
      </c>
      <c r="H40" s="11" t="s">
        <v>94</v>
      </c>
    </row>
    <row r="41" spans="1:21">
      <c r="B41">
        <v>1</v>
      </c>
      <c r="C41">
        <v>0</v>
      </c>
      <c r="D41">
        <v>1</v>
      </c>
      <c r="E41" s="13">
        <v>0</v>
      </c>
      <c r="F41" s="25">
        <v>0</v>
      </c>
      <c r="R41" s="4"/>
      <c r="S41" s="4"/>
      <c r="T41" s="4"/>
      <c r="U41" s="4"/>
    </row>
    <row r="42" spans="1:21">
      <c r="B42" s="11">
        <v>2</v>
      </c>
      <c r="C42" s="11">
        <v>5</v>
      </c>
      <c r="D42" s="11">
        <v>2</v>
      </c>
      <c r="E42" s="6">
        <f t="shared" ref="E42:E48" si="8">$C$55*C42+(1-$C$55)*E41</f>
        <v>3.5</v>
      </c>
      <c r="F42" s="18">
        <f t="shared" ref="F42:F48" si="9">$C$56*D42+(1-$C$56)*F41</f>
        <v>1</v>
      </c>
      <c r="G42" s="6">
        <f>E42/F42</f>
        <v>3.5</v>
      </c>
      <c r="H42" s="22">
        <f>(G42-C42)^2</f>
        <v>2.25</v>
      </c>
      <c r="R42" s="4"/>
      <c r="S42" s="4"/>
      <c r="T42" s="4"/>
      <c r="U42" s="4"/>
    </row>
    <row r="43" spans="1:21">
      <c r="B43">
        <v>3</v>
      </c>
      <c r="C43">
        <v>0</v>
      </c>
      <c r="D43">
        <v>1</v>
      </c>
      <c r="E43" s="13">
        <f t="shared" si="8"/>
        <v>1.0500000000000003</v>
      </c>
      <c r="F43" s="25">
        <f t="shared" si="9"/>
        <v>1</v>
      </c>
      <c r="G43" s="13">
        <f t="shared" ref="G43:G48" si="10">E43/F43</f>
        <v>1.0500000000000003</v>
      </c>
      <c r="H43" s="22">
        <f t="shared" ref="H43:H48" si="11">(G43-C43)^2</f>
        <v>1.1025000000000005</v>
      </c>
      <c r="R43" s="4"/>
      <c r="S43" s="4"/>
      <c r="T43" s="4"/>
      <c r="U43" s="4"/>
    </row>
    <row r="44" spans="1:21">
      <c r="B44">
        <v>4</v>
      </c>
      <c r="C44">
        <v>0</v>
      </c>
      <c r="D44">
        <v>2</v>
      </c>
      <c r="E44" s="13">
        <f t="shared" si="8"/>
        <v>0.31500000000000011</v>
      </c>
      <c r="F44" s="25">
        <f t="shared" si="9"/>
        <v>1.5</v>
      </c>
      <c r="G44" s="13">
        <f t="shared" si="10"/>
        <v>0.21000000000000008</v>
      </c>
      <c r="H44" s="22">
        <f t="shared" si="11"/>
        <v>4.4100000000000035E-2</v>
      </c>
      <c r="R44" s="4"/>
      <c r="S44" s="4"/>
      <c r="T44" s="4"/>
      <c r="U44" s="4"/>
    </row>
    <row r="45" spans="1:21">
      <c r="B45" s="11">
        <v>5</v>
      </c>
      <c r="C45" s="11">
        <v>8</v>
      </c>
      <c r="D45" s="11">
        <v>3</v>
      </c>
      <c r="E45" s="6">
        <f t="shared" si="8"/>
        <v>5.6944999999999997</v>
      </c>
      <c r="F45" s="18">
        <f t="shared" si="9"/>
        <v>2.25</v>
      </c>
      <c r="G45" s="6">
        <f t="shared" si="10"/>
        <v>2.5308888888888887</v>
      </c>
      <c r="H45" s="22">
        <f t="shared" si="11"/>
        <v>29.911176345679014</v>
      </c>
      <c r="R45" s="4"/>
      <c r="S45" s="4"/>
      <c r="T45" s="4"/>
      <c r="U45" s="4"/>
    </row>
    <row r="46" spans="1:21">
      <c r="B46">
        <v>6</v>
      </c>
      <c r="C46">
        <v>0</v>
      </c>
      <c r="D46">
        <v>1</v>
      </c>
      <c r="E46" s="13">
        <f t="shared" si="8"/>
        <v>1.7083500000000003</v>
      </c>
      <c r="F46" s="25">
        <f t="shared" si="9"/>
        <v>1.625</v>
      </c>
      <c r="G46" s="13">
        <f t="shared" si="10"/>
        <v>1.0512923076923077</v>
      </c>
      <c r="H46" s="22">
        <f t="shared" si="11"/>
        <v>1.1052155162130179</v>
      </c>
      <c r="R46" s="4"/>
      <c r="S46" s="4"/>
      <c r="T46" s="4"/>
      <c r="U46" s="4"/>
    </row>
    <row r="47" spans="1:21">
      <c r="B47">
        <v>7</v>
      </c>
      <c r="C47">
        <v>0</v>
      </c>
      <c r="D47">
        <v>2</v>
      </c>
      <c r="E47" s="13">
        <f t="shared" si="8"/>
        <v>0.5125050000000001</v>
      </c>
      <c r="F47" s="25">
        <f t="shared" si="9"/>
        <v>1.8125</v>
      </c>
      <c r="G47" s="13">
        <f t="shared" si="10"/>
        <v>0.2827613793103449</v>
      </c>
      <c r="H47" s="22">
        <f t="shared" si="11"/>
        <v>7.9953997629488738E-2</v>
      </c>
      <c r="R47" s="4"/>
      <c r="S47" s="4"/>
      <c r="T47" s="4"/>
      <c r="U47" s="4"/>
    </row>
    <row r="48" spans="1:21">
      <c r="B48" s="11">
        <v>8</v>
      </c>
      <c r="C48" s="11">
        <v>4</v>
      </c>
      <c r="D48" s="11">
        <v>3</v>
      </c>
      <c r="E48" s="6">
        <f t="shared" si="8"/>
        <v>2.9537515000000001</v>
      </c>
      <c r="F48" s="18">
        <f t="shared" si="9"/>
        <v>2.40625</v>
      </c>
      <c r="G48" s="6">
        <f t="shared" si="10"/>
        <v>1.2275330909090909</v>
      </c>
      <c r="H48" s="22">
        <f t="shared" si="11"/>
        <v>7.686572762004098</v>
      </c>
      <c r="R48" s="4"/>
      <c r="S48" s="4"/>
      <c r="T48" s="4"/>
      <c r="U48" s="4"/>
    </row>
    <row r="49" spans="1:21">
      <c r="B49" s="11" t="s">
        <v>97</v>
      </c>
      <c r="C49" s="13">
        <f>C55*C48+(1-C55)*G48</f>
        <v>3.168259927272727</v>
      </c>
      <c r="D49">
        <v>1</v>
      </c>
      <c r="E49" s="13">
        <f>C55*C49+(1-C55)*E48</f>
        <v>3.1039073990909087</v>
      </c>
      <c r="F49" s="34">
        <f>$C$56*D49+(1-$C$56)*F48</f>
        <v>1.703125</v>
      </c>
      <c r="G49" s="6">
        <f t="shared" ref="G49" si="12">E49/F49</f>
        <v>1.8224777389157629</v>
      </c>
      <c r="R49" s="4"/>
      <c r="S49" s="4"/>
      <c r="T49" s="4"/>
      <c r="U49" s="4"/>
    </row>
    <row r="50" spans="1:21">
      <c r="R50" s="4"/>
      <c r="S50" s="4"/>
      <c r="T50" s="4"/>
      <c r="U50" s="4"/>
    </row>
    <row r="51" spans="1:21">
      <c r="R51" s="4"/>
      <c r="S51" s="4"/>
      <c r="T51" s="4"/>
      <c r="U51" s="4"/>
    </row>
    <row r="52" spans="1:21">
      <c r="A52" t="s">
        <v>84</v>
      </c>
      <c r="C52" s="19">
        <f>AVERAGE(C41:C48)</f>
        <v>2.125</v>
      </c>
      <c r="G52" s="11" t="s">
        <v>109</v>
      </c>
      <c r="H52" s="24">
        <f>SQRT(AVERAGE(H42:H48))</f>
        <v>2.454719030227452</v>
      </c>
      <c r="R52" s="4"/>
      <c r="S52" s="4"/>
      <c r="T52" s="4"/>
      <c r="U52" s="4"/>
    </row>
    <row r="53" spans="1:21">
      <c r="A53" t="s">
        <v>85</v>
      </c>
      <c r="C53" s="19">
        <f>STDEV(C41:C48)</f>
        <v>3.1367635732209265</v>
      </c>
      <c r="R53" s="4"/>
      <c r="S53" s="4"/>
      <c r="T53" s="4"/>
      <c r="U53" s="4"/>
    </row>
    <row r="54" spans="1:21">
      <c r="A54" t="s">
        <v>86</v>
      </c>
      <c r="C54" s="19">
        <f>C53/C52</f>
        <v>1.4761240344569067</v>
      </c>
      <c r="R54" s="4"/>
      <c r="S54" s="4"/>
      <c r="T54" s="4"/>
      <c r="U54" s="4"/>
    </row>
    <row r="55" spans="1:21">
      <c r="A55" s="7" t="s">
        <v>91</v>
      </c>
      <c r="C55">
        <v>0.7</v>
      </c>
      <c r="R55" s="4"/>
      <c r="S55" s="4"/>
      <c r="T55" s="4"/>
      <c r="U55" s="4"/>
    </row>
    <row r="56" spans="1:21">
      <c r="A56" s="7" t="s">
        <v>92</v>
      </c>
      <c r="C56">
        <v>0.5</v>
      </c>
      <c r="R56" s="4"/>
      <c r="S56" s="4"/>
      <c r="T56" s="4"/>
      <c r="U56" s="4"/>
    </row>
    <row r="57" spans="1:21">
      <c r="R57" s="4"/>
      <c r="S57" s="4"/>
      <c r="T57" s="4"/>
      <c r="U57" s="4"/>
    </row>
    <row r="58" spans="1:21">
      <c r="R58" s="4"/>
      <c r="S58" s="4"/>
      <c r="T58" s="4"/>
      <c r="U58" s="4"/>
    </row>
    <row r="59" spans="1:21">
      <c r="R59" s="4"/>
      <c r="S59" s="4"/>
      <c r="T59" s="4"/>
      <c r="U59" s="4"/>
    </row>
    <row r="60" spans="1:21">
      <c r="R60" s="4"/>
      <c r="S60" s="4"/>
      <c r="T60" s="4"/>
      <c r="U60" s="4"/>
    </row>
    <row r="61" spans="1:21">
      <c r="R61" s="4"/>
      <c r="S61" s="4"/>
      <c r="T61" s="4"/>
      <c r="U61" s="4"/>
    </row>
    <row r="62" spans="1:21">
      <c r="P62" s="11"/>
      <c r="Q62" s="11"/>
      <c r="U62" s="27"/>
    </row>
    <row r="63" spans="1:21">
      <c r="Q63" s="18"/>
      <c r="T63" s="11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67F2-F126-4CE8-8650-EE913E9BD700}">
  <dimension ref="A3:I32"/>
  <sheetViews>
    <sheetView topLeftCell="A16" workbookViewId="0">
      <selection activeCell="G9" sqref="G9"/>
    </sheetView>
  </sheetViews>
  <sheetFormatPr defaultColWidth="8.796875" defaultRowHeight="16.149999999999999"/>
  <cols>
    <col min="1" max="1" width="10" customWidth="1"/>
    <col min="2" max="2" width="13.1328125" customWidth="1"/>
    <col min="3" max="3" width="3.46484375" customWidth="1"/>
    <col min="4" max="4" width="10.1328125" bestFit="1" customWidth="1"/>
    <col min="5" max="5" width="12.33203125" bestFit="1" customWidth="1"/>
    <col min="6" max="6" width="2.46484375" customWidth="1"/>
    <col min="7" max="7" width="11.46484375" bestFit="1" customWidth="1"/>
    <col min="8" max="8" width="12.1328125" customWidth="1"/>
    <col min="9" max="9" width="13.1328125" bestFit="1" customWidth="1"/>
  </cols>
  <sheetData>
    <row r="3" spans="4:9">
      <c r="D3" s="3" t="s">
        <v>34</v>
      </c>
      <c r="E3" s="3" t="s">
        <v>35</v>
      </c>
      <c r="G3" s="3" t="s">
        <v>36</v>
      </c>
      <c r="H3" s="3" t="s">
        <v>37</v>
      </c>
      <c r="I3" s="3" t="s">
        <v>38</v>
      </c>
    </row>
    <row r="4" spans="4:9">
      <c r="D4" s="1">
        <v>1</v>
      </c>
      <c r="E4" s="1">
        <v>700</v>
      </c>
      <c r="G4" s="1">
        <v>1</v>
      </c>
      <c r="H4" s="1">
        <v>38</v>
      </c>
      <c r="I4" s="4">
        <f>H4/30</f>
        <v>1.2666666666666666</v>
      </c>
    </row>
    <row r="5" spans="4:9">
      <c r="D5" s="1">
        <v>2</v>
      </c>
      <c r="E5" s="1">
        <v>1100</v>
      </c>
      <c r="G5" s="1">
        <v>2</v>
      </c>
      <c r="H5" s="1">
        <v>37</v>
      </c>
      <c r="I5" s="4">
        <f t="shared" ref="I5:I13" si="0">H5/30</f>
        <v>1.2333333333333334</v>
      </c>
    </row>
    <row r="6" spans="4:9">
      <c r="D6" s="1">
        <v>3</v>
      </c>
      <c r="E6" s="1">
        <v>950</v>
      </c>
      <c r="G6" s="1">
        <v>3</v>
      </c>
      <c r="H6" s="1">
        <v>37</v>
      </c>
      <c r="I6" s="4">
        <f t="shared" si="0"/>
        <v>1.2333333333333334</v>
      </c>
    </row>
    <row r="7" spans="4:9">
      <c r="D7" s="1">
        <v>4</v>
      </c>
      <c r="E7" s="1">
        <v>1050</v>
      </c>
      <c r="G7" s="1">
        <v>4</v>
      </c>
      <c r="H7" s="1">
        <v>42</v>
      </c>
      <c r="I7" s="4">
        <f t="shared" si="0"/>
        <v>1.4</v>
      </c>
    </row>
    <row r="8" spans="4:9">
      <c r="D8" s="1">
        <v>5</v>
      </c>
      <c r="E8" s="1">
        <v>850</v>
      </c>
      <c r="G8" s="1">
        <v>5</v>
      </c>
      <c r="H8" s="1">
        <v>35</v>
      </c>
      <c r="I8" s="4">
        <f t="shared" si="0"/>
        <v>1.1666666666666667</v>
      </c>
    </row>
    <row r="9" spans="4:9">
      <c r="D9" s="1">
        <v>6</v>
      </c>
      <c r="E9" s="1">
        <v>1300</v>
      </c>
      <c r="G9" s="1">
        <v>6</v>
      </c>
      <c r="H9" s="1">
        <v>28</v>
      </c>
      <c r="I9" s="4">
        <f t="shared" si="0"/>
        <v>0.93333333333333335</v>
      </c>
    </row>
    <row r="10" spans="4:9">
      <c r="D10" s="1">
        <v>7</v>
      </c>
      <c r="E10" s="1">
        <v>1200</v>
      </c>
      <c r="G10" s="1">
        <v>7</v>
      </c>
      <c r="H10" s="1">
        <v>36</v>
      </c>
      <c r="I10" s="4">
        <f t="shared" si="0"/>
        <v>1.2</v>
      </c>
    </row>
    <row r="11" spans="4:9">
      <c r="D11" s="1">
        <v>8</v>
      </c>
      <c r="E11" s="1">
        <v>1100</v>
      </c>
      <c r="G11" s="1">
        <v>8</v>
      </c>
      <c r="H11" s="1">
        <v>38</v>
      </c>
      <c r="I11" s="4">
        <f t="shared" si="0"/>
        <v>1.2666666666666666</v>
      </c>
    </row>
    <row r="12" spans="4:9">
      <c r="D12" s="1">
        <v>9</v>
      </c>
      <c r="E12" s="1">
        <v>1000</v>
      </c>
      <c r="G12" s="1">
        <v>9</v>
      </c>
      <c r="H12" s="1">
        <v>36</v>
      </c>
      <c r="I12" s="4">
        <f t="shared" si="0"/>
        <v>1.2</v>
      </c>
    </row>
    <row r="13" spans="4:9">
      <c r="D13" s="1">
        <v>10</v>
      </c>
      <c r="E13" s="1">
        <v>1000</v>
      </c>
      <c r="G13" s="1">
        <v>10</v>
      </c>
      <c r="H13" s="1">
        <v>27</v>
      </c>
      <c r="I13" s="4">
        <f t="shared" si="0"/>
        <v>0.9</v>
      </c>
    </row>
    <row r="14" spans="4:9">
      <c r="D14" s="1">
        <v>11</v>
      </c>
      <c r="E14" s="1">
        <v>780</v>
      </c>
    </row>
    <row r="15" spans="4:9">
      <c r="D15" s="1">
        <v>12</v>
      </c>
      <c r="E15" s="1">
        <v>1230</v>
      </c>
    </row>
    <row r="16" spans="4:9">
      <c r="D16" t="s">
        <v>39</v>
      </c>
      <c r="E16" s="5">
        <f>SUM(E4:E15)</f>
        <v>12260</v>
      </c>
      <c r="G16" t="s">
        <v>40</v>
      </c>
      <c r="I16" s="6">
        <f>AVERAGE(I4:I13)</f>
        <v>1.18</v>
      </c>
    </row>
    <row r="17" spans="1:9">
      <c r="D17" t="s">
        <v>40</v>
      </c>
      <c r="E17" s="5">
        <f>AVERAGE(E4:E15)</f>
        <v>1021.6666666666666</v>
      </c>
      <c r="G17" t="s">
        <v>41</v>
      </c>
      <c r="H17" s="5"/>
      <c r="I17" s="6">
        <f>STDEVP(I4:I13)</f>
        <v>0.14468356276140473</v>
      </c>
    </row>
    <row r="18" spans="1:9">
      <c r="D18" t="s">
        <v>41</v>
      </c>
      <c r="E18" s="5">
        <f>STDEVP(E4:E15)</f>
        <v>173.96519447547229</v>
      </c>
      <c r="G18" t="s">
        <v>42</v>
      </c>
      <c r="I18" s="6">
        <f>MAX(I4:I13)</f>
        <v>1.4</v>
      </c>
    </row>
    <row r="19" spans="1:9">
      <c r="D19" t="s">
        <v>43</v>
      </c>
      <c r="E19" s="5">
        <f>E16/365</f>
        <v>33.589041095890408</v>
      </c>
      <c r="G19" t="s">
        <v>43</v>
      </c>
      <c r="H19" s="5">
        <f>AVERAGE(H4:H13)</f>
        <v>35.4</v>
      </c>
      <c r="I19" s="6"/>
    </row>
    <row r="20" spans="1:9">
      <c r="D20" t="s">
        <v>44</v>
      </c>
      <c r="E20" s="5">
        <f>MAX(E4:E15)/30</f>
        <v>43.333333333333336</v>
      </c>
      <c r="G20" t="s">
        <v>44</v>
      </c>
      <c r="H20" s="5">
        <f>MAX(H4:H13)</f>
        <v>42</v>
      </c>
    </row>
    <row r="21" spans="1:9">
      <c r="E21" s="5"/>
      <c r="H21" s="5"/>
    </row>
    <row r="22" spans="1:9">
      <c r="B22" t="s">
        <v>47</v>
      </c>
      <c r="E22" s="5"/>
      <c r="H22" s="5"/>
    </row>
    <row r="23" spans="1:9">
      <c r="A23" s="7" t="s">
        <v>45</v>
      </c>
      <c r="B23" s="8">
        <f>E19*30</f>
        <v>1007.6712328767122</v>
      </c>
      <c r="E23" s="5"/>
      <c r="H23" s="5"/>
    </row>
    <row r="24" spans="1:9">
      <c r="A24" s="9" t="s">
        <v>46</v>
      </c>
      <c r="B24" s="10">
        <f>E17*I16+B23</f>
        <v>2213.2378995433787</v>
      </c>
      <c r="E24" s="5"/>
      <c r="H24" s="5"/>
    </row>
    <row r="26" spans="1:9">
      <c r="B26" t="s">
        <v>48</v>
      </c>
      <c r="D26" t="s">
        <v>49</v>
      </c>
      <c r="E26" s="11"/>
      <c r="G26" t="s">
        <v>50</v>
      </c>
    </row>
    <row r="27" spans="1:9">
      <c r="A27" s="7" t="s">
        <v>45</v>
      </c>
      <c r="B27" s="8">
        <f>E20*H20-E19*H19</f>
        <v>630.94794520547953</v>
      </c>
      <c r="D27" s="7" t="s">
        <v>45</v>
      </c>
      <c r="E27" s="8">
        <f>_xlfn.NORM.S.INV(0.9)*E18*SQRT(I16)</f>
        <v>242.18065868391835</v>
      </c>
      <c r="G27" s="7" t="s">
        <v>45</v>
      </c>
      <c r="H27" s="8">
        <f>_xlfn.NORM.S.INV(0.9)*SQRT(I16*E18^2+E17^2*I17^2)</f>
        <v>307.46999574891765</v>
      </c>
    </row>
    <row r="28" spans="1:9">
      <c r="A28" s="9" t="s">
        <v>46</v>
      </c>
      <c r="B28" s="10">
        <f>E19*H19+B27</f>
        <v>1820</v>
      </c>
      <c r="D28" s="9" t="s">
        <v>46</v>
      </c>
      <c r="E28" s="10">
        <f>E17*I16+E27</f>
        <v>1447.747325350585</v>
      </c>
      <c r="G28" s="9" t="s">
        <v>46</v>
      </c>
      <c r="H28" s="10">
        <f>E17*I16+H27</f>
        <v>1513.0366624155843</v>
      </c>
    </row>
    <row r="29" spans="1:9">
      <c r="B29" s="12"/>
    </row>
    <row r="30" spans="1:9">
      <c r="B30" s="12"/>
    </row>
    <row r="32" spans="1:9">
      <c r="B32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8F48-50D9-4C68-8A9E-CFE22126EBDC}">
  <dimension ref="A1:H44"/>
  <sheetViews>
    <sheetView zoomScaleNormal="100" workbookViewId="0">
      <selection activeCell="E6" sqref="E6"/>
    </sheetView>
  </sheetViews>
  <sheetFormatPr defaultColWidth="8.796875" defaultRowHeight="16.149999999999999"/>
  <cols>
    <col min="4" max="4" width="14.6640625" customWidth="1"/>
    <col min="6" max="6" width="10.1328125" customWidth="1"/>
    <col min="7" max="7" width="13.33203125" customWidth="1"/>
    <col min="8" max="8" width="19.33203125" customWidth="1"/>
  </cols>
  <sheetData>
    <row r="1" spans="1:8">
      <c r="A1" s="9" t="s">
        <v>164</v>
      </c>
    </row>
    <row r="2" spans="1:8" ht="19.149999999999999">
      <c r="C2" t="s">
        <v>96</v>
      </c>
      <c r="D2" t="s">
        <v>151</v>
      </c>
      <c r="E2" t="s">
        <v>167</v>
      </c>
      <c r="F2" t="s">
        <v>98</v>
      </c>
      <c r="G2" s="11" t="s">
        <v>94</v>
      </c>
      <c r="H2" s="38" t="s">
        <v>149</v>
      </c>
    </row>
    <row r="3" spans="1:8" ht="19.149999999999999">
      <c r="C3">
        <v>0</v>
      </c>
      <c r="D3">
        <v>0</v>
      </c>
      <c r="G3" s="11"/>
      <c r="H3" s="38"/>
    </row>
    <row r="4" spans="1:8">
      <c r="C4">
        <v>1</v>
      </c>
      <c r="D4">
        <v>420</v>
      </c>
      <c r="E4" s="12">
        <f>F3</f>
        <v>0</v>
      </c>
      <c r="F4" s="12">
        <f>($C$18+$C$19*E4/$C$20)*($C$20-E4)</f>
        <v>300</v>
      </c>
      <c r="G4" s="45">
        <f>(F4-D4)^2</f>
        <v>14400</v>
      </c>
      <c r="H4" s="31">
        <f>ABS((F4-D4)/D4)</f>
        <v>0.2857142857142857</v>
      </c>
    </row>
    <row r="5" spans="1:8">
      <c r="C5">
        <v>2</v>
      </c>
      <c r="D5">
        <v>490</v>
      </c>
      <c r="E5" s="12">
        <f>SUM(E4+F4)</f>
        <v>300</v>
      </c>
      <c r="F5" s="12">
        <f>($C$18+$C$19*E5/$C$20)*($C$20-E5)</f>
        <v>407.4</v>
      </c>
      <c r="G5" s="45">
        <f t="shared" ref="G5:G15" si="0">(F5-D5)^2</f>
        <v>6822.7600000000039</v>
      </c>
      <c r="H5" s="31">
        <f t="shared" ref="H5:H15" si="1">ABS((F5-D5)/D5)</f>
        <v>0.16857142857142862</v>
      </c>
    </row>
    <row r="6" spans="1:8">
      <c r="C6">
        <v>3</v>
      </c>
      <c r="D6">
        <v>510</v>
      </c>
      <c r="E6" s="12">
        <f>SUM(E5+F5)</f>
        <v>707.4</v>
      </c>
      <c r="F6" s="12">
        <f>($C$18+$C$19*E6/$C$20)*($C$20-E6)</f>
        <v>541.72140960000002</v>
      </c>
      <c r="G6" s="45">
        <f t="shared" si="0"/>
        <v>1006.2478270109731</v>
      </c>
      <c r="H6" s="31">
        <f t="shared" si="1"/>
        <v>6.2198842352941208E-2</v>
      </c>
    </row>
    <row r="7" spans="1:8">
      <c r="C7">
        <v>4</v>
      </c>
      <c r="D7">
        <v>530</v>
      </c>
      <c r="E7" s="12">
        <f>SUM(E6+F6)</f>
        <v>1249.1214095999999</v>
      </c>
      <c r="F7" s="12">
        <f>($C$18+$C$19*E7/$C$20)*($C$20-E7)</f>
        <v>699.76274971515636</v>
      </c>
      <c r="G7" s="45">
        <f t="shared" si="0"/>
        <v>28819.39119085082</v>
      </c>
      <c r="H7" s="31">
        <f t="shared" si="1"/>
        <v>0.32030707493425731</v>
      </c>
    </row>
    <row r="8" spans="1:8">
      <c r="C8">
        <v>5</v>
      </c>
      <c r="D8">
        <v>780</v>
      </c>
      <c r="E8" s="12">
        <f t="shared" ref="E8:E15" si="2">SUM(E7+F7)</f>
        <v>1948.8841593151562</v>
      </c>
      <c r="F8" s="12">
        <f t="shared" ref="F8:F16" si="3">($C$18+$C$19*E8/$C$20)*($C$20-E8)</f>
        <v>869.16116028942599</v>
      </c>
      <c r="G8" s="45">
        <f t="shared" si="0"/>
        <v>7949.7125041567142</v>
      </c>
      <c r="H8" s="31">
        <f t="shared" si="1"/>
        <v>0.11430917985823845</v>
      </c>
    </row>
    <row r="9" spans="1:8">
      <c r="C9">
        <v>6</v>
      </c>
      <c r="D9">
        <v>940</v>
      </c>
      <c r="E9" s="12">
        <f t="shared" si="2"/>
        <v>2818.0453196045823</v>
      </c>
      <c r="F9" s="12">
        <f t="shared" si="3"/>
        <v>1025.0215913198838</v>
      </c>
      <c r="G9" s="45">
        <f t="shared" si="0"/>
        <v>7228.670990565337</v>
      </c>
      <c r="H9" s="31">
        <f t="shared" si="1"/>
        <v>9.0448501404131687E-2</v>
      </c>
    </row>
    <row r="10" spans="1:8">
      <c r="C10">
        <v>7</v>
      </c>
      <c r="D10">
        <v>650</v>
      </c>
      <c r="E10" s="12">
        <f t="shared" si="2"/>
        <v>3843.0669109244664</v>
      </c>
      <c r="F10" s="12">
        <f t="shared" si="3"/>
        <v>1131.1682257683519</v>
      </c>
      <c r="G10" s="45">
        <f t="shared" si="0"/>
        <v>231522.86148906368</v>
      </c>
      <c r="H10" s="31">
        <f t="shared" si="1"/>
        <v>0.74025880887438755</v>
      </c>
    </row>
    <row r="11" spans="1:8">
      <c r="C11">
        <v>8</v>
      </c>
      <c r="D11">
        <v>620</v>
      </c>
      <c r="E11" s="12">
        <f t="shared" si="2"/>
        <v>4974.2351366928178</v>
      </c>
      <c r="F11" s="12">
        <f t="shared" si="3"/>
        <v>1150.7463927719659</v>
      </c>
      <c r="G11" s="45">
        <f t="shared" si="0"/>
        <v>281691.73344045394</v>
      </c>
      <c r="H11" s="31">
        <f t="shared" si="1"/>
        <v>0.85604256898704179</v>
      </c>
    </row>
    <row r="12" spans="1:8">
      <c r="C12">
        <v>9</v>
      </c>
      <c r="D12">
        <v>750</v>
      </c>
      <c r="E12" s="12">
        <f t="shared" si="2"/>
        <v>6124.9815294647833</v>
      </c>
      <c r="F12" s="12">
        <f t="shared" si="3"/>
        <v>1065.6272164505797</v>
      </c>
      <c r="G12" s="45">
        <f t="shared" si="0"/>
        <v>99620.539764341083</v>
      </c>
      <c r="H12" s="31">
        <f t="shared" si="1"/>
        <v>0.42083628860077293</v>
      </c>
    </row>
    <row r="13" spans="1:8">
      <c r="C13">
        <v>10</v>
      </c>
      <c r="D13">
        <v>980</v>
      </c>
      <c r="E13" s="12">
        <f t="shared" si="2"/>
        <v>7190.6087459153632</v>
      </c>
      <c r="F13" s="12">
        <f t="shared" si="3"/>
        <v>892.33107051530408</v>
      </c>
      <c r="G13" s="45">
        <f t="shared" si="0"/>
        <v>7685.8411969925864</v>
      </c>
      <c r="H13" s="31">
        <f t="shared" si="1"/>
        <v>8.9458091310914201E-2</v>
      </c>
    </row>
    <row r="14" spans="1:8">
      <c r="C14">
        <v>11</v>
      </c>
      <c r="D14">
        <v>670</v>
      </c>
      <c r="E14" s="12">
        <f t="shared" si="2"/>
        <v>8082.9398164306676</v>
      </c>
      <c r="F14" s="12">
        <f t="shared" si="3"/>
        <v>677.33108903773768</v>
      </c>
      <c r="G14" s="45">
        <f t="shared" si="0"/>
        <v>53.744866479237636</v>
      </c>
      <c r="H14" s="31">
        <f t="shared" si="1"/>
        <v>1.0941923936921916E-2</v>
      </c>
    </row>
    <row r="15" spans="1:8">
      <c r="C15">
        <v>12</v>
      </c>
      <c r="D15">
        <v>430</v>
      </c>
      <c r="E15" s="12">
        <f t="shared" si="2"/>
        <v>8760.2709054684055</v>
      </c>
      <c r="F15" s="12">
        <f t="shared" si="3"/>
        <v>471.60638153546046</v>
      </c>
      <c r="G15" s="45">
        <f t="shared" si="0"/>
        <v>1731.0909844743048</v>
      </c>
      <c r="H15" s="31">
        <f t="shared" si="1"/>
        <v>9.6759026826652231E-2</v>
      </c>
    </row>
    <row r="16" spans="1:8">
      <c r="C16">
        <v>13</v>
      </c>
      <c r="E16" s="5">
        <f t="shared" ref="E16" si="4">SUM(E15+F15)</f>
        <v>9231.8772870038665</v>
      </c>
      <c r="F16" s="5">
        <f t="shared" si="3"/>
        <v>306.69226649951582</v>
      </c>
      <c r="H16" s="12"/>
    </row>
    <row r="17" spans="1:8">
      <c r="E17" s="11" t="s">
        <v>105</v>
      </c>
      <c r="G17" s="5">
        <f>SQRT(AVERAGE(G4:G15))</f>
        <v>239.5364610823699</v>
      </c>
    </row>
    <row r="18" spans="1:8">
      <c r="B18" s="43" t="s">
        <v>165</v>
      </c>
      <c r="C18" s="43">
        <v>0.03</v>
      </c>
      <c r="D18" s="44"/>
      <c r="E18" s="11" t="s">
        <v>114</v>
      </c>
      <c r="H18" s="32">
        <f>AVERAGE(H4:H15)</f>
        <v>0.27132050178099781</v>
      </c>
    </row>
    <row r="19" spans="1:8">
      <c r="B19" t="s">
        <v>166</v>
      </c>
      <c r="C19" s="43">
        <v>0.4</v>
      </c>
    </row>
    <row r="20" spans="1:8">
      <c r="B20" t="s">
        <v>152</v>
      </c>
      <c r="C20">
        <v>10000</v>
      </c>
    </row>
    <row r="25" spans="1:8">
      <c r="A25" s="9" t="s">
        <v>168</v>
      </c>
    </row>
    <row r="26" spans="1:8" ht="19.149999999999999">
      <c r="C26" t="s">
        <v>96</v>
      </c>
      <c r="D26" t="s">
        <v>151</v>
      </c>
      <c r="E26" t="s">
        <v>167</v>
      </c>
      <c r="F26" t="s">
        <v>98</v>
      </c>
      <c r="G26" s="11" t="s">
        <v>94</v>
      </c>
      <c r="H26" s="38" t="s">
        <v>149</v>
      </c>
    </row>
    <row r="27" spans="1:8" ht="19.149999999999999">
      <c r="C27">
        <v>0</v>
      </c>
      <c r="D27">
        <v>0</v>
      </c>
      <c r="G27" s="11"/>
      <c r="H27" s="38"/>
    </row>
    <row r="28" spans="1:8">
      <c r="C28">
        <v>1</v>
      </c>
      <c r="D28">
        <v>420</v>
      </c>
      <c r="E28" s="12">
        <f>F27</f>
        <v>0</v>
      </c>
      <c r="F28" s="12">
        <f>($C$42+$C$43*E28/$C$44)*($C$44-E28)</f>
        <v>596.19000000000005</v>
      </c>
      <c r="G28" s="45">
        <f>(F28-D28)^2</f>
        <v>31042.91610000002</v>
      </c>
      <c r="H28" s="31">
        <f>ABS((F28-D28)/D28)</f>
        <v>0.41950000000000015</v>
      </c>
    </row>
    <row r="29" spans="1:8">
      <c r="C29">
        <v>2</v>
      </c>
      <c r="D29">
        <v>490</v>
      </c>
      <c r="E29" s="12">
        <f>SUM(E28+F28)</f>
        <v>596.19000000000005</v>
      </c>
      <c r="F29" s="12">
        <f t="shared" ref="F29:F40" si="5">($C$42+$C$43*E29/$C$44)*($C$44-E29)</f>
        <v>576.63496799999996</v>
      </c>
      <c r="G29" s="45">
        <f t="shared" ref="G29:G39" si="6">(F29-D29)^2</f>
        <v>7505.6176803610169</v>
      </c>
      <c r="H29" s="31">
        <f t="shared" ref="H29:H39" si="7">ABS((F29-D29)/D29)</f>
        <v>0.17680605714285705</v>
      </c>
    </row>
    <row r="30" spans="1:8">
      <c r="C30">
        <v>3</v>
      </c>
      <c r="D30">
        <v>510</v>
      </c>
      <c r="E30" s="12">
        <f>SUM(E29+F29)</f>
        <v>1172.8249679999999</v>
      </c>
      <c r="F30" s="12">
        <f t="shared" si="5"/>
        <v>554.54514338426111</v>
      </c>
      <c r="G30" s="45">
        <f t="shared" si="6"/>
        <v>1984.2697991243813</v>
      </c>
      <c r="H30" s="31">
        <f t="shared" si="7"/>
        <v>8.7343418400511977E-2</v>
      </c>
    </row>
    <row r="31" spans="1:8">
      <c r="C31">
        <v>4</v>
      </c>
      <c r="D31">
        <v>530</v>
      </c>
      <c r="E31" s="12">
        <f>SUM(E30+F30)</f>
        <v>1727.370111384261</v>
      </c>
      <c r="F31" s="12">
        <f t="shared" si="5"/>
        <v>530.35547643208417</v>
      </c>
      <c r="G31" s="45">
        <f t="shared" si="6"/>
        <v>0.12636349376729444</v>
      </c>
      <c r="H31" s="31">
        <f t="shared" si="7"/>
        <v>6.7071024921542286E-4</v>
      </c>
    </row>
    <row r="32" spans="1:8">
      <c r="C32">
        <v>5</v>
      </c>
      <c r="D32">
        <v>780</v>
      </c>
      <c r="E32" s="12">
        <f t="shared" ref="E32:E39" si="8">SUM(E31+F31)</f>
        <v>2257.7255878163451</v>
      </c>
      <c r="F32" s="12">
        <f t="shared" si="5"/>
        <v>504.51870046516609</v>
      </c>
      <c r="G32" s="45">
        <f t="shared" si="6"/>
        <v>75889.946393400882</v>
      </c>
      <c r="H32" s="31">
        <f t="shared" si="7"/>
        <v>0.35318115324978705</v>
      </c>
    </row>
    <row r="33" spans="2:8">
      <c r="C33">
        <v>6</v>
      </c>
      <c r="D33">
        <v>940</v>
      </c>
      <c r="E33" s="12">
        <f t="shared" si="8"/>
        <v>2762.2442882815112</v>
      </c>
      <c r="F33" s="12">
        <f t="shared" si="5"/>
        <v>477.48848791539723</v>
      </c>
      <c r="G33" s="45">
        <f t="shared" si="6"/>
        <v>213916.89881078564</v>
      </c>
      <c r="H33" s="31">
        <f t="shared" si="7"/>
        <v>0.49203352349425827</v>
      </c>
    </row>
    <row r="34" spans="2:8">
      <c r="C34">
        <v>7</v>
      </c>
      <c r="D34">
        <v>650</v>
      </c>
      <c r="E34" s="12">
        <f t="shared" si="8"/>
        <v>3239.7327761969086</v>
      </c>
      <c r="F34" s="12">
        <f t="shared" si="5"/>
        <v>449.70428201330839</v>
      </c>
      <c r="G34" s="45">
        <f t="shared" si="6"/>
        <v>40118.374643804302</v>
      </c>
      <c r="H34" s="31">
        <f t="shared" si="7"/>
        <v>0.308147258441064</v>
      </c>
    </row>
    <row r="35" spans="2:8">
      <c r="C35">
        <v>8</v>
      </c>
      <c r="D35">
        <v>620</v>
      </c>
      <c r="E35" s="12">
        <f t="shared" si="8"/>
        <v>3689.4370582102169</v>
      </c>
      <c r="F35" s="12">
        <f t="shared" si="5"/>
        <v>421.57852941140231</v>
      </c>
      <c r="G35" s="45">
        <f t="shared" si="6"/>
        <v>39371.079990541737</v>
      </c>
      <c r="H35" s="31">
        <f t="shared" si="7"/>
        <v>0.3200346299816092</v>
      </c>
    </row>
    <row r="36" spans="2:8">
      <c r="C36">
        <v>9</v>
      </c>
      <c r="D36">
        <v>750</v>
      </c>
      <c r="E36" s="12">
        <f t="shared" si="8"/>
        <v>4111.0155876216195</v>
      </c>
      <c r="F36" s="12">
        <f t="shared" si="5"/>
        <v>393.48675246449255</v>
      </c>
      <c r="G36" s="45">
        <f t="shared" si="6"/>
        <v>127101.695668314</v>
      </c>
      <c r="H36" s="31">
        <f t="shared" si="7"/>
        <v>0.47535099671400993</v>
      </c>
    </row>
    <row r="37" spans="2:8">
      <c r="C37">
        <v>10</v>
      </c>
      <c r="D37">
        <v>980</v>
      </c>
      <c r="E37" s="12">
        <f t="shared" si="8"/>
        <v>4504.5023400861119</v>
      </c>
      <c r="F37" s="12">
        <f t="shared" si="5"/>
        <v>365.76061803580455</v>
      </c>
      <c r="G37" s="45">
        <f t="shared" si="6"/>
        <v>377290.01835575677</v>
      </c>
      <c r="H37" s="31">
        <f t="shared" si="7"/>
        <v>0.62677487955530142</v>
      </c>
    </row>
    <row r="38" spans="2:8">
      <c r="C38">
        <v>11</v>
      </c>
      <c r="D38">
        <v>670</v>
      </c>
      <c r="E38" s="12">
        <f t="shared" si="8"/>
        <v>4870.2629581219162</v>
      </c>
      <c r="F38" s="12">
        <f t="shared" si="5"/>
        <v>338.68391338735375</v>
      </c>
      <c r="G38" s="45">
        <f t="shared" si="6"/>
        <v>109770.34924831851</v>
      </c>
      <c r="H38" s="31">
        <f t="shared" si="7"/>
        <v>0.49450162180991974</v>
      </c>
    </row>
    <row r="39" spans="2:8">
      <c r="C39">
        <v>12</v>
      </c>
      <c r="D39">
        <v>430</v>
      </c>
      <c r="E39" s="12">
        <f t="shared" si="8"/>
        <v>5208.9468715092698</v>
      </c>
      <c r="F39" s="12">
        <f t="shared" si="5"/>
        <v>312.49114881442034</v>
      </c>
      <c r="G39" s="45">
        <f t="shared" si="6"/>
        <v>13808.330106954705</v>
      </c>
      <c r="H39" s="31">
        <f t="shared" si="7"/>
        <v>0.27327639810599919</v>
      </c>
    </row>
    <row r="40" spans="2:8">
      <c r="C40">
        <v>13</v>
      </c>
      <c r="E40" s="5">
        <f t="shared" ref="E40" si="9">SUM(E39+F39)</f>
        <v>5521.4380203236906</v>
      </c>
      <c r="F40" s="12">
        <f t="shared" si="5"/>
        <v>287.36837958624562</v>
      </c>
      <c r="H40" s="12"/>
    </row>
    <row r="41" spans="2:8">
      <c r="E41" s="11" t="s">
        <v>105</v>
      </c>
      <c r="G41" s="5">
        <f>SQRT(AVERAGE(G28:G39))</f>
        <v>294.08043445641079</v>
      </c>
    </row>
    <row r="42" spans="2:8">
      <c r="B42" s="43" t="s">
        <v>165</v>
      </c>
      <c r="C42" s="43">
        <v>7.0000000000000007E-2</v>
      </c>
      <c r="D42" s="44"/>
      <c r="E42" s="11" t="s">
        <v>114</v>
      </c>
      <c r="H42" s="32">
        <f>AVERAGE(H28:H39)</f>
        <v>0.33563505392871112</v>
      </c>
    </row>
    <row r="43" spans="2:8">
      <c r="B43" t="s">
        <v>166</v>
      </c>
      <c r="C43" s="43">
        <v>0.04</v>
      </c>
    </row>
    <row r="44" spans="2:8">
      <c r="B44" t="s">
        <v>152</v>
      </c>
      <c r="C44">
        <v>8517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ABC-XYZ</vt:lpstr>
      <vt:lpstr>基本統計</vt:lpstr>
      <vt:lpstr>簡單平均&amp;移動平均</vt:lpstr>
      <vt:lpstr>平滑指數</vt:lpstr>
      <vt:lpstr>預測工作表 ETS</vt:lpstr>
      <vt:lpstr>Croston</vt:lpstr>
      <vt:lpstr>SS &amp; ROP</vt:lpstr>
      <vt:lpstr>Bass Model (新產品)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Wang</dc:creator>
  <cp:lastModifiedBy>Cliff Wang</cp:lastModifiedBy>
  <dcterms:created xsi:type="dcterms:W3CDTF">2024-10-09T21:27:25Z</dcterms:created>
  <dcterms:modified xsi:type="dcterms:W3CDTF">2025-05-05T02:18:50Z</dcterms:modified>
</cp:coreProperties>
</file>