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Study\credit_lesson\机械设计基础\课程设计\"/>
    </mc:Choice>
  </mc:AlternateContent>
  <xr:revisionPtr revIDLastSave="0" documentId="13_ncr:1_{8A9EC21E-5B10-4540-9AF0-AA633E4863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齿轮、带传动" sheetId="1" r:id="rId1"/>
    <sheet name="轴设计" sheetId="3" r:id="rId2"/>
    <sheet name="减速器设计" sheetId="5" r:id="rId3"/>
    <sheet name="组内分组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G31" i="1"/>
  <c r="G32" i="1"/>
  <c r="B29" i="1"/>
  <c r="B33" i="1"/>
  <c r="B32" i="1"/>
  <c r="B31" i="1"/>
  <c r="B30" i="1"/>
  <c r="B25" i="1"/>
  <c r="F5" i="3"/>
  <c r="C21" i="5"/>
  <c r="C19" i="5"/>
  <c r="C16" i="5"/>
  <c r="C15" i="5"/>
  <c r="C12" i="5"/>
  <c r="C11" i="5"/>
  <c r="C10" i="5"/>
  <c r="C9" i="5"/>
  <c r="C8" i="5"/>
  <c r="C7" i="5"/>
  <c r="C6" i="5"/>
  <c r="C5" i="5"/>
  <c r="C4" i="5"/>
  <c r="C3" i="5"/>
  <c r="D7" i="5"/>
  <c r="D5" i="5"/>
  <c r="D6" i="5"/>
  <c r="E2" i="3"/>
  <c r="E4" i="3"/>
  <c r="E5" i="3"/>
  <c r="E3" i="3"/>
  <c r="K4" i="1"/>
  <c r="B27" i="1"/>
  <c r="B26" i="1"/>
  <c r="B22" i="1"/>
  <c r="B21" i="1"/>
  <c r="B20" i="1"/>
  <c r="B19" i="1"/>
  <c r="B15" i="1"/>
  <c r="B14" i="1"/>
  <c r="B11" i="1"/>
  <c r="B4" i="1"/>
  <c r="G16" i="1"/>
  <c r="G14" i="1"/>
  <c r="G9" i="1"/>
  <c r="G25" i="1"/>
  <c r="G24" i="1"/>
  <c r="G22" i="1"/>
  <c r="G23" i="1" s="1"/>
  <c r="C20" i="2"/>
  <c r="D20" i="2"/>
  <c r="E20" i="2"/>
  <c r="F20" i="2"/>
  <c r="G20" i="2"/>
  <c r="H20" i="2"/>
  <c r="I20" i="2"/>
  <c r="B20" i="2"/>
  <c r="B12" i="2"/>
  <c r="B11" i="2"/>
  <c r="B5" i="2"/>
  <c r="K3" i="1"/>
  <c r="B23" i="1"/>
  <c r="G11" i="1"/>
  <c r="G17" i="1" s="1"/>
  <c r="G10" i="1"/>
  <c r="G15" i="1" s="1"/>
  <c r="G8" i="1"/>
  <c r="B10" i="1"/>
  <c r="B28" i="1" l="1"/>
</calcChain>
</file>

<file path=xl/sharedStrings.xml><?xml version="1.0" encoding="utf-8"?>
<sst xmlns="http://schemas.openxmlformats.org/spreadsheetml/2006/main" count="186" uniqueCount="161">
  <si>
    <t>输送带牵引力/kN</t>
    <phoneticPr fontId="1" type="noConversion"/>
  </si>
  <si>
    <t>输送带速度/(m/s)</t>
    <phoneticPr fontId="1" type="noConversion"/>
  </si>
  <si>
    <t>输送带滚筒直径/mm</t>
    <phoneticPr fontId="1" type="noConversion"/>
  </si>
  <si>
    <t>工作机输出功率P_W/kW</t>
    <phoneticPr fontId="1" type="noConversion"/>
  </si>
  <si>
    <t>电动机转速/r/min</t>
    <phoneticPr fontId="1" type="noConversion"/>
  </si>
  <si>
    <t>V带传动效率</t>
    <phoneticPr fontId="1" type="noConversion"/>
  </si>
  <si>
    <t>滚动轴承效率</t>
    <phoneticPr fontId="1" type="noConversion"/>
  </si>
  <si>
    <t>齿轮效率</t>
    <phoneticPr fontId="1" type="noConversion"/>
  </si>
  <si>
    <t>联轴器效率</t>
    <phoneticPr fontId="1" type="noConversion"/>
  </si>
  <si>
    <t>总传动效率</t>
    <phoneticPr fontId="1" type="noConversion"/>
  </si>
  <si>
    <t>电动机功率/kW</t>
    <phoneticPr fontId="1" type="noConversion"/>
  </si>
  <si>
    <t>电动机额定功率/kW</t>
    <phoneticPr fontId="1" type="noConversion"/>
  </si>
  <si>
    <t>[2]P196(索引209)</t>
    <phoneticPr fontId="1" type="noConversion"/>
  </si>
  <si>
    <t>满载转速/(r/min)</t>
    <phoneticPr fontId="1" type="noConversion"/>
  </si>
  <si>
    <t>卷筒工作转速/(r/min)</t>
    <phoneticPr fontId="1" type="noConversion"/>
  </si>
  <si>
    <t>总传动比</t>
    <phoneticPr fontId="1" type="noConversion"/>
  </si>
  <si>
    <t>齿轮传动比</t>
    <phoneticPr fontId="1" type="noConversion"/>
  </si>
  <si>
    <t>小齿轮齿数</t>
    <phoneticPr fontId="1" type="noConversion"/>
  </si>
  <si>
    <t>大齿轮齿数</t>
    <phoneticPr fontId="1" type="noConversion"/>
  </si>
  <si>
    <t>带传动比</t>
    <phoneticPr fontId="1" type="noConversion"/>
  </si>
  <si>
    <t>Y160M-6</t>
    <phoneticPr fontId="1" type="noConversion"/>
  </si>
  <si>
    <t>卷筒转速n_w/(r/min)</t>
    <phoneticPr fontId="1" type="noConversion"/>
  </si>
  <si>
    <t>V带大轮传动功率/kW</t>
    <phoneticPr fontId="1" type="noConversion"/>
  </si>
  <si>
    <t>大齿轮传动功率/kW</t>
    <phoneticPr fontId="1" type="noConversion"/>
  </si>
  <si>
    <t>卷筒传动功率/kW</t>
    <phoneticPr fontId="1" type="noConversion"/>
  </si>
  <si>
    <t>小齿轮传动功率/kW</t>
    <phoneticPr fontId="1" type="noConversion"/>
  </si>
  <si>
    <t>齿轮设计计算</t>
    <phoneticPr fontId="1" type="noConversion"/>
  </si>
  <si>
    <t>小齿轮材料</t>
    <phoneticPr fontId="1" type="noConversion"/>
  </si>
  <si>
    <t>[1]P171 11-1</t>
  </si>
  <si>
    <t>[1]P171 11-1</t>
    <phoneticPr fontId="1" type="noConversion"/>
  </si>
  <si>
    <t>最小安全系数S_H</t>
    <phoneticPr fontId="1" type="noConversion"/>
  </si>
  <si>
    <t>S_F</t>
    <phoneticPr fontId="1" type="noConversion"/>
  </si>
  <si>
    <t>[1]P176表11-5</t>
  </si>
  <si>
    <t>[1]P176表11-5</t>
    <phoneticPr fontId="1" type="noConversion"/>
  </si>
  <si>
    <t>小齿轮接触疲劳强度/MPa</t>
    <phoneticPr fontId="1" type="noConversion"/>
  </si>
  <si>
    <t>小齿轮弯曲疲劳强度/Mpa</t>
    <phoneticPr fontId="1" type="noConversion"/>
  </si>
  <si>
    <t>大齿轮接触疲劳强度/MPa</t>
    <phoneticPr fontId="1" type="noConversion"/>
  </si>
  <si>
    <t>大齿轮弯曲疲劳强度/Mpa</t>
    <phoneticPr fontId="1" type="noConversion"/>
  </si>
  <si>
    <t>小齿面最小硬度/HBS</t>
    <phoneticPr fontId="1" type="noConversion"/>
  </si>
  <si>
    <t>小齿面最大硬度/HBS</t>
    <phoneticPr fontId="1" type="noConversion"/>
  </si>
  <si>
    <t>大齿面最小硬度/HBS</t>
    <phoneticPr fontId="1" type="noConversion"/>
  </si>
  <si>
    <t>大齿面最大硬度/HBS</t>
    <phoneticPr fontId="1" type="noConversion"/>
  </si>
  <si>
    <t>大齿轮材料</t>
    <phoneticPr fontId="1" type="noConversion"/>
  </si>
  <si>
    <t>45号调质钢调质处理</t>
    <phoneticPr fontId="1" type="noConversion"/>
  </si>
  <si>
    <t>45号调质钢正火处理</t>
    <phoneticPr fontId="1" type="noConversion"/>
  </si>
  <si>
    <t>小齿轮许用接触疲劳强度/Mpa</t>
    <phoneticPr fontId="1" type="noConversion"/>
  </si>
  <si>
    <t>大齿轮许用接触疲劳强度/Mpa</t>
    <phoneticPr fontId="1" type="noConversion"/>
  </si>
  <si>
    <t>小齿轮许用弯曲疲劳强度/Mpa</t>
    <phoneticPr fontId="1" type="noConversion"/>
  </si>
  <si>
    <t>大齿轮许用弯曲疲劳强度/Mpa</t>
    <phoneticPr fontId="1" type="noConversion"/>
  </si>
  <si>
    <t>V带小轮传动功率/kW</t>
    <phoneticPr fontId="1" type="noConversion"/>
  </si>
  <si>
    <t>(小)齿轮高速轴转速n_1/(r/min)</t>
    <phoneticPr fontId="1" type="noConversion"/>
  </si>
  <si>
    <t>(大)齿轮低速轴转速n_2/(r/min)</t>
    <phoneticPr fontId="1" type="noConversion"/>
  </si>
  <si>
    <t>V带大轮转速/(r/min)</t>
    <phoneticPr fontId="1" type="noConversion"/>
  </si>
  <si>
    <t>载荷系数K</t>
    <phoneticPr fontId="1" type="noConversion"/>
  </si>
  <si>
    <t>齿宽系数</t>
    <phoneticPr fontId="1" type="noConversion"/>
  </si>
  <si>
    <t>弹性系数</t>
    <phoneticPr fontId="1" type="noConversion"/>
  </si>
  <si>
    <t>模数</t>
    <phoneticPr fontId="1" type="noConversion"/>
  </si>
  <si>
    <t>小齿轮直径</t>
    <phoneticPr fontId="1" type="noConversion"/>
  </si>
  <si>
    <t>齿宽</t>
    <phoneticPr fontId="1" type="noConversion"/>
  </si>
  <si>
    <t>大齿轮直径</t>
    <phoneticPr fontId="1" type="noConversion"/>
  </si>
  <si>
    <t>中心距</t>
    <phoneticPr fontId="1" type="noConversion"/>
  </si>
  <si>
    <t>齿形系数Y_Fa1</t>
    <phoneticPr fontId="1" type="noConversion"/>
  </si>
  <si>
    <t>齿形系数Y_Fa2</t>
  </si>
  <si>
    <t>齿形系数Y_Sa1</t>
    <phoneticPr fontId="1" type="noConversion"/>
  </si>
  <si>
    <t>齿形系数Y_Sa2</t>
    <phoneticPr fontId="1" type="noConversion"/>
  </si>
  <si>
    <t>圆周速度/(m/s)</t>
    <phoneticPr fontId="1" type="noConversion"/>
  </si>
  <si>
    <t>V带设计计算</t>
    <phoneticPr fontId="1" type="noConversion"/>
  </si>
  <si>
    <t>工作情况系数K_A</t>
    <phoneticPr fontId="1" type="noConversion"/>
  </si>
  <si>
    <t>型号</t>
    <phoneticPr fontId="1" type="noConversion"/>
  </si>
  <si>
    <t>普通V带B型</t>
    <phoneticPr fontId="1" type="noConversion"/>
  </si>
  <si>
    <t>小带轮直径d_1/mm</t>
    <phoneticPr fontId="1" type="noConversion"/>
  </si>
  <si>
    <t>输入功率P/kW</t>
    <phoneticPr fontId="1" type="noConversion"/>
  </si>
  <si>
    <t>计算功率P_c/kW</t>
    <phoneticPr fontId="1" type="noConversion"/>
  </si>
  <si>
    <t>弹性传动比</t>
    <phoneticPr fontId="1" type="noConversion"/>
  </si>
  <si>
    <t>大带轮直径d_2/mm</t>
    <phoneticPr fontId="1" type="noConversion"/>
  </si>
  <si>
    <t>传动带转速/(m/s)</t>
    <phoneticPr fontId="1" type="noConversion"/>
  </si>
  <si>
    <t>带长/mm</t>
    <phoneticPr fontId="1" type="noConversion"/>
  </si>
  <si>
    <t>带长修正系数K_L</t>
    <phoneticPr fontId="1" type="noConversion"/>
  </si>
  <si>
    <t>实际中心距/mm</t>
    <phoneticPr fontId="1" type="noConversion"/>
  </si>
  <si>
    <t>小带轮包角/°</t>
    <phoneticPr fontId="1" type="noConversion"/>
  </si>
  <si>
    <t>包角修正系数</t>
    <phoneticPr fontId="1" type="noConversion"/>
  </si>
  <si>
    <t>基本额定功率P_0/kW</t>
    <phoneticPr fontId="1" type="noConversion"/>
  </si>
  <si>
    <t>实际传动比</t>
    <phoneticPr fontId="1" type="noConversion"/>
  </si>
  <si>
    <t>额定功率增量/kW</t>
    <phoneticPr fontId="1" type="noConversion"/>
  </si>
  <si>
    <t>带轮根数</t>
    <phoneticPr fontId="1" type="noConversion"/>
  </si>
  <si>
    <t>单位长度质量/(kg/m)</t>
    <phoneticPr fontId="1" type="noConversion"/>
  </si>
  <si>
    <t>初拉力/N</t>
    <phoneticPr fontId="1" type="noConversion"/>
  </si>
  <si>
    <t>压轴力/N</t>
    <phoneticPr fontId="1" type="noConversion"/>
  </si>
  <si>
    <t>经过计算后发现，我们组无法使用1500转的电动机，因为这样会使得一定总传动比下，使带轮的传动比超过限定范围</t>
    <phoneticPr fontId="1" type="noConversion"/>
  </si>
  <si>
    <t>总传动比</t>
  </si>
  <si>
    <t>欧宇恒</t>
    <phoneticPr fontId="1" type="noConversion"/>
  </si>
  <si>
    <t>许刚强</t>
    <phoneticPr fontId="1" type="noConversion"/>
  </si>
  <si>
    <t>高嘉贺</t>
    <phoneticPr fontId="1" type="noConversion"/>
  </si>
  <si>
    <t>徐思哲</t>
    <phoneticPr fontId="1" type="noConversion"/>
  </si>
  <si>
    <t>张万里</t>
    <phoneticPr fontId="1" type="noConversion"/>
  </si>
  <si>
    <t>王崟宇</t>
    <phoneticPr fontId="1" type="noConversion"/>
  </si>
  <si>
    <t>王卓轩</t>
    <phoneticPr fontId="1" type="noConversion"/>
  </si>
  <si>
    <t>杜凯东</t>
    <phoneticPr fontId="1" type="noConversion"/>
  </si>
  <si>
    <t>分配组员</t>
    <phoneticPr fontId="1" type="noConversion"/>
  </si>
  <si>
    <t>1组</t>
    <phoneticPr fontId="1" type="noConversion"/>
  </si>
  <si>
    <t>3~3.3</t>
    <phoneticPr fontId="1" type="noConversion"/>
  </si>
  <si>
    <t>2组</t>
    <phoneticPr fontId="1" type="noConversion"/>
  </si>
  <si>
    <t>3.31~3.6</t>
    <phoneticPr fontId="1" type="noConversion"/>
  </si>
  <si>
    <t>3组</t>
    <phoneticPr fontId="1" type="noConversion"/>
  </si>
  <si>
    <t>3.61~3.9</t>
    <phoneticPr fontId="1" type="noConversion"/>
  </si>
  <si>
    <t>4组</t>
    <phoneticPr fontId="1" type="noConversion"/>
  </si>
  <si>
    <t>3.91~4.2</t>
    <phoneticPr fontId="1" type="noConversion"/>
  </si>
  <si>
    <t>5组</t>
    <phoneticPr fontId="1" type="noConversion"/>
  </si>
  <si>
    <t>4.21~4.5</t>
    <phoneticPr fontId="1" type="noConversion"/>
  </si>
  <si>
    <t>6组</t>
    <phoneticPr fontId="1" type="noConversion"/>
  </si>
  <si>
    <t>4.51~4.8</t>
    <phoneticPr fontId="1" type="noConversion"/>
  </si>
  <si>
    <t>轴号</t>
    <phoneticPr fontId="1" type="noConversion"/>
  </si>
  <si>
    <t>电机轴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</si>
  <si>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</si>
  <si>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</si>
  <si>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</si>
  <si>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功率</t>
    <phoneticPr fontId="1" type="noConversion"/>
  </si>
  <si>
    <t>转速</t>
    <phoneticPr fontId="1" type="noConversion"/>
  </si>
  <si>
    <t>扭矩</t>
    <phoneticPr fontId="1" type="noConversion"/>
  </si>
  <si>
    <t>最小轴径</t>
    <phoneticPr fontId="1" type="noConversion"/>
  </si>
  <si>
    <t>I轴</t>
    <phoneticPr fontId="1" type="noConversion"/>
  </si>
  <si>
    <t>II轴</t>
    <phoneticPr fontId="1" type="noConversion"/>
  </si>
  <si>
    <t>D2</t>
    <phoneticPr fontId="1" type="noConversion"/>
  </si>
  <si>
    <t>最小基准直径D1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</si>
  <si>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</si>
  <si>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</si>
  <si>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</si>
  <si>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54,56</t>
    <phoneticPr fontId="1" type="noConversion"/>
  </si>
  <si>
    <t>D6</t>
    <phoneticPr fontId="1" type="noConversion"/>
  </si>
  <si>
    <t>箱壁厚度</t>
    <phoneticPr fontId="1" type="noConversion"/>
  </si>
  <si>
    <t>齿轮中心距</t>
    <phoneticPr fontId="1" type="noConversion"/>
  </si>
  <si>
    <t>箱盖厚度</t>
    <phoneticPr fontId="1" type="noConversion"/>
  </si>
  <si>
    <t>箱体凸缘厚度</t>
    <phoneticPr fontId="1" type="noConversion"/>
  </si>
  <si>
    <t>b</t>
    <phoneticPr fontId="1" type="noConversion"/>
  </si>
  <si>
    <t>a</t>
    <phoneticPr fontId="1" type="noConversion"/>
  </si>
  <si>
    <t>\delta</t>
    <phoneticPr fontId="1" type="noConversion"/>
  </si>
  <si>
    <t>\delta_1</t>
    <phoneticPr fontId="1" type="noConversion"/>
  </si>
  <si>
    <t>b1</t>
    <phoneticPr fontId="1" type="noConversion"/>
  </si>
  <si>
    <t>b2</t>
    <phoneticPr fontId="1" type="noConversion"/>
  </si>
  <si>
    <t>m</t>
    <phoneticPr fontId="1" type="noConversion"/>
  </si>
  <si>
    <t>m1</t>
    <phoneticPr fontId="1" type="noConversion"/>
  </si>
  <si>
    <t>加强肋厚</t>
    <phoneticPr fontId="1" type="noConversion"/>
  </si>
  <si>
    <t>df</t>
    <phoneticPr fontId="1" type="noConversion"/>
  </si>
  <si>
    <t>圆整或标准化后</t>
    <phoneticPr fontId="1" type="noConversion"/>
  </si>
  <si>
    <t>d1</t>
    <phoneticPr fontId="1" type="noConversion"/>
  </si>
  <si>
    <t>d2 0.5</t>
    <phoneticPr fontId="1" type="noConversion"/>
  </si>
  <si>
    <t>d3轴1</t>
    <phoneticPr fontId="1" type="noConversion"/>
  </si>
  <si>
    <t>d3轴2</t>
  </si>
  <si>
    <t>D2轴1</t>
    <phoneticPr fontId="1" type="noConversion"/>
  </si>
  <si>
    <t xml:space="preserve">D2轴2 </t>
    <phoneticPr fontId="1" type="noConversion"/>
  </si>
  <si>
    <t>d4</t>
    <phoneticPr fontId="1" type="noConversion"/>
  </si>
  <si>
    <t>△1</t>
    <phoneticPr fontId="1" type="noConversion"/>
  </si>
  <si>
    <t>e轴1</t>
    <phoneticPr fontId="1" type="noConversion"/>
  </si>
  <si>
    <t>e轴2</t>
    <phoneticPr fontId="1" type="noConversion"/>
  </si>
  <si>
    <t>V带小轮传动力矩/N·mm</t>
    <phoneticPr fontId="1" type="noConversion"/>
  </si>
  <si>
    <t>V带大轮传动力矩/N·mm</t>
    <phoneticPr fontId="1" type="noConversion"/>
  </si>
  <si>
    <t>小齿轮传动力矩/N·mm</t>
    <phoneticPr fontId="1" type="noConversion"/>
  </si>
  <si>
    <t>大齿轮传动力矩/N·mm</t>
    <phoneticPr fontId="1" type="noConversion"/>
  </si>
  <si>
    <t>卷筒传动力矩/N·mm</t>
    <phoneticPr fontId="1" type="noConversion"/>
  </si>
  <si>
    <t>圆周力/N</t>
    <phoneticPr fontId="1" type="noConversion"/>
  </si>
  <si>
    <t>径向力/N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</si>
</sst>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2" zoomScale="160" zoomScaleNormal="160" workbookViewId="0">
      <selection activeCell="C7" sqref="C7"/>
    </sheetView>
  </sheetViews>
  <sheetFormatPr defaultRowHeight="14" x14ac:dyDescent="0.3"/>
  <cols>
    <col min="1" max="1" width="25.75" customWidth="1"/>
    <col min="6" max="6" width="25.9140625" customWidth="1"/>
    <col min="10" max="10" width="21.25" customWidth="1"/>
  </cols>
  <sheetData>
    <row r="1" spans="1:12" x14ac:dyDescent="0.3">
      <c r="A1" t="s">
        <v>0</v>
      </c>
      <c r="B1">
        <v>3.5</v>
      </c>
      <c r="F1" s="9" t="s">
        <v>26</v>
      </c>
      <c r="G1" s="9"/>
      <c r="H1" s="9"/>
      <c r="J1" s="9" t="s">
        <v>66</v>
      </c>
      <c r="K1" s="9"/>
      <c r="L1" s="9"/>
    </row>
    <row r="2" spans="1:12" x14ac:dyDescent="0.3">
      <c r="A2" t="s">
        <v>1</v>
      </c>
      <c r="B2">
        <v>1.8</v>
      </c>
      <c r="F2" t="s">
        <v>27</v>
      </c>
      <c r="G2" t="s">
        <v>43</v>
      </c>
      <c r="J2" t="s">
        <v>67</v>
      </c>
      <c r="K2">
        <v>1.2</v>
      </c>
    </row>
    <row r="3" spans="1:12" x14ac:dyDescent="0.3">
      <c r="A3" t="s">
        <v>2</v>
      </c>
      <c r="B3">
        <v>350</v>
      </c>
      <c r="F3" t="s">
        <v>42</v>
      </c>
      <c r="G3" t="s">
        <v>44</v>
      </c>
      <c r="J3" t="s">
        <v>71</v>
      </c>
      <c r="K3">
        <f>B24</f>
        <v>7.34</v>
      </c>
    </row>
    <row r="4" spans="1:12" x14ac:dyDescent="0.3">
      <c r="A4" s="1" t="s">
        <v>3</v>
      </c>
      <c r="B4" s="1">
        <f>B1*B2</f>
        <v>6.3</v>
      </c>
      <c r="F4" t="s">
        <v>38</v>
      </c>
      <c r="G4">
        <v>197</v>
      </c>
      <c r="H4" t="s">
        <v>28</v>
      </c>
      <c r="J4" t="s">
        <v>72</v>
      </c>
      <c r="K4">
        <f>K2*K3</f>
        <v>8.8079999999999998</v>
      </c>
    </row>
    <row r="5" spans="1:12" x14ac:dyDescent="0.3">
      <c r="A5" t="s">
        <v>4</v>
      </c>
      <c r="B5">
        <v>1000</v>
      </c>
      <c r="F5" t="s">
        <v>39</v>
      </c>
      <c r="G5">
        <v>286</v>
      </c>
      <c r="H5" t="s">
        <v>29</v>
      </c>
      <c r="J5" t="s">
        <v>68</v>
      </c>
      <c r="K5" t="s">
        <v>69</v>
      </c>
    </row>
    <row r="6" spans="1:12" x14ac:dyDescent="0.3">
      <c r="A6" t="s">
        <v>5</v>
      </c>
      <c r="B6">
        <v>0.96</v>
      </c>
      <c r="C6">
        <f>B7^4*B8*B9</f>
        <v>0.87661869926399982</v>
      </c>
      <c r="F6" t="s">
        <v>40</v>
      </c>
      <c r="G6">
        <v>197</v>
      </c>
      <c r="H6" t="s">
        <v>28</v>
      </c>
      <c r="J6" t="s">
        <v>70</v>
      </c>
      <c r="K6">
        <v>140</v>
      </c>
    </row>
    <row r="7" spans="1:12" x14ac:dyDescent="0.3">
      <c r="A7" t="s">
        <v>6</v>
      </c>
      <c r="B7">
        <v>0.98</v>
      </c>
      <c r="F7" t="s">
        <v>41</v>
      </c>
      <c r="G7">
        <v>286</v>
      </c>
      <c r="H7" t="s">
        <v>29</v>
      </c>
      <c r="J7" t="s">
        <v>73</v>
      </c>
      <c r="K7">
        <v>0.02</v>
      </c>
    </row>
    <row r="8" spans="1:12" x14ac:dyDescent="0.3">
      <c r="A8" t="s">
        <v>7</v>
      </c>
      <c r="B8">
        <v>0.96</v>
      </c>
      <c r="F8" t="s">
        <v>34</v>
      </c>
      <c r="G8">
        <f>(550+620)/2</f>
        <v>585</v>
      </c>
      <c r="H8" t="s">
        <v>29</v>
      </c>
      <c r="J8" t="s">
        <v>74</v>
      </c>
      <c r="K8">
        <v>450</v>
      </c>
    </row>
    <row r="9" spans="1:12" x14ac:dyDescent="0.3">
      <c r="A9" t="s">
        <v>8</v>
      </c>
      <c r="B9">
        <v>0.99</v>
      </c>
      <c r="F9" t="s">
        <v>35</v>
      </c>
      <c r="G9">
        <f>(410+480)/2</f>
        <v>445</v>
      </c>
      <c r="H9" t="s">
        <v>29</v>
      </c>
      <c r="J9" t="s">
        <v>75</v>
      </c>
      <c r="K9">
        <v>7.11</v>
      </c>
    </row>
    <row r="10" spans="1:12" x14ac:dyDescent="0.3">
      <c r="A10" s="1" t="s">
        <v>9</v>
      </c>
      <c r="B10" s="1">
        <f>B6*B7^3*B8*B9</f>
        <v>0.85872852172799985</v>
      </c>
      <c r="F10" t="s">
        <v>36</v>
      </c>
      <c r="G10">
        <f>(350+400)/2</f>
        <v>375</v>
      </c>
      <c r="H10" t="s">
        <v>29</v>
      </c>
      <c r="J10" t="s">
        <v>76</v>
      </c>
      <c r="K10">
        <v>2700</v>
      </c>
    </row>
    <row r="11" spans="1:12" x14ac:dyDescent="0.3">
      <c r="A11" s="1" t="s">
        <v>10</v>
      </c>
      <c r="B11" s="1">
        <f>B4/B10</f>
        <v>7.3364280335334078</v>
      </c>
      <c r="F11" t="s">
        <v>37</v>
      </c>
      <c r="G11">
        <f>(280+340)/2</f>
        <v>310</v>
      </c>
      <c r="H11" t="s">
        <v>29</v>
      </c>
      <c r="J11" t="s">
        <v>77</v>
      </c>
      <c r="K11">
        <v>1.04</v>
      </c>
    </row>
    <row r="12" spans="1:12" x14ac:dyDescent="0.3">
      <c r="A12" s="1" t="s">
        <v>11</v>
      </c>
      <c r="B12" s="1">
        <v>7.5</v>
      </c>
      <c r="C12" t="s">
        <v>20</v>
      </c>
      <c r="D12" t="s">
        <v>12</v>
      </c>
      <c r="F12" t="s">
        <v>30</v>
      </c>
      <c r="G12">
        <v>1</v>
      </c>
      <c r="H12" t="s">
        <v>32</v>
      </c>
      <c r="J12" t="s">
        <v>78</v>
      </c>
      <c r="K12">
        <v>873.27</v>
      </c>
    </row>
    <row r="13" spans="1:12" x14ac:dyDescent="0.3">
      <c r="A13" t="s">
        <v>13</v>
      </c>
      <c r="B13">
        <v>970</v>
      </c>
      <c r="F13" t="s">
        <v>31</v>
      </c>
      <c r="G13">
        <v>1.25</v>
      </c>
      <c r="H13" t="s">
        <v>33</v>
      </c>
      <c r="J13" t="s">
        <v>79</v>
      </c>
      <c r="K13">
        <v>159.66</v>
      </c>
    </row>
    <row r="14" spans="1:12" x14ac:dyDescent="0.3">
      <c r="A14" t="s">
        <v>14</v>
      </c>
      <c r="B14">
        <f>60000*B2/(3.14*B3)</f>
        <v>98.271155595996362</v>
      </c>
      <c r="F14" t="s">
        <v>45</v>
      </c>
      <c r="G14">
        <f>G8/G12</f>
        <v>585</v>
      </c>
      <c r="J14" t="s">
        <v>80</v>
      </c>
      <c r="K14">
        <v>0.95</v>
      </c>
    </row>
    <row r="15" spans="1:12" x14ac:dyDescent="0.3">
      <c r="A15" t="s">
        <v>15</v>
      </c>
      <c r="B15">
        <f>B13/B14</f>
        <v>9.8706481481481472</v>
      </c>
      <c r="F15" t="s">
        <v>46</v>
      </c>
      <c r="G15">
        <f>G10/G12</f>
        <v>375</v>
      </c>
      <c r="J15" t="s">
        <v>81</v>
      </c>
      <c r="K15">
        <v>2.08</v>
      </c>
    </row>
    <row r="16" spans="1:12" x14ac:dyDescent="0.3">
      <c r="A16" t="s">
        <v>16</v>
      </c>
      <c r="B16">
        <v>3.06</v>
      </c>
      <c r="F16" t="s">
        <v>47</v>
      </c>
      <c r="G16">
        <f>G9/G13</f>
        <v>356</v>
      </c>
      <c r="J16" t="s">
        <v>82</v>
      </c>
      <c r="K16">
        <v>3.28</v>
      </c>
    </row>
    <row r="17" spans="1:13" x14ac:dyDescent="0.3">
      <c r="A17" t="s">
        <v>17</v>
      </c>
      <c r="B17">
        <v>29</v>
      </c>
      <c r="F17" t="s">
        <v>48</v>
      </c>
      <c r="G17">
        <f>G11/G13</f>
        <v>248</v>
      </c>
      <c r="J17" t="s">
        <v>83</v>
      </c>
      <c r="K17">
        <v>0.3</v>
      </c>
    </row>
    <row r="18" spans="1:13" x14ac:dyDescent="0.3">
      <c r="A18" t="s">
        <v>18</v>
      </c>
      <c r="B18">
        <v>89</v>
      </c>
      <c r="F18" t="s">
        <v>53</v>
      </c>
      <c r="G18">
        <v>1</v>
      </c>
      <c r="J18" t="s">
        <v>84</v>
      </c>
      <c r="K18">
        <v>4</v>
      </c>
    </row>
    <row r="19" spans="1:13" x14ac:dyDescent="0.3">
      <c r="A19" t="s">
        <v>19</v>
      </c>
      <c r="B19">
        <f>B15/B16</f>
        <v>3.2257020091987409</v>
      </c>
      <c r="C19" s="8"/>
      <c r="F19" t="s">
        <v>54</v>
      </c>
      <c r="G19">
        <v>1</v>
      </c>
      <c r="J19" t="s">
        <v>85</v>
      </c>
      <c r="K19">
        <v>0.17</v>
      </c>
    </row>
    <row r="20" spans="1:13" x14ac:dyDescent="0.3">
      <c r="A20" s="4" t="s">
        <v>52</v>
      </c>
      <c r="B20" s="4">
        <f>B13/B19</f>
        <v>300.70973612374888</v>
      </c>
      <c r="F20" t="s">
        <v>55</v>
      </c>
      <c r="G20">
        <v>189.8</v>
      </c>
      <c r="J20" t="s">
        <v>86</v>
      </c>
      <c r="K20">
        <v>245.24</v>
      </c>
    </row>
    <row r="21" spans="1:13" x14ac:dyDescent="0.3">
      <c r="A21" s="4" t="s">
        <v>50</v>
      </c>
      <c r="B21" s="4">
        <f>B13/B19</f>
        <v>300.70973612374888</v>
      </c>
      <c r="F21" t="s">
        <v>56</v>
      </c>
      <c r="G21">
        <v>4</v>
      </c>
      <c r="J21" t="s">
        <v>87</v>
      </c>
      <c r="K21">
        <v>1932.11</v>
      </c>
    </row>
    <row r="22" spans="1:13" x14ac:dyDescent="0.3">
      <c r="A22" s="4" t="s">
        <v>51</v>
      </c>
      <c r="B22" s="4">
        <f>B21/B16</f>
        <v>98.271155595996362</v>
      </c>
      <c r="F22" t="s">
        <v>57</v>
      </c>
      <c r="G22">
        <f>G21*B17</f>
        <v>116</v>
      </c>
    </row>
    <row r="23" spans="1:13" x14ac:dyDescent="0.3">
      <c r="A23" s="4" t="s">
        <v>21</v>
      </c>
      <c r="B23" s="4">
        <f>B22</f>
        <v>98.271155595996362</v>
      </c>
      <c r="F23" t="s">
        <v>58</v>
      </c>
      <c r="G23">
        <f>G22*G19</f>
        <v>116</v>
      </c>
    </row>
    <row r="24" spans="1:13" x14ac:dyDescent="0.3">
      <c r="A24" s="2" t="s">
        <v>49</v>
      </c>
      <c r="B24" s="2">
        <v>7.34</v>
      </c>
      <c r="F24" t="s">
        <v>59</v>
      </c>
      <c r="G24">
        <f>G21*B18</f>
        <v>356</v>
      </c>
    </row>
    <row r="25" spans="1:13" x14ac:dyDescent="0.3">
      <c r="A25" s="2" t="s">
        <v>22</v>
      </c>
      <c r="B25" s="2">
        <f>B11*B6</f>
        <v>7.0429709121920716</v>
      </c>
      <c r="F25" t="s">
        <v>60</v>
      </c>
      <c r="G25">
        <f>AVERAGE(G22,G24)</f>
        <v>236</v>
      </c>
    </row>
    <row r="26" spans="1:13" x14ac:dyDescent="0.3">
      <c r="A26" s="2" t="s">
        <v>25</v>
      </c>
      <c r="B26" s="2">
        <f>B25*B7</f>
        <v>6.9021114939482304</v>
      </c>
      <c r="F26" t="s">
        <v>61</v>
      </c>
      <c r="G26">
        <v>2.62</v>
      </c>
    </row>
    <row r="27" spans="1:13" x14ac:dyDescent="0.3">
      <c r="A27" s="2" t="s">
        <v>23</v>
      </c>
      <c r="B27" s="2">
        <f>B25*B7*B8</f>
        <v>6.6260270341903009</v>
      </c>
      <c r="F27" t="s">
        <v>62</v>
      </c>
      <c r="G27">
        <v>2.2400000000000002</v>
      </c>
    </row>
    <row r="28" spans="1:13" x14ac:dyDescent="0.3">
      <c r="A28" s="2" t="s">
        <v>24</v>
      </c>
      <c r="B28" s="2">
        <f>B27*B7*B9</f>
        <v>6.4285714285714306</v>
      </c>
      <c r="F28" t="s">
        <v>63</v>
      </c>
      <c r="G28">
        <v>1.63</v>
      </c>
      <c r="L28" t="s">
        <v>99</v>
      </c>
      <c r="M28" t="s">
        <v>100</v>
      </c>
    </row>
    <row r="29" spans="1:13" x14ac:dyDescent="0.3">
      <c r="A29" s="3" t="s">
        <v>154</v>
      </c>
      <c r="B29" s="3">
        <f>9550000*B24/B13</f>
        <v>72264.948453608245</v>
      </c>
      <c r="F29" t="s">
        <v>64</v>
      </c>
      <c r="G29">
        <v>1.78</v>
      </c>
      <c r="L29" t="s">
        <v>101</v>
      </c>
      <c r="M29" t="s">
        <v>102</v>
      </c>
    </row>
    <row r="30" spans="1:13" x14ac:dyDescent="0.3">
      <c r="A30" s="3" t="s">
        <v>155</v>
      </c>
      <c r="B30" s="3">
        <f>9550000*B25/B20</f>
        <v>223672.08018750386</v>
      </c>
      <c r="F30" t="s">
        <v>65</v>
      </c>
      <c r="G30">
        <v>1.82</v>
      </c>
      <c r="L30" t="s">
        <v>103</v>
      </c>
      <c r="M30" t="s">
        <v>104</v>
      </c>
    </row>
    <row r="31" spans="1:13" x14ac:dyDescent="0.3">
      <c r="A31" s="3" t="s">
        <v>156</v>
      </c>
      <c r="B31" s="3">
        <f>9550000*B26/B21</f>
        <v>219198.63858375378</v>
      </c>
      <c r="F31" t="s">
        <v>159</v>
      </c>
      <c r="G31">
        <f>2*B31/G22</f>
        <v>3779.2868721336858</v>
      </c>
      <c r="L31" t="s">
        <v>105</v>
      </c>
      <c r="M31" t="s">
        <v>106</v>
      </c>
    </row>
    <row r="32" spans="1:13" x14ac:dyDescent="0.3">
      <c r="A32" s="3" t="s">
        <v>157</v>
      </c>
      <c r="B32" s="3">
        <f>9550000*B27/B22</f>
        <v>643917.92070363509</v>
      </c>
      <c r="F32" t="s">
        <v>160</v>
      </c>
      <c r="G32">
        <f>G31*TAN(20*PI()/180)</f>
        <v>1375.5479282096808</v>
      </c>
      <c r="L32" t="s">
        <v>107</v>
      </c>
      <c r="M32" t="s">
        <v>108</v>
      </c>
    </row>
    <row r="33" spans="1:13" x14ac:dyDescent="0.3">
      <c r="A33" s="3" t="s">
        <v>158</v>
      </c>
      <c r="B33" s="3">
        <f>9550000*B28/B23</f>
        <v>624729.16666666686</v>
      </c>
      <c r="L33" t="s">
        <v>109</v>
      </c>
      <c r="M33" t="s">
        <v>110</v>
      </c>
    </row>
  </sheetData>
  <mergeCells count="2">
    <mergeCell ref="F1:H1"/>
    <mergeCell ref="J1:L1"/>
  </mergeCells>
  <phoneticPr fontId="1" type="noConversion"/>
  <pageMargins left="0.7" right="0.7" top="0.75" bottom="0.75" header="0.3" footer="0.3"/>
  <ignoredErrors>
    <ignoredError sqref="B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FF9F-E8E3-40FB-9D1B-B28185C3573A}">
  <dimension ref="A1:I7"/>
  <sheetViews>
    <sheetView workbookViewId="0">
      <selection activeCell="F5" sqref="F5"/>
    </sheetView>
  </sheetViews>
  <sheetFormatPr defaultRowHeight="14" x14ac:dyDescent="0.3"/>
  <cols>
    <col min="7" max="7" width="14" customWidth="1"/>
  </cols>
  <sheetData>
    <row r="1" spans="1:9" x14ac:dyDescent="0.3">
      <c r="A1" s="6" t="s">
        <v>111</v>
      </c>
      <c r="B1" s="6" t="s">
        <v>116</v>
      </c>
      <c r="C1" s="6" t="s">
        <v>117</v>
      </c>
      <c r="D1" s="6" t="s">
        <v>118</v>
      </c>
      <c r="E1" s="6" t="s">
        <v>119</v>
      </c>
      <c r="F1" s="6"/>
      <c r="G1" s="6"/>
      <c r="H1" s="6" t="s">
        <v>120</v>
      </c>
      <c r="I1" s="6" t="s">
        <v>121</v>
      </c>
    </row>
    <row r="2" spans="1:9" x14ac:dyDescent="0.3">
      <c r="A2" s="6" t="s">
        <v>112</v>
      </c>
      <c r="B2" s="6">
        <v>7.5</v>
      </c>
      <c r="C2" s="6">
        <v>970</v>
      </c>
      <c r="D2" s="6">
        <v>73.84</v>
      </c>
      <c r="E2" s="6">
        <f>110*(B2/C2)^(1/3)</f>
        <v>21.751499161844521</v>
      </c>
      <c r="F2" s="6"/>
      <c r="G2" s="6" t="s">
        <v>123</v>
      </c>
      <c r="H2" s="6">
        <v>35</v>
      </c>
      <c r="I2" s="6">
        <v>50</v>
      </c>
    </row>
    <row r="3" spans="1:9" x14ac:dyDescent="0.3">
      <c r="A3" s="6" t="s">
        <v>113</v>
      </c>
      <c r="B3" s="6">
        <v>7.2</v>
      </c>
      <c r="C3" s="6">
        <v>301</v>
      </c>
      <c r="D3" s="6">
        <v>228.7</v>
      </c>
      <c r="E3" s="6">
        <f>110*(B3/C3)^(1/3)</f>
        <v>31.694313699135108</v>
      </c>
      <c r="F3" s="6"/>
      <c r="G3" s="6" t="s">
        <v>122</v>
      </c>
      <c r="H3" s="6">
        <v>42</v>
      </c>
      <c r="I3" s="6">
        <v>60</v>
      </c>
    </row>
    <row r="4" spans="1:9" x14ac:dyDescent="0.3">
      <c r="A4" s="6" t="s">
        <v>114</v>
      </c>
      <c r="B4" s="6">
        <v>6.77</v>
      </c>
      <c r="C4" s="6">
        <v>98</v>
      </c>
      <c r="D4" s="6">
        <v>658.27</v>
      </c>
      <c r="E4" s="6">
        <f t="shared" ref="E4:E5" si="0">110*(B4/C4)^(1/3)</f>
        <v>45.135010672630976</v>
      </c>
      <c r="F4" s="6"/>
      <c r="G4" s="6" t="s">
        <v>124</v>
      </c>
      <c r="H4" s="6">
        <v>45</v>
      </c>
      <c r="I4" s="6">
        <v>65</v>
      </c>
    </row>
    <row r="5" spans="1:9" x14ac:dyDescent="0.3">
      <c r="A5" s="6" t="s">
        <v>115</v>
      </c>
      <c r="B5" s="6">
        <v>6.57</v>
      </c>
      <c r="C5" s="6">
        <v>98</v>
      </c>
      <c r="D5" s="6">
        <v>645.1</v>
      </c>
      <c r="E5" s="6">
        <f t="shared" si="0"/>
        <v>44.686099662273811</v>
      </c>
      <c r="F5" s="6">
        <f>E5*1.05</f>
        <v>46.920404645387507</v>
      </c>
      <c r="G5" s="6" t="s">
        <v>125</v>
      </c>
      <c r="H5" s="6">
        <v>50</v>
      </c>
      <c r="I5" s="6">
        <v>67</v>
      </c>
    </row>
    <row r="6" spans="1:9" x14ac:dyDescent="0.3">
      <c r="A6" s="6"/>
      <c r="B6" s="6"/>
      <c r="C6" s="6"/>
      <c r="D6" s="6"/>
      <c r="E6" s="6"/>
      <c r="F6" s="6"/>
      <c r="G6" s="6" t="s">
        <v>126</v>
      </c>
      <c r="H6" s="6" t="s">
        <v>127</v>
      </c>
      <c r="I6" s="6">
        <v>77</v>
      </c>
    </row>
    <row r="7" spans="1:9" x14ac:dyDescent="0.3">
      <c r="A7" s="6"/>
      <c r="B7" s="6"/>
      <c r="C7" s="6"/>
      <c r="D7" s="6"/>
      <c r="E7" s="6"/>
      <c r="F7" s="6"/>
      <c r="G7" s="6" t="s">
        <v>128</v>
      </c>
      <c r="H7" s="6">
        <v>45</v>
      </c>
      <c r="I7" s="6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4D86-EA31-4D57-AC52-BB36197503F5}">
  <dimension ref="A1:D21"/>
  <sheetViews>
    <sheetView workbookViewId="0">
      <selection activeCell="C4" sqref="C4"/>
    </sheetView>
  </sheetViews>
  <sheetFormatPr defaultRowHeight="14" x14ac:dyDescent="0.3"/>
  <cols>
    <col min="1" max="1" width="14.08203125" customWidth="1"/>
  </cols>
  <sheetData>
    <row r="1" spans="1:4" x14ac:dyDescent="0.3">
      <c r="A1" t="s">
        <v>130</v>
      </c>
      <c r="B1" t="s">
        <v>134</v>
      </c>
      <c r="C1">
        <v>236</v>
      </c>
    </row>
    <row r="2" spans="1:4" x14ac:dyDescent="0.3">
      <c r="D2" t="s">
        <v>143</v>
      </c>
    </row>
    <row r="3" spans="1:4" x14ac:dyDescent="0.3">
      <c r="A3" t="s">
        <v>129</v>
      </c>
      <c r="B3" t="s">
        <v>135</v>
      </c>
      <c r="C3">
        <f>0.025*C1+1</f>
        <v>6.9</v>
      </c>
      <c r="D3">
        <v>8</v>
      </c>
    </row>
    <row r="4" spans="1:4" x14ac:dyDescent="0.3">
      <c r="A4" t="s">
        <v>131</v>
      </c>
      <c r="B4" t="s">
        <v>136</v>
      </c>
      <c r="C4">
        <f>0.02*C1+1</f>
        <v>5.72</v>
      </c>
      <c r="D4">
        <v>8</v>
      </c>
    </row>
    <row r="5" spans="1:4" x14ac:dyDescent="0.3">
      <c r="A5" t="s">
        <v>132</v>
      </c>
      <c r="B5" t="s">
        <v>133</v>
      </c>
      <c r="C5">
        <f>1.5*D3</f>
        <v>12</v>
      </c>
      <c r="D5">
        <f>1.5*8</f>
        <v>12</v>
      </c>
    </row>
    <row r="6" spans="1:4" x14ac:dyDescent="0.3">
      <c r="B6" t="s">
        <v>137</v>
      </c>
      <c r="C6">
        <f t="shared" ref="C6" si="0">1.5*D4</f>
        <v>12</v>
      </c>
      <c r="D6">
        <f>1.5*8</f>
        <v>12</v>
      </c>
    </row>
    <row r="7" spans="1:4" x14ac:dyDescent="0.3">
      <c r="B7" t="s">
        <v>138</v>
      </c>
      <c r="C7">
        <f>2.5*D3</f>
        <v>20</v>
      </c>
      <c r="D7">
        <f>2.5*D4</f>
        <v>20</v>
      </c>
    </row>
    <row r="8" spans="1:4" x14ac:dyDescent="0.3">
      <c r="A8" t="s">
        <v>141</v>
      </c>
      <c r="B8" t="s">
        <v>139</v>
      </c>
      <c r="C8">
        <f>0.85*D3</f>
        <v>6.8</v>
      </c>
      <c r="D8">
        <v>7</v>
      </c>
    </row>
    <row r="9" spans="1:4" x14ac:dyDescent="0.3">
      <c r="B9" t="s">
        <v>140</v>
      </c>
      <c r="C9">
        <f>0.85*D4</f>
        <v>6.8</v>
      </c>
      <c r="D9">
        <v>7</v>
      </c>
    </row>
    <row r="10" spans="1:4" x14ac:dyDescent="0.3">
      <c r="B10" t="s">
        <v>142</v>
      </c>
      <c r="C10">
        <f>0.036*C1+12</f>
        <v>20.495999999999999</v>
      </c>
      <c r="D10">
        <v>22</v>
      </c>
    </row>
    <row r="11" spans="1:4" x14ac:dyDescent="0.3">
      <c r="B11" t="s">
        <v>144</v>
      </c>
      <c r="C11">
        <f>0.75*D10</f>
        <v>16.5</v>
      </c>
      <c r="D11">
        <v>18</v>
      </c>
    </row>
    <row r="12" spans="1:4" x14ac:dyDescent="0.3">
      <c r="B12" t="s">
        <v>145</v>
      </c>
      <c r="C12">
        <f>0.5*D10</f>
        <v>11</v>
      </c>
      <c r="D12">
        <v>12</v>
      </c>
    </row>
    <row r="13" spans="1:4" x14ac:dyDescent="0.3">
      <c r="B13" t="s">
        <v>146</v>
      </c>
      <c r="C13">
        <v>8</v>
      </c>
    </row>
    <row r="14" spans="1:4" x14ac:dyDescent="0.3">
      <c r="B14" t="s">
        <v>147</v>
      </c>
      <c r="C14">
        <v>10</v>
      </c>
    </row>
    <row r="15" spans="1:4" x14ac:dyDescent="0.3">
      <c r="B15" t="s">
        <v>148</v>
      </c>
      <c r="C15">
        <f>100+5*C13</f>
        <v>140</v>
      </c>
    </row>
    <row r="16" spans="1:4" x14ac:dyDescent="0.3">
      <c r="B16" t="s">
        <v>149</v>
      </c>
      <c r="C16">
        <f>140+5*C14</f>
        <v>190</v>
      </c>
    </row>
    <row r="17" spans="2:3" x14ac:dyDescent="0.3">
      <c r="B17" t="s">
        <v>150</v>
      </c>
      <c r="C17">
        <v>8</v>
      </c>
    </row>
    <row r="19" spans="2:3" x14ac:dyDescent="0.3">
      <c r="B19" t="s">
        <v>151</v>
      </c>
      <c r="C19">
        <f>1.2*D3</f>
        <v>9.6</v>
      </c>
    </row>
    <row r="20" spans="2:3" x14ac:dyDescent="0.3">
      <c r="B20" t="s">
        <v>152</v>
      </c>
      <c r="C20">
        <v>10</v>
      </c>
    </row>
    <row r="21" spans="2:3" x14ac:dyDescent="0.3">
      <c r="B21" t="s">
        <v>153</v>
      </c>
      <c r="C21">
        <f>1.2*C14</f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EDAC-1133-4F69-A650-9F5E891704A2}">
  <dimension ref="A1:I20"/>
  <sheetViews>
    <sheetView topLeftCell="A6" zoomScale="130" zoomScaleNormal="130" workbookViewId="0">
      <selection activeCell="A23" sqref="A23"/>
    </sheetView>
  </sheetViews>
  <sheetFormatPr defaultRowHeight="14" x14ac:dyDescent="0.3"/>
  <cols>
    <col min="1" max="1" width="37.9140625" customWidth="1"/>
  </cols>
  <sheetData>
    <row r="1" spans="1:9" ht="42" x14ac:dyDescent="0.3">
      <c r="A1" s="5" t="s">
        <v>88</v>
      </c>
    </row>
    <row r="2" spans="1:9" x14ac:dyDescent="0.3">
      <c r="A2" t="s">
        <v>0</v>
      </c>
      <c r="B2" s="6">
        <v>3.5</v>
      </c>
      <c r="C2" s="6"/>
      <c r="D2" s="6"/>
      <c r="E2" s="6"/>
      <c r="F2" s="6"/>
      <c r="G2" s="6"/>
      <c r="H2" s="6"/>
      <c r="I2" s="6"/>
    </row>
    <row r="3" spans="1:9" x14ac:dyDescent="0.3">
      <c r="A3" t="s">
        <v>1</v>
      </c>
      <c r="B3" s="6">
        <v>1.8</v>
      </c>
      <c r="C3" s="6"/>
      <c r="D3" s="6"/>
      <c r="E3" s="6"/>
      <c r="F3" s="6"/>
      <c r="G3" s="6"/>
      <c r="H3" s="6"/>
      <c r="I3" s="6"/>
    </row>
    <row r="4" spans="1:9" x14ac:dyDescent="0.3">
      <c r="A4" t="s">
        <v>2</v>
      </c>
      <c r="B4" s="6">
        <v>350</v>
      </c>
      <c r="C4" s="6"/>
      <c r="D4" s="6"/>
      <c r="E4" s="6"/>
      <c r="F4" s="6"/>
      <c r="G4" s="6"/>
      <c r="H4" s="6"/>
      <c r="I4" s="6"/>
    </row>
    <row r="5" spans="1:9" x14ac:dyDescent="0.3">
      <c r="A5" s="1" t="s">
        <v>3</v>
      </c>
      <c r="B5" s="7">
        <f>B2*B3</f>
        <v>6.3</v>
      </c>
      <c r="C5" s="6"/>
      <c r="D5" s="6"/>
      <c r="E5" s="6"/>
      <c r="F5" s="6"/>
      <c r="G5" s="6"/>
      <c r="H5" s="6"/>
      <c r="I5" s="6"/>
    </row>
    <row r="6" spans="1:9" x14ac:dyDescent="0.3">
      <c r="A6" t="s">
        <v>4</v>
      </c>
      <c r="B6" s="6">
        <v>1000</v>
      </c>
      <c r="C6" s="6"/>
      <c r="D6" s="6"/>
      <c r="E6" s="6"/>
      <c r="F6" s="6"/>
      <c r="G6" s="6"/>
      <c r="H6" s="6"/>
      <c r="I6" s="6"/>
    </row>
    <row r="7" spans="1:9" x14ac:dyDescent="0.3">
      <c r="A7" t="s">
        <v>5</v>
      </c>
      <c r="B7" s="6">
        <v>0.96</v>
      </c>
      <c r="C7" s="6"/>
      <c r="D7" s="6"/>
      <c r="E7" s="6"/>
      <c r="F7" s="6"/>
      <c r="G7" s="6"/>
      <c r="H7" s="6"/>
      <c r="I7" s="6"/>
    </row>
    <row r="8" spans="1:9" x14ac:dyDescent="0.3">
      <c r="A8" t="s">
        <v>6</v>
      </c>
      <c r="B8" s="6">
        <v>0.98</v>
      </c>
      <c r="C8" s="6"/>
      <c r="D8" s="6"/>
      <c r="E8" s="6"/>
      <c r="F8" s="6"/>
      <c r="G8" s="6"/>
      <c r="H8" s="6"/>
      <c r="I8" s="6"/>
    </row>
    <row r="9" spans="1:9" x14ac:dyDescent="0.3">
      <c r="A9" t="s">
        <v>7</v>
      </c>
      <c r="B9" s="6">
        <v>0.96</v>
      </c>
      <c r="C9" s="6"/>
      <c r="D9" s="6"/>
      <c r="E9" s="6"/>
      <c r="F9" s="6"/>
      <c r="G9" s="6"/>
      <c r="H9" s="6"/>
      <c r="I9" s="6"/>
    </row>
    <row r="10" spans="1:9" x14ac:dyDescent="0.3">
      <c r="A10" t="s">
        <v>8</v>
      </c>
      <c r="B10" s="6">
        <v>0.99</v>
      </c>
      <c r="C10" s="6"/>
      <c r="D10" s="6"/>
      <c r="E10" s="6"/>
      <c r="F10" s="6"/>
      <c r="G10" s="6"/>
      <c r="H10" s="6"/>
      <c r="I10" s="6"/>
    </row>
    <row r="11" spans="1:9" x14ac:dyDescent="0.3">
      <c r="A11" s="1" t="s">
        <v>9</v>
      </c>
      <c r="B11" s="7">
        <f>B7*B8^3*B9*B10</f>
        <v>0.85872852172799985</v>
      </c>
      <c r="C11" s="6"/>
      <c r="D11" s="6"/>
      <c r="E11" s="6"/>
      <c r="F11" s="6"/>
      <c r="G11" s="6"/>
      <c r="H11" s="6"/>
      <c r="I11" s="6"/>
    </row>
    <row r="12" spans="1:9" x14ac:dyDescent="0.3">
      <c r="A12" s="1" t="s">
        <v>10</v>
      </c>
      <c r="B12" s="7">
        <f>B5/B11</f>
        <v>7.3364280335334078</v>
      </c>
      <c r="C12" s="6"/>
      <c r="D12" s="6"/>
      <c r="E12" s="6"/>
      <c r="F12" s="6"/>
      <c r="G12" s="6"/>
      <c r="H12" s="6"/>
      <c r="I12" s="6"/>
    </row>
    <row r="13" spans="1:9" x14ac:dyDescent="0.3">
      <c r="A13" s="1" t="s">
        <v>11</v>
      </c>
      <c r="B13" s="7">
        <v>7.5</v>
      </c>
      <c r="C13" s="6" t="s">
        <v>20</v>
      </c>
      <c r="D13" s="6" t="s">
        <v>12</v>
      </c>
      <c r="E13" s="6"/>
      <c r="F13" s="6"/>
      <c r="G13" s="6"/>
      <c r="H13" s="6"/>
      <c r="I13" s="6"/>
    </row>
    <row r="14" spans="1:9" x14ac:dyDescent="0.3">
      <c r="A14" t="s">
        <v>13</v>
      </c>
      <c r="B14" s="6">
        <v>970</v>
      </c>
      <c r="C14" s="6"/>
      <c r="D14" s="6"/>
      <c r="E14" s="6"/>
      <c r="F14" s="6"/>
      <c r="G14" s="6"/>
      <c r="H14" s="6"/>
      <c r="I14" s="6"/>
    </row>
    <row r="15" spans="1:9" x14ac:dyDescent="0.3">
      <c r="A15" t="s">
        <v>89</v>
      </c>
      <c r="B15" s="6">
        <v>9.8706481481481472</v>
      </c>
      <c r="C15" s="6"/>
      <c r="D15" s="6"/>
      <c r="E15" s="6"/>
      <c r="F15" s="6"/>
      <c r="G15" s="6"/>
      <c r="H15" s="6"/>
      <c r="I15" s="6"/>
    </row>
    <row r="16" spans="1:9" x14ac:dyDescent="0.3">
      <c r="A16" t="s">
        <v>16</v>
      </c>
      <c r="B16" s="6">
        <v>3.06</v>
      </c>
      <c r="C16" s="6">
        <v>3.13</v>
      </c>
      <c r="D16" s="6">
        <v>3.25</v>
      </c>
      <c r="E16" s="6">
        <v>3.19</v>
      </c>
      <c r="F16" s="6">
        <v>3.18</v>
      </c>
      <c r="G16" s="6">
        <v>3.23</v>
      </c>
      <c r="H16" s="6">
        <v>3.17</v>
      </c>
      <c r="I16" s="6">
        <v>3.21</v>
      </c>
    </row>
    <row r="17" spans="1:9" x14ac:dyDescent="0.3">
      <c r="A17" t="s">
        <v>17</v>
      </c>
      <c r="B17" s="6">
        <v>29</v>
      </c>
      <c r="C17" s="6">
        <v>31</v>
      </c>
      <c r="D17" s="6">
        <v>31</v>
      </c>
      <c r="E17" s="6">
        <v>41</v>
      </c>
      <c r="F17" s="6">
        <v>43</v>
      </c>
      <c r="G17" s="6">
        <v>43</v>
      </c>
      <c r="H17" s="6">
        <v>47</v>
      </c>
      <c r="I17" s="6">
        <v>47</v>
      </c>
    </row>
    <row r="18" spans="1:9" x14ac:dyDescent="0.3">
      <c r="A18" t="s">
        <v>18</v>
      </c>
      <c r="B18" s="6">
        <v>89</v>
      </c>
      <c r="C18" s="6">
        <v>97</v>
      </c>
      <c r="D18" s="6">
        <v>101</v>
      </c>
      <c r="E18" s="6">
        <v>131</v>
      </c>
      <c r="F18" s="6">
        <v>137</v>
      </c>
      <c r="G18" s="6">
        <v>139</v>
      </c>
      <c r="H18" s="6">
        <v>149</v>
      </c>
      <c r="I18" s="6">
        <v>151</v>
      </c>
    </row>
    <row r="19" spans="1:9" x14ac:dyDescent="0.3">
      <c r="A19" t="s">
        <v>98</v>
      </c>
      <c r="B19" s="6" t="s">
        <v>90</v>
      </c>
      <c r="C19" s="6" t="s">
        <v>91</v>
      </c>
      <c r="D19" s="6" t="s">
        <v>92</v>
      </c>
      <c r="E19" s="6" t="s">
        <v>93</v>
      </c>
      <c r="F19" s="6" t="s">
        <v>94</v>
      </c>
      <c r="G19" s="6" t="s">
        <v>95</v>
      </c>
      <c r="H19" s="6" t="s">
        <v>96</v>
      </c>
      <c r="I19" s="6" t="s">
        <v>97</v>
      </c>
    </row>
    <row r="20" spans="1:9" x14ac:dyDescent="0.3">
      <c r="A20" t="s">
        <v>19</v>
      </c>
      <c r="B20">
        <f>$B$15/B16</f>
        <v>3.2257020091987409</v>
      </c>
      <c r="C20">
        <f t="shared" ref="C20:I20" si="0">$B$15/C16</f>
        <v>3.1535617086735295</v>
      </c>
      <c r="D20">
        <f t="shared" si="0"/>
        <v>3.0371225071225068</v>
      </c>
      <c r="E20">
        <f t="shared" si="0"/>
        <v>3.0942470683849992</v>
      </c>
      <c r="F20">
        <f t="shared" si="0"/>
        <v>3.1039774050780333</v>
      </c>
      <c r="G20">
        <f t="shared" si="0"/>
        <v>3.0559282192409123</v>
      </c>
      <c r="H20">
        <f t="shared" si="0"/>
        <v>3.113769131907933</v>
      </c>
      <c r="I20">
        <f t="shared" si="0"/>
        <v>3.0749682704511363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齿轮、带传动</vt:lpstr>
      <vt:lpstr>轴设计</vt:lpstr>
      <vt:lpstr>减速器设计</vt:lpstr>
      <vt:lpstr>组内分组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oyh</dc:creator>
  <cp:lastModifiedBy>yu'heng ou</cp:lastModifiedBy>
  <dcterms:created xsi:type="dcterms:W3CDTF">2015-06-05T18:19:34Z</dcterms:created>
  <dcterms:modified xsi:type="dcterms:W3CDTF">2024-01-20T19:06:57Z</dcterms:modified>
</cp:coreProperties>
</file>