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n-nas\館內用\北區分館\瀞文\_書單\北區\第3次\"/>
    </mc:Choice>
  </mc:AlternateContent>
  <bookViews>
    <workbookView xWindow="0" yWindow="0" windowWidth="15180" windowHeight="10065"/>
  </bookViews>
  <sheets>
    <sheet name="選書書單" sheetId="2" r:id="rId1"/>
  </sheets>
  <definedNames>
    <definedName name="_xlnm._FilterDatabase" localSheetId="0" hidden="1">選書書單!$A$4:$R$963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L962" i="2" s="1"/>
  <c r="J5" i="2"/>
  <c r="L5" i="2" s="1"/>
  <c r="L963" i="2" l="1"/>
  <c r="L3" i="2" s="1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79" i="2"/>
  <c r="R378" i="2"/>
  <c r="R377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U79" i="2" l="1"/>
  <c r="R79" i="2"/>
  <c r="U78" i="2"/>
  <c r="R78" i="2"/>
  <c r="U77" i="2"/>
  <c r="R77" i="2"/>
  <c r="U76" i="2"/>
  <c r="R76" i="2"/>
  <c r="U75" i="2"/>
  <c r="R75" i="2"/>
  <c r="U74" i="2"/>
  <c r="R74" i="2"/>
  <c r="U73" i="2"/>
  <c r="R73" i="2"/>
  <c r="U72" i="2"/>
  <c r="R72" i="2"/>
  <c r="U71" i="2"/>
  <c r="R71" i="2"/>
  <c r="U70" i="2"/>
  <c r="R70" i="2"/>
  <c r="U69" i="2"/>
  <c r="R69" i="2"/>
  <c r="U68" i="2"/>
  <c r="R68" i="2"/>
  <c r="U67" i="2"/>
  <c r="R67" i="2"/>
  <c r="U66" i="2"/>
  <c r="R66" i="2"/>
  <c r="U65" i="2"/>
  <c r="R65" i="2"/>
  <c r="U64" i="2"/>
  <c r="R64" i="2"/>
  <c r="U63" i="2"/>
  <c r="R63" i="2"/>
  <c r="U62" i="2"/>
  <c r="R62" i="2"/>
  <c r="U61" i="2"/>
  <c r="R61" i="2"/>
  <c r="U60" i="2"/>
  <c r="R60" i="2"/>
  <c r="U59" i="2"/>
  <c r="R59" i="2"/>
  <c r="U58" i="2"/>
  <c r="R58" i="2"/>
  <c r="U57" i="2"/>
  <c r="R57" i="2"/>
  <c r="U56" i="2"/>
  <c r="R56" i="2"/>
  <c r="U55" i="2"/>
  <c r="R55" i="2"/>
  <c r="U54" i="2"/>
  <c r="R54" i="2"/>
  <c r="U53" i="2"/>
  <c r="R53" i="2"/>
  <c r="U52" i="2"/>
  <c r="R52" i="2"/>
  <c r="U51" i="2"/>
  <c r="R51" i="2"/>
  <c r="U50" i="2"/>
  <c r="R50" i="2"/>
  <c r="U49" i="2"/>
  <c r="R49" i="2"/>
  <c r="U48" i="2"/>
  <c r="R48" i="2"/>
  <c r="U47" i="2"/>
  <c r="R47" i="2"/>
  <c r="U45" i="2"/>
  <c r="R45" i="2"/>
  <c r="U44" i="2"/>
  <c r="R44" i="2"/>
  <c r="U43" i="2"/>
  <c r="R43" i="2"/>
  <c r="U42" i="2"/>
  <c r="R42" i="2"/>
  <c r="U41" i="2"/>
  <c r="R41" i="2"/>
  <c r="U40" i="2"/>
  <c r="R40" i="2"/>
  <c r="U39" i="2"/>
  <c r="R39" i="2"/>
  <c r="U38" i="2"/>
  <c r="R38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R20" i="2"/>
</calcChain>
</file>

<file path=xl/sharedStrings.xml><?xml version="1.0" encoding="utf-8"?>
<sst xmlns="http://schemas.openxmlformats.org/spreadsheetml/2006/main" count="6986" uniqueCount="3448">
  <si>
    <t>小計</t>
  </si>
  <si>
    <t>序號</t>
    <phoneticPr fontId="6" type="noConversion"/>
  </si>
  <si>
    <t>書名</t>
    <phoneticPr fontId="6" type="noConversion"/>
  </si>
  <si>
    <t>作者</t>
    <phoneticPr fontId="6" type="noConversion"/>
  </si>
  <si>
    <t>出版者</t>
    <phoneticPr fontId="4" type="noConversion"/>
  </si>
  <si>
    <t>ISBN</t>
    <phoneticPr fontId="6" type="noConversion"/>
  </si>
  <si>
    <t>訂購數量</t>
    <phoneticPr fontId="6" type="noConversion"/>
  </si>
  <si>
    <t xml:space="preserve">定價
</t>
    <phoneticPr fontId="3" type="noConversion"/>
  </si>
  <si>
    <t xml:space="preserve">館別(代碼):         分館(      )                                                                            </t>
    <phoneticPr fontId="4" type="noConversion"/>
  </si>
  <si>
    <t xml:space="preserve">資料類型/特藏號
</t>
    <phoneticPr fontId="6" type="noConversion"/>
  </si>
  <si>
    <t>主題分類</t>
    <phoneticPr fontId="3" type="noConversion"/>
  </si>
  <si>
    <r>
      <t xml:space="preserve">折扣價
</t>
    </r>
    <r>
      <rPr>
        <b/>
        <sz val="12"/>
        <color rgb="FFFF0000"/>
        <rFont val="標楷體"/>
        <family val="4"/>
        <charset val="136"/>
      </rPr>
      <t>(78折)</t>
    </r>
    <r>
      <rPr>
        <b/>
        <sz val="12"/>
        <rFont val="標楷體"/>
        <family val="4"/>
        <charset val="136"/>
      </rPr>
      <t xml:space="preserve">
</t>
    </r>
    <phoneticPr fontId="4" type="noConversion"/>
  </si>
  <si>
    <t xml:space="preserve">出版日期    </t>
    <phoneticPr fontId="4" type="noConversion"/>
  </si>
  <si>
    <t>連結</t>
    <phoneticPr fontId="3" type="noConversion"/>
  </si>
  <si>
    <t xml:space="preserve">館藏地代碼
</t>
  </si>
  <si>
    <t>得獎/推薦1</t>
    <phoneticPr fontId="3" type="noConversion"/>
  </si>
  <si>
    <t>得獎/推薦2</t>
    <phoneticPr fontId="3" type="noConversion"/>
  </si>
  <si>
    <t>套書/複本</t>
    <phoneticPr fontId="3" type="noConversion"/>
  </si>
  <si>
    <t>書單來源</t>
    <phoneticPr fontId="3" type="noConversion"/>
  </si>
  <si>
    <t>採編提</t>
    <phoneticPr fontId="3" type="noConversion"/>
  </si>
  <si>
    <r>
      <t>「108年中文圖書」採購清冊(</t>
    </r>
    <r>
      <rPr>
        <b/>
        <sz val="18"/>
        <color rgb="FFFF0000"/>
        <rFont val="標楷體"/>
        <family val="4"/>
        <charset val="136"/>
      </rPr>
      <t>108</t>
    </r>
    <r>
      <rPr>
        <b/>
        <sz val="18"/>
        <rFont val="標楷體"/>
        <family val="4"/>
        <charset val="136"/>
      </rPr>
      <t>. 1 .  提交 )</t>
    </r>
    <phoneticPr fontId="4" type="noConversion"/>
  </si>
  <si>
    <t>起源</t>
    <phoneticPr fontId="3" type="noConversion"/>
  </si>
  <si>
    <t xml:space="preserve"> 丹‧布朗</t>
    <phoneticPr fontId="3" type="noConversion"/>
  </si>
  <si>
    <t>時報出版</t>
    <phoneticPr fontId="3" type="noConversion"/>
  </si>
  <si>
    <t>https://www.books.com.tw/products/0010785484</t>
    <phoneticPr fontId="3" type="noConversion"/>
  </si>
  <si>
    <t>《達文西密碼》驚人續集，揭開人類最神祕的生死密碼羅柏．蘭登系列新作，再度橫掃全球暢銷書榜冠軍</t>
    <phoneticPr fontId="3" type="noConversion"/>
  </si>
  <si>
    <t>想把餘生的溫柔都給你</t>
    <phoneticPr fontId="3" type="noConversion"/>
  </si>
  <si>
    <t xml:space="preserve"> 不朽</t>
    <phoneticPr fontId="3" type="noConversion"/>
  </si>
  <si>
    <t>悅知文化</t>
    <phoneticPr fontId="3" type="noConversion"/>
  </si>
  <si>
    <t>https://www.books.com.tw/products/0010787382</t>
    <phoneticPr fontId="3" type="noConversion"/>
  </si>
  <si>
    <t>2018誠品年度十大暢銷書榜</t>
    <phoneticPr fontId="3" type="noConversion"/>
  </si>
  <si>
    <t>年度暢銷作家
 眾人期待許久，第一部全新創作集</t>
    <phoneticPr fontId="3" type="noConversion"/>
  </si>
  <si>
    <t>文學小說/散文</t>
    <phoneticPr fontId="3" type="noConversion"/>
  </si>
  <si>
    <t>龍應台</t>
    <phoneticPr fontId="3" type="noConversion"/>
  </si>
  <si>
    <t>天下雜誌</t>
    <phoneticPr fontId="3" type="noConversion"/>
  </si>
  <si>
    <t>阿賴耶之人狐傳奇</t>
    <phoneticPr fontId="3" type="noConversion"/>
  </si>
  <si>
    <t>王蘊</t>
    <phoneticPr fontId="3" type="noConversion"/>
  </si>
  <si>
    <t>第十年的情人節</t>
    <phoneticPr fontId="3" type="noConversion"/>
  </si>
  <si>
    <t>在顛沛流離的世界裡，你還有我啊</t>
    <phoneticPr fontId="3" type="noConversion"/>
  </si>
  <si>
    <t>再謊言拆穿之前</t>
    <phoneticPr fontId="3" type="noConversion"/>
  </si>
  <si>
    <t>刺殺騎士團長</t>
    <phoneticPr fontId="3" type="noConversion"/>
  </si>
  <si>
    <t xml:space="preserve">天長地久：給美君的信 </t>
    <phoneticPr fontId="3" type="noConversion"/>
  </si>
  <si>
    <t>https://www.books.com.tw/products/0010783392</t>
    <phoneticPr fontId="3" type="noConversion"/>
  </si>
  <si>
    <t>一本跨代凝視的親密讀本</t>
    <phoneticPr fontId="3" type="noConversion"/>
  </si>
  <si>
    <t>https://www.books.com.tw/products/0010776060?loc=P_007_004</t>
    <phoneticPr fontId="3" type="noConversion"/>
  </si>
  <si>
    <t>拾慧文化創意有限公司</t>
    <phoneticPr fontId="3" type="noConversion"/>
  </si>
  <si>
    <t>王薀老師繼心理勵志暢銷書之後，向一代文豪紀曉嵐致敬，打造現代奇幻穿越故事《阿賴耶》首部曲</t>
    <phoneticPr fontId="3" type="noConversion"/>
  </si>
  <si>
    <t xml:space="preserve">Re-think重新思考：關於WHW的故事，一個不可思議見證奇蹟的夢幻之旅 </t>
    <phoneticPr fontId="3" type="noConversion"/>
  </si>
  <si>
    <t xml:space="preserve"> 謝貞德</t>
    <phoneticPr fontId="3" type="noConversion"/>
  </si>
  <si>
    <t>商周出版</t>
    <phoneticPr fontId="3" type="noConversion"/>
  </si>
  <si>
    <t>人生50開始也不晚
從「WHW」法則到反敗為勝的奇蹟之旅</t>
    <phoneticPr fontId="3" type="noConversion"/>
  </si>
  <si>
    <t>商業理財/職場工作術</t>
    <phoneticPr fontId="3" type="noConversion"/>
  </si>
  <si>
    <t xml:space="preserve"> 東野圭吾</t>
    <phoneticPr fontId="3" type="noConversion"/>
  </si>
  <si>
    <t>春天出版社</t>
    <phoneticPr fontId="3" type="noConversion"/>
  </si>
  <si>
    <t>繼《解憂雜貨店》後，最溫馨幽默又令人驚嘆的東野圭吾</t>
    <phoneticPr fontId="3" type="noConversion"/>
  </si>
  <si>
    <t>我輩中人：寫給中年人的情書</t>
    <phoneticPr fontId="3" type="noConversion"/>
  </si>
  <si>
    <t>張曼娟</t>
    <phoneticPr fontId="3" type="noConversion"/>
  </si>
  <si>
    <t>天下文化</t>
    <phoneticPr fontId="3" type="noConversion"/>
  </si>
  <si>
    <t>* 張曼娟首次書寫中年的覺醒．幸福的定義</t>
    <phoneticPr fontId="3" type="noConversion"/>
  </si>
  <si>
    <t>樂齡</t>
    <phoneticPr fontId="3" type="noConversion"/>
  </si>
  <si>
    <t>https://www.books.com.tw/products/0010782501</t>
    <phoneticPr fontId="3" type="noConversion"/>
  </si>
  <si>
    <t>https://www.books.com.tw/products/0010780322</t>
    <phoneticPr fontId="3" type="noConversion"/>
  </si>
  <si>
    <t>https://www.books.com.tw/products/0010782806</t>
    <phoneticPr fontId="3" type="noConversion"/>
  </si>
  <si>
    <t>https://www.books.com.tw/products/0010785841</t>
    <phoneticPr fontId="3" type="noConversion"/>
  </si>
  <si>
    <t xml:space="preserve"> Peter Su</t>
    <phoneticPr fontId="3" type="noConversion"/>
  </si>
  <si>
    <t>布克文化</t>
    <phoneticPr fontId="3" type="noConversion"/>
  </si>
  <si>
    <t>心理勵志/勵志故事</t>
    <phoneticPr fontId="3" type="noConversion"/>
  </si>
  <si>
    <t>鼓勵年輕讀者走向未知的前方</t>
    <phoneticPr fontId="3" type="noConversion"/>
  </si>
  <si>
    <t>青少年</t>
    <phoneticPr fontId="3" type="noConversion"/>
  </si>
  <si>
    <t>川口俊和</t>
    <phoneticPr fontId="3" type="noConversion"/>
  </si>
  <si>
    <t>2017誠品年度暢銷總榜TOP 5
2017博客來年度暢銷總榜TOP29‧翻譯小說榜TOP2                 　日本銷售突破60萬冊之《在咖啡冷掉之前》七年後的故事！</t>
    <phoneticPr fontId="3" type="noConversion"/>
  </si>
  <si>
    <t>村上春樹</t>
    <phoneticPr fontId="3" type="noConversion"/>
  </si>
  <si>
    <t>https://www.books.com.tw/products/0010770990</t>
    <phoneticPr fontId="3" type="noConversion"/>
  </si>
  <si>
    <t xml:space="preserve">
 自1Q84後睽違七年 村上本格長篇小說鉅作</t>
    <phoneticPr fontId="3" type="noConversion"/>
  </si>
  <si>
    <t>文學小說</t>
    <phoneticPr fontId="3" type="noConversion"/>
  </si>
  <si>
    <t>https://www.books.com.tw/products/0010785183</t>
    <phoneticPr fontId="3" type="noConversion"/>
  </si>
  <si>
    <t>2018博客來年度十大暢銷書榜</t>
    <phoneticPr fontId="3" type="noConversion"/>
  </si>
  <si>
    <t>2018誠品年度十大暢銷書榜、2018博客來年度十大暢銷書榜</t>
    <phoneticPr fontId="3" type="noConversion"/>
  </si>
  <si>
    <t xml:space="preserve">薩提爾的對話練習：以好奇的姿態，理解你的內在冰山，探索自己，連結他人(書+有聲CD兩片) </t>
    <phoneticPr fontId="3" type="noConversion"/>
  </si>
  <si>
    <t>https://www.books.com.tw/products/0010770522</t>
    <phoneticPr fontId="3" type="noConversion"/>
  </si>
  <si>
    <t>李崇建</t>
    <phoneticPr fontId="3" type="noConversion"/>
  </si>
  <si>
    <t>親子天下</t>
    <phoneticPr fontId="3" type="noConversion"/>
  </si>
  <si>
    <t>《對話的力量》《心教》《麥田裡的老師》作者李崇建2017年暖心之作</t>
    <phoneticPr fontId="3" type="noConversion"/>
  </si>
  <si>
    <t>心理勵志/ 心靈成長</t>
    <phoneticPr fontId="3" type="noConversion"/>
  </si>
  <si>
    <t>可以善良，但你要有底線不當好人：人際關係斷‧捨‧離，勉強自己和別人好，不如找人真心對你好</t>
    <phoneticPr fontId="3" type="noConversion"/>
  </si>
  <si>
    <t xml:space="preserve">午堂登紀雄 </t>
    <phoneticPr fontId="3" type="noConversion"/>
  </si>
  <si>
    <t>方言文化</t>
    <phoneticPr fontId="3" type="noConversion"/>
  </si>
  <si>
    <t>心理勵志/人際關係</t>
    <phoneticPr fontId="3" type="noConversion"/>
  </si>
  <si>
    <t>https://www.books.com.tw/products/0010768630</t>
    <phoneticPr fontId="3" type="noConversion"/>
  </si>
  <si>
    <t xml:space="preserve">原則：生活和工作 </t>
    <phoneticPr fontId="3" type="noConversion"/>
  </si>
  <si>
    <t>https://www.books.com.tw/products/0010782941</t>
    <phoneticPr fontId="3" type="noConversion"/>
  </si>
  <si>
    <t xml:space="preserve"> 瑞．達利歐 </t>
    <phoneticPr fontId="3" type="noConversion"/>
  </si>
  <si>
    <t xml:space="preserve">商業周刊  
</t>
    <phoneticPr fontId="3" type="noConversion"/>
  </si>
  <si>
    <t>☆淬煉40年、價值1,500億美元的成功法，不藏私公開☆</t>
    <phoneticPr fontId="3" type="noConversion"/>
  </si>
  <si>
    <t>商業理財/ 自我成長</t>
    <phoneticPr fontId="3" type="noConversion"/>
  </si>
  <si>
    <t xml:space="preserve">緣來，我愛你：遇見值得被愛的自己 </t>
    <phoneticPr fontId="3" type="noConversion"/>
  </si>
  <si>
    <t>https://www.books.com.tw/products/0010771261</t>
    <phoneticPr fontId="3" type="noConversion"/>
  </si>
  <si>
    <t>★排行榜暢銷作家第三本感動人心誠摯力作！</t>
    <phoneticPr fontId="3" type="noConversion"/>
  </si>
  <si>
    <t>心理勵志/心靈成長</t>
    <phoneticPr fontId="3" type="noConversion"/>
  </si>
  <si>
    <t xml:space="preserve"> 紫嚴導師</t>
    <phoneticPr fontId="3" type="noConversion"/>
  </si>
  <si>
    <t xml:space="preserve">PCuSER電腦人文化 </t>
    <phoneticPr fontId="3" type="noConversion"/>
  </si>
  <si>
    <t xml:space="preserve">真確：扭轉十大直覺偏誤，發現事情比你想的美好 </t>
    <phoneticPr fontId="3" type="noConversion"/>
  </si>
  <si>
    <t>https://www.books.com.tw/products/0010790443</t>
    <phoneticPr fontId="3" type="noConversion"/>
  </si>
  <si>
    <t>漢斯．羅斯林, 奧拉．羅斯林, 安娜．羅朗德</t>
    <phoneticPr fontId="3" type="noConversion"/>
  </si>
  <si>
    <t>先覺</t>
    <phoneticPr fontId="3" type="noConversion"/>
  </si>
  <si>
    <t>★十度登上TED大會演說，知名公共教育家漢斯．羅斯林的唯一著作</t>
    <phoneticPr fontId="3" type="noConversion"/>
  </si>
  <si>
    <t>商業理財/ 觀念趨勢</t>
    <phoneticPr fontId="3" type="noConversion"/>
  </si>
  <si>
    <t>懸崖上的野餐</t>
    <phoneticPr fontId="3" type="noConversion"/>
  </si>
  <si>
    <t>瓊恩．琳西（Joan Lindsay）著，易萃雯譯</t>
  </si>
  <si>
    <t>臉譜出版</t>
    <phoneticPr fontId="3" type="noConversion"/>
  </si>
  <si>
    <t>openbook推薦第144期</t>
    <phoneticPr fontId="3" type="noConversion"/>
  </si>
  <si>
    <t>https://search.books.com.tw/search/query/key/9789862356951</t>
  </si>
  <si>
    <t>https://search.books.com.tw/search/query/key/</t>
    <phoneticPr fontId="3" type="noConversion"/>
  </si>
  <si>
    <t>貪吃女王</t>
    <phoneticPr fontId="3" type="noConversion"/>
  </si>
  <si>
    <t>安妮．格雷（Annie Gray）著，祁怡瑋譯</t>
  </si>
  <si>
    <t>麥田出版</t>
    <phoneticPr fontId="3" type="noConversion"/>
  </si>
  <si>
    <t>人文史地</t>
    <phoneticPr fontId="3" type="noConversion"/>
  </si>
  <si>
    <t>https://search.books.com.tw/search/query/key/9789863445913</t>
  </si>
  <si>
    <t>本質</t>
    <phoneticPr fontId="3" type="noConversion"/>
  </si>
  <si>
    <t>艾米爾．魯德（Emil Ruder）著，林欣璇譯， 葉忠宜｜卵形繪</t>
  </si>
  <si>
    <t>藝術設計</t>
    <phoneticPr fontId="3" type="noConversion"/>
  </si>
  <si>
    <t>https://search.books.com.tw/search/query/key/9789862357019</t>
  </si>
  <si>
    <t>勝算</t>
    <phoneticPr fontId="3" type="noConversion"/>
  </si>
  <si>
    <t>亞當・庫查司基（Adam Kucharski）著，甘錫安譯</t>
  </si>
  <si>
    <t>行路出版</t>
    <phoneticPr fontId="3" type="noConversion"/>
  </si>
  <si>
    <t>商業理財</t>
    <phoneticPr fontId="3" type="noConversion"/>
  </si>
  <si>
    <t>https://search.books.com.tw/search/query/key/9789869634823</t>
  </si>
  <si>
    <t>他是憂鬱，不是失智了</t>
    <phoneticPr fontId="3" type="noConversion"/>
  </si>
  <si>
    <t>和田秀樹著，楊詠婷譯</t>
  </si>
  <si>
    <t>仲間出版</t>
    <phoneticPr fontId="3" type="noConversion"/>
  </si>
  <si>
    <t>心理勵志</t>
    <phoneticPr fontId="3" type="noConversion"/>
  </si>
  <si>
    <t>https://search.books.com.tw/search/query/key/9789869645720</t>
  </si>
  <si>
    <t>沙皇時代</t>
  </si>
  <si>
    <t>賽門．蒙提費歐里（Simon Sebag Montefiore）著，陸大鵬譯</t>
  </si>
  <si>
    <t>馬可孛羅出版</t>
    <phoneticPr fontId="3" type="noConversion"/>
  </si>
  <si>
    <t>https://search.books.com.tw/search/query/key/9789578759305</t>
  </si>
  <si>
    <t>絕望的精神史</t>
  </si>
  <si>
    <t>金子光晴（Kaneko Mitsuharu）著，周芷羽譯</t>
  </si>
  <si>
    <t>https://search.books.com.tw/search/query/key/9789863445906</t>
  </si>
  <si>
    <t>未來簡史</t>
    <phoneticPr fontId="3" type="noConversion"/>
  </si>
  <si>
    <t>賈克．阿塔利（Jacques Attali）著，林心如譯</t>
  </si>
  <si>
    <t>避風港文化</t>
    <phoneticPr fontId="3" type="noConversion"/>
  </si>
  <si>
    <t>社會科學</t>
    <phoneticPr fontId="3" type="noConversion"/>
  </si>
  <si>
    <t>https://search.books.com.tw/search/query/key/9789869539388</t>
    <phoneticPr fontId="3" type="noConversion"/>
  </si>
  <si>
    <t>娃娃谷</t>
  </si>
  <si>
    <t>賈桂琳．蘇珊（Jacqueline Susann）著，楊沐希譯</t>
  </si>
  <si>
    <t>openbook推薦第145期</t>
    <phoneticPr fontId="3" type="noConversion"/>
  </si>
  <si>
    <t>https://search.books.com.tw/search/query/key/9789863445852</t>
  </si>
  <si>
    <t>上海大少爺</t>
  </si>
  <si>
    <t>黃熙文著</t>
  </si>
  <si>
    <t>大辣文化</t>
    <phoneticPr fontId="3" type="noConversion"/>
  </si>
  <si>
    <t>漫畫</t>
    <phoneticPr fontId="3" type="noConversion"/>
  </si>
  <si>
    <t>https://search.books.com.tw/search/query/key/9789866634871</t>
  </si>
  <si>
    <t>幻影女子</t>
  </si>
  <si>
    <t>康乃爾．伍立奇（Cornell Woolrich）著，葉妍伶譯</t>
  </si>
  <si>
    <t>馬可孛羅出版</t>
  </si>
  <si>
    <t>文學小說/推理</t>
    <phoneticPr fontId="3" type="noConversion"/>
  </si>
  <si>
    <t>https://search.books.com.tw/search/query/key/9789578759398</t>
  </si>
  <si>
    <t>挩窗去弄險：大士爺厚火氣</t>
  </si>
  <si>
    <t>鄭順聰著，洪福田繪</t>
  </si>
  <si>
    <t>前衛出版</t>
    <phoneticPr fontId="3" type="noConversion"/>
  </si>
  <si>
    <t>https://search.books.com.tw/search/query/key/9789578018556</t>
  </si>
  <si>
    <t>失落在膚色底下的歷史</t>
  </si>
  <si>
    <t>陳中動著</t>
    <phoneticPr fontId="3" type="noConversion"/>
  </si>
  <si>
    <t>行人文化</t>
    <phoneticPr fontId="3" type="noConversion"/>
  </si>
  <si>
    <t>https://search.books.com.tw/search/query/key/9789868319523</t>
  </si>
  <si>
    <t>垃圾與它們的產地</t>
  </si>
  <si>
    <t>安妮．雷納德（Annie Leonard）著，吳恬綾、黃亭睿譯</t>
  </si>
  <si>
    <t>自然科普</t>
    <phoneticPr fontId="3" type="noConversion"/>
  </si>
  <si>
    <t>https://search.books.com.tw/search/query/key/9789571375748</t>
  </si>
  <si>
    <t>這隻紅筆有多紅？</t>
  </si>
  <si>
    <t>文、圖：Mikey（倔強手帳）</t>
  </si>
  <si>
    <t>野人出版</t>
  </si>
  <si>
    <t>生活風格</t>
    <phoneticPr fontId="3" type="noConversion"/>
  </si>
  <si>
    <t>https://search.books.com.tw/search/query/key/9789863843184</t>
  </si>
  <si>
    <t>永夜漂流</t>
  </si>
  <si>
    <t>莉莉．布魯克斯－達爾頓（Lily Brooks-Dalton）著，康學慧譯</t>
  </si>
  <si>
    <t>https://search.books.com.tw/search/query/key/9789578787636</t>
  </si>
  <si>
    <t>知識學習的鍛鍊技術</t>
  </si>
  <si>
    <t>花村太郎著，鄭舜瓏譯</t>
  </si>
  <si>
    <t>遠流出版</t>
    <phoneticPr fontId="3" type="noConversion"/>
  </si>
  <si>
    <t>openbook推薦第146期</t>
    <phoneticPr fontId="3" type="noConversion"/>
  </si>
  <si>
    <t>https://search.books.com.tw/search/query/key/9789573283362</t>
  </si>
  <si>
    <t>王育德自傳暨補記</t>
  </si>
  <si>
    <t>王育德、王明理著，吳瑞雲、邱振瑞譯</t>
  </si>
  <si>
    <t>前衛出版</t>
  </si>
  <si>
    <t>https://search.books.com.tw/search/query/key/9789578018587</t>
  </si>
  <si>
    <t>大裂</t>
    <phoneticPr fontId="3" type="noConversion"/>
  </si>
  <si>
    <t>胡遷著</t>
    <phoneticPr fontId="3" type="noConversion"/>
  </si>
  <si>
    <t>https://search.books.com.tw/search/query/key/9789571375922</t>
  </si>
  <si>
    <t>經濟學的40堂公開課</t>
  </si>
  <si>
    <t>奈爾．傑斯坦尼（Niall Kishtainy）著，吳書榆譯</t>
  </si>
  <si>
    <t>漫遊者文化</t>
    <phoneticPr fontId="3" type="noConversion"/>
  </si>
  <si>
    <t>https://search.books.com.tw/search/query/key/9789864893126</t>
  </si>
  <si>
    <t>大腦的悖論</t>
  </si>
  <si>
    <t>埃爾克諾恩．高德伯（Elkhonon Goldberg）著，黃馨弘譯</t>
  </si>
  <si>
    <t>八旗文化</t>
    <phoneticPr fontId="3" type="noConversion"/>
  </si>
  <si>
    <t>https://search.books.com.tw/search/query/key/9789578654402</t>
  </si>
  <si>
    <t>台北步登公寓</t>
  </si>
  <si>
    <t>林君安著</t>
    <phoneticPr fontId="3" type="noConversion"/>
  </si>
  <si>
    <t>田園城市</t>
    <phoneticPr fontId="3" type="noConversion"/>
  </si>
  <si>
    <t>https://search.books.com.tw/search/query/key/9789869533966</t>
  </si>
  <si>
    <t>菇的呼風喚雨史</t>
  </si>
  <si>
    <t>顧曉哲著，林哲緯繪</t>
  </si>
  <si>
    <t>積木出版</t>
    <phoneticPr fontId="3" type="noConversion"/>
  </si>
  <si>
    <t>https://search.books.com.tw/search/query/key/9789864591459</t>
  </si>
  <si>
    <t>先跳了再說：我的履歷書</t>
  </si>
  <si>
    <t>倉本聰著，張秋明譯</t>
  </si>
  <si>
    <t>大瑰文化</t>
    <phoneticPr fontId="3" type="noConversion"/>
  </si>
  <si>
    <t>https://search.books.com.tw/search/query/key/9789862139288</t>
  </si>
  <si>
    <t>惡俗小說</t>
  </si>
  <si>
    <t>羅士庭著</t>
  </si>
  <si>
    <t>寶瓶文化</t>
  </si>
  <si>
    <t>openbook推薦第147期</t>
    <phoneticPr fontId="3" type="noConversion"/>
  </si>
  <si>
    <t>https://search.books.com.tw/search/query/key/9789864061396</t>
  </si>
  <si>
    <t>被消除的男孩</t>
  </si>
  <si>
    <t>賈若德．康里（Garrard Conley）著，宋瑛堂譯</t>
  </si>
  <si>
    <t>麥田出版</t>
  </si>
  <si>
    <t>https://search.books.com.tw/search/query/key/9789863445975</t>
  </si>
  <si>
    <t>爸爸什麼時候才能回家？</t>
  </si>
  <si>
    <t>王醒之著，王傑繪</t>
  </si>
  <si>
    <t>立言圖書</t>
    <phoneticPr fontId="3" type="noConversion"/>
  </si>
  <si>
    <t>繪本</t>
    <phoneticPr fontId="3" type="noConversion"/>
  </si>
  <si>
    <t>http://m.sanmin.com.tw/Product/index/006966019</t>
  </si>
  <si>
    <t>嗜讀者</t>
  </si>
  <si>
    <t>羅伯．葛特利（Robert Gottlieb）著，林少予譯</t>
  </si>
  <si>
    <t>東美出版</t>
  </si>
  <si>
    <t>https://search.books.com.tw/search/query/key/9789869541473</t>
  </si>
  <si>
    <t>禮物</t>
  </si>
  <si>
    <t>朱嘉漢著</t>
  </si>
  <si>
    <t>https://search.books.com.tw/search/query/key/9789571376080</t>
  </si>
  <si>
    <t>世界歷史上的蒙古征服</t>
  </si>
  <si>
    <t>梅天穆（Timothy May）著，馬曉林、求芝蓉譯</t>
  </si>
  <si>
    <t>廣場出版</t>
  </si>
  <si>
    <t>https://search.books.com.tw/search/query/key/9789869645256</t>
  </si>
  <si>
    <t>死刑肯定論</t>
  </si>
  <si>
    <t>森炎著，詹慕如譯</t>
    <phoneticPr fontId="3" type="noConversion"/>
  </si>
  <si>
    <t>光現出版</t>
    <phoneticPr fontId="3" type="noConversion"/>
  </si>
  <si>
    <t>https://search.books.com.tw/search/query/key/9789869620253</t>
  </si>
  <si>
    <t>365．天天貓和日麗</t>
  </si>
  <si>
    <t>文字、繪圖：中西直子，黃薇嬪譯</t>
  </si>
  <si>
    <t>https://search.books.com.tw/search/query/key/9789864893157</t>
  </si>
  <si>
    <t>有型的豬小姐</t>
  </si>
  <si>
    <t>李維菁著</t>
  </si>
  <si>
    <t>新經典文化</t>
    <phoneticPr fontId="3" type="noConversion"/>
  </si>
  <si>
    <t>openbook推薦第148期</t>
    <phoneticPr fontId="3" type="noConversion"/>
  </si>
  <si>
    <t>https://search.books.com.tw/search/query/key/9789869689250</t>
  </si>
  <si>
    <t>過度飲食心理學</t>
  </si>
  <si>
    <t>基瑪．卡吉兒（Kima Cargill）著，吳宜蓁、林麗雪譯</t>
  </si>
  <si>
    <t>https://search.books.com.tw/search/query/key/9789869620215</t>
  </si>
  <si>
    <t>成為這樣的我：蜜雪兒．歐巴馬</t>
  </si>
  <si>
    <t>蜜雪兒．歐巴馬（Michelle Obama）著，黃佳瑜、陳琇玲、林步昇譯</t>
    <phoneticPr fontId="3" type="noConversion"/>
  </si>
  <si>
    <t>商業周刊</t>
    <phoneticPr fontId="3" type="noConversion"/>
  </si>
  <si>
    <t>https://search.books.com.tw/search/query/key/9789867778444</t>
  </si>
  <si>
    <t>考現學入門</t>
  </si>
  <si>
    <t>今和次郎著，詹慕如、龔婉如譯</t>
  </si>
  <si>
    <t>https://search.books.com.tw/search/query/key/9789868319509</t>
  </si>
  <si>
    <t>性的解析 美國大學性教育講義3</t>
  </si>
  <si>
    <t>威廉．亞伯（William L. Yarber）、芭芭拉．薩雅德（Barbara W. Sayad）著，林哲安譯</t>
  </si>
  <si>
    <t>大家出版</t>
    <phoneticPr fontId="3" type="noConversion"/>
  </si>
  <si>
    <t>https://search.books.com.tw/search/query/key/9789869706940</t>
  </si>
  <si>
    <t>一千零一夜故事集</t>
  </si>
  <si>
    <t>約翰．培恩（John Payne）編，鄧嘉宛譯</t>
  </si>
  <si>
    <t>https://search.books.com.tw/search/query/key/9789864893133</t>
  </si>
  <si>
    <t>人間滅亡</t>
  </si>
  <si>
    <t>深澤七郎（深沢七郎）著，張珮瑩譯</t>
  </si>
  <si>
    <t>不二家出版</t>
    <phoneticPr fontId="3" type="noConversion"/>
  </si>
  <si>
    <t>文學小說/日本文學</t>
    <phoneticPr fontId="3" type="noConversion"/>
  </si>
  <si>
    <t>https://search.books.com.tw/search/query/key/9789869706902</t>
  </si>
  <si>
    <t>農民工與新工人</t>
    <phoneticPr fontId="3" type="noConversion"/>
  </si>
  <si>
    <t>潘毅、孟捷著</t>
  </si>
  <si>
    <t>交通大學出版社</t>
    <phoneticPr fontId="3" type="noConversion"/>
  </si>
  <si>
    <t>https://search.books.com.tw/search/query/key/9789869622042</t>
  </si>
  <si>
    <t>當小偷的第一天</t>
  </si>
  <si>
    <t>文、圖：劉旭恭</t>
  </si>
  <si>
    <t>巴巴文化</t>
    <phoneticPr fontId="3" type="noConversion"/>
  </si>
  <si>
    <t>https://search.books.com.tw/search/query/key/9789869629300</t>
  </si>
  <si>
    <t>喵嗚～漫畫論語教室</t>
  </si>
  <si>
    <t>文、圖：上重☆小百合（上重☆さゆり），小島毅監修，李彥樺譯</t>
  </si>
  <si>
    <t>小熊出版</t>
    <phoneticPr fontId="3" type="noConversion"/>
  </si>
  <si>
    <t>知識學習漫畫</t>
    <phoneticPr fontId="3" type="noConversion"/>
  </si>
  <si>
    <t>https://search.books.com.tw/search/query/key/9789578640542</t>
  </si>
  <si>
    <t>人體大百科</t>
  </si>
  <si>
    <t>文：米娜．雷西（Minna Lacey），圖：彼得．艾倫（Peter Allen），李欣怡譯</t>
  </si>
  <si>
    <t>臺灣麥克</t>
    <phoneticPr fontId="3" type="noConversion"/>
  </si>
  <si>
    <t>https://search.books.com.tw/search/query/key/9789862037706</t>
  </si>
  <si>
    <t>妮子的玩具箱</t>
  </si>
  <si>
    <t>文：陳素宜，圖：楊麗玲</t>
  </si>
  <si>
    <t>國語日報</t>
    <phoneticPr fontId="3" type="noConversion"/>
  </si>
  <si>
    <t>童書</t>
    <phoneticPr fontId="3" type="noConversion"/>
  </si>
  <si>
    <t>https://search.books.com.tw/search/query/key/9789577518217</t>
  </si>
  <si>
    <t>特別的朋友們</t>
  </si>
  <si>
    <t>文、圖：慶惠媛，蘇懿禎譯</t>
  </si>
  <si>
    <t>剛好閱讀</t>
    <phoneticPr fontId="3" type="noConversion"/>
  </si>
  <si>
    <t>https://search.books.com.tw/search/query/key/9789869501439</t>
  </si>
  <si>
    <t>可以跟你做朋友嗎 ?</t>
    <phoneticPr fontId="3" type="noConversion"/>
  </si>
  <si>
    <t>文：蘇菲．弗爾羅（Sophie Furlaud），圖：朵樂蒂．德蒙弗里（Dorothée de Monfreid）、索萊達．布拉沃（Soledad Bravi），許若雲、賈翊君譯</t>
  </si>
  <si>
    <t>上誼</t>
    <phoneticPr fontId="3" type="noConversion"/>
  </si>
  <si>
    <t>https://search.books.com.tw/search/query/key/9789577626479</t>
  </si>
  <si>
    <t>為什麼要說對不起？</t>
  </si>
  <si>
    <t>https://search.books.com.tw/search/query/key/9789577626486</t>
  </si>
  <si>
    <t>這不是個好主意</t>
  </si>
  <si>
    <t>文、圖：莫．威樂（Mo Willems），陳宏淑譯</t>
  </si>
  <si>
    <t>https://search.books.com.tw/search/query/key/9789577626431</t>
  </si>
  <si>
    <t>恐龍X光</t>
  </si>
  <si>
    <t>文、圖：慶惠媛，賴毓棻譯</t>
  </si>
  <si>
    <t>https://search.books.com.tw/search/query/key/9789869501484</t>
  </si>
  <si>
    <t>骨之旅</t>
    <phoneticPr fontId="3" type="noConversion"/>
  </si>
  <si>
    <t>文：松田素子，圖：川上和生，李彥樺譯</t>
  </si>
  <si>
    <t>https://search.books.com.tw/search/query/key/9789578640573</t>
  </si>
  <si>
    <t>看見了！</t>
  </si>
  <si>
    <t>文：蠟筆哥哥，圖：龐雅文</t>
  </si>
  <si>
    <t>格林文化</t>
    <phoneticPr fontId="3" type="noConversion"/>
  </si>
  <si>
    <t>https://search.books.com.tw/search/query/key/9789861898650</t>
  </si>
  <si>
    <t>環遊世界運動之旅</t>
  </si>
  <si>
    <t>文：達柯編輯群（Dalcò Edizioni），圖：費德里柯．馬里亞尼（Federico Mariani），李亮緯譯，閣林，1200元／文：米拉達．哥倫布（Miralda Colombo），圖：意拉利雅．費切里（Ilaria Faccioli），倪安宇譯</t>
  </si>
  <si>
    <t>閣林</t>
  </si>
  <si>
    <t>https://search.books.com.tw/search/query/key/9789862927281</t>
  </si>
  <si>
    <t>環遊世界城市之旅</t>
  </si>
  <si>
    <t>https://search.books.com.tw/search/query/key/9789862926512</t>
  </si>
  <si>
    <t>安妮．法蘭克</t>
  </si>
  <si>
    <t>文：約瑟芬．普利（ Josephine Poole），圖：安琪拉．芭蕾特（Angela Barrett），劉清彥譯</t>
  </si>
  <si>
    <t>維京</t>
    <phoneticPr fontId="3" type="noConversion"/>
  </si>
  <si>
    <t>青少年文學</t>
    <phoneticPr fontId="3" type="noConversion"/>
  </si>
  <si>
    <t>https://search.books.com.tw/search/query/key/9789864402571</t>
  </si>
  <si>
    <t>第二片天空</t>
  </si>
  <si>
    <t>文：派崔克．葛斯特（Patrick Guest），圖：強納森．賓利（Jonathan Bentley），李亭儀譯</t>
  </si>
  <si>
    <t>閣林</t>
    <phoneticPr fontId="3" type="noConversion"/>
  </si>
  <si>
    <t>https://search.books.com.tw/search/query/key/9789862927298</t>
  </si>
  <si>
    <t>我的媽媽</t>
    <phoneticPr fontId="3" type="noConversion"/>
  </si>
  <si>
    <t>文、圖：姜景琇（강경수），黃佁禎譯</t>
  </si>
  <si>
    <t>青林</t>
    <phoneticPr fontId="3" type="noConversion"/>
  </si>
  <si>
    <t>https://search.books.com.tw/search/query/key/9789862743713</t>
  </si>
  <si>
    <t>紅屁股小偷事件！</t>
  </si>
  <si>
    <t>文、圖：理查伯恩（Richard Byrne），王欣榆譯</t>
  </si>
  <si>
    <t>https://search.books.com.tw/search/query/key/9789861898483</t>
  </si>
  <si>
    <t>討厭的颱風</t>
  </si>
  <si>
    <t>文、圖：王春子</t>
  </si>
  <si>
    <t>遠流</t>
    <phoneticPr fontId="3" type="noConversion"/>
  </si>
  <si>
    <t>https://search.books.com.tw/search/query/key/9789573283737</t>
  </si>
  <si>
    <t>雪中遇見狼</t>
  </si>
  <si>
    <t>文、圖：馬修科戴爾（Matthew Cordell），張政婷譯</t>
  </si>
  <si>
    <t>https://search.books.com.tw/search/query/key/9789861898612</t>
  </si>
  <si>
    <t>逃難者</t>
  </si>
  <si>
    <t>文：艾倫．葛拉茲（Alan Gratz），圖：黃雅玲，郭恩惠譯</t>
  </si>
  <si>
    <t>https://search.books.com.tw/search/query/key/9789575030124</t>
  </si>
  <si>
    <t>openbook推薦第148期</t>
    <phoneticPr fontId="3" type="noConversion"/>
  </si>
  <si>
    <t>openbook童書第33期</t>
  </si>
  <si>
    <t>openbook童書第33期</t>
    <phoneticPr fontId="3" type="noConversion"/>
  </si>
  <si>
    <t>openbook童書第34期</t>
  </si>
  <si>
    <t>openbook童書第34期</t>
    <phoneticPr fontId="3" type="noConversion"/>
  </si>
  <si>
    <t>文學小說/世界經典</t>
    <phoneticPr fontId="3" type="noConversion"/>
  </si>
  <si>
    <t>文學小說/ 溫馨療癒</t>
    <phoneticPr fontId="3" type="noConversion"/>
  </si>
  <si>
    <t>童書/科普</t>
    <phoneticPr fontId="3" type="noConversion"/>
  </si>
  <si>
    <t>童書/圖畫書</t>
    <phoneticPr fontId="3" type="noConversion"/>
  </si>
  <si>
    <t>生活風格/圖文書</t>
    <phoneticPr fontId="3" type="noConversion"/>
  </si>
  <si>
    <t>大象玩遊戲</t>
    <phoneticPr fontId="4" type="noConversion"/>
  </si>
  <si>
    <t>洪羊</t>
  </si>
  <si>
    <t>上羊</t>
  </si>
  <si>
    <t>2018/10</t>
  </si>
  <si>
    <t>9789868160408</t>
  </si>
  <si>
    <t>學齡前/泡棉書</t>
    <phoneticPr fontId="4" type="noConversion"/>
  </si>
  <si>
    <t>小豬的生日</t>
  </si>
  <si>
    <t>2018/11</t>
  </si>
  <si>
    <t>9789572884683</t>
  </si>
  <si>
    <t>大家都愛快樂熊(中英雙語百葉窗變臉書)</t>
  </si>
  <si>
    <t>卡勒斯‧巴勒斯特羅斯</t>
  </si>
  <si>
    <t>大石國際</t>
  </si>
  <si>
    <t>2018/12</t>
  </si>
  <si>
    <t>9789578722132</t>
  </si>
  <si>
    <t>學齡前</t>
    <phoneticPr fontId="4" type="noConversion"/>
  </si>
  <si>
    <t>別把老虎吵醒了(中英雙語百葉窗變臉書)</t>
  </si>
  <si>
    <t>9789578722118</t>
  </si>
  <si>
    <t>我們的太空：讀〈夜宿山寺〉</t>
  </si>
  <si>
    <t>黃郁軒</t>
  </si>
  <si>
    <t>Smohouse</t>
  </si>
  <si>
    <t>9789869452540</t>
  </si>
  <si>
    <t>我們的太陽：讀〈登鸛雀樓〉</t>
  </si>
  <si>
    <t>9789869452571</t>
  </si>
  <si>
    <t>我們的月亮：讀〈靜夜思〉</t>
  </si>
  <si>
    <t>9789869452564</t>
  </si>
  <si>
    <t>我們的星星：讀〈哥舒歌〉</t>
  </si>
  <si>
    <t>9789869452557</t>
  </si>
  <si>
    <t>吼～老虎來了布書</t>
    <phoneticPr fontId="4" type="noConversion"/>
  </si>
  <si>
    <t>世一文化編輯群</t>
  </si>
  <si>
    <t>世一</t>
  </si>
  <si>
    <t>4719742147008</t>
  </si>
  <si>
    <t>柔柔小灰象布書</t>
    <phoneticPr fontId="4" type="noConversion"/>
  </si>
  <si>
    <t>4719742147015</t>
  </si>
  <si>
    <t>愛問的小狐狸布書</t>
    <phoneticPr fontId="4" type="noConversion"/>
  </si>
  <si>
    <t>4719742149729</t>
  </si>
  <si>
    <t>趣味ㄅㄆㄇ有聲書</t>
    <phoneticPr fontId="4" type="noConversion"/>
  </si>
  <si>
    <t>張清榮</t>
  </si>
  <si>
    <t>4719742150305</t>
  </si>
  <si>
    <t>100 Animal words【動物朋友中英單字書】</t>
  </si>
  <si>
    <t>幼福文化/編</t>
  </si>
  <si>
    <t>幼福</t>
  </si>
  <si>
    <t>4715006453274</t>
  </si>
  <si>
    <t>100 First words【幼兒美語基礎單字書】</t>
  </si>
  <si>
    <t>4715006453267</t>
  </si>
  <si>
    <t>100 Thing that go【跑跑汽車中英單字書】</t>
  </si>
  <si>
    <t>4715006453281</t>
  </si>
  <si>
    <t>Alphabet、Shapes、Colors、Numbers【字母、形狀、顏色、數字</t>
  </si>
  <si>
    <t>4715006453298</t>
  </si>
  <si>
    <t>忍者兔弟子規有聲學習書</t>
  </si>
  <si>
    <t>幼福編輯部</t>
  </si>
  <si>
    <t>4715006453236</t>
  </si>
  <si>
    <t>我的第一堂古典音樂課</t>
  </si>
  <si>
    <t>艾蜜莉.柯列（法國）</t>
  </si>
  <si>
    <t>禾流文創</t>
  </si>
  <si>
    <t>9789578930223</t>
  </si>
  <si>
    <t>哇!古典音樂居然變成動物了</t>
  </si>
  <si>
    <t>9789578930216</t>
  </si>
  <si>
    <t>好習慣互動翻翻書：吃飯</t>
  </si>
  <si>
    <t>沐漁文化</t>
  </si>
  <si>
    <t>啟得</t>
  </si>
  <si>
    <t>4718005590186</t>
  </si>
  <si>
    <t>好習慣互動翻翻書：刷牙</t>
  </si>
  <si>
    <t>4718005590230</t>
  </si>
  <si>
    <t>好習慣互動翻翻書：洗澡</t>
  </si>
  <si>
    <t>4718005590216</t>
  </si>
  <si>
    <t>在馬桶上便便！</t>
  </si>
  <si>
    <t>金禧男</t>
  </si>
  <si>
    <t>青林</t>
  </si>
  <si>
    <t>9789862744093</t>
  </si>
  <si>
    <t>小嘻瓜的魔髮樂園：王宏哲給孩子的第一本感統遊戲書</t>
  </si>
  <si>
    <t>王宏哲</t>
  </si>
  <si>
    <t>時報</t>
  </si>
  <si>
    <t>9789571375885</t>
  </si>
  <si>
    <t>米可要當哥哥了</t>
  </si>
  <si>
    <t>凱薩琳‧艾蒙特</t>
  </si>
  <si>
    <t>水滴文化</t>
  </si>
  <si>
    <t>9789869674737</t>
  </si>
  <si>
    <t>米可第一天上學</t>
  </si>
  <si>
    <t>9789869674713</t>
  </si>
  <si>
    <t>米可會用小馬桶</t>
  </si>
  <si>
    <t>9789869674720</t>
  </si>
  <si>
    <t>迪倫當醫生</t>
  </si>
  <si>
    <t>蓋伊帕克里</t>
  </si>
  <si>
    <t>格林</t>
  </si>
  <si>
    <t>9789861898872</t>
  </si>
  <si>
    <t>和怪獸一起吃午餐</t>
  </si>
  <si>
    <t>安涅絲．巴魯吉</t>
  </si>
  <si>
    <t>9789862927724</t>
  </si>
  <si>
    <t>怪獸躲貓貓</t>
  </si>
  <si>
    <t>9789862927748</t>
  </si>
  <si>
    <t>爆笑校園53</t>
  </si>
  <si>
    <t>朱斌</t>
  </si>
  <si>
    <t>爆笑文化傳播</t>
  </si>
  <si>
    <t>9789888304899</t>
  </si>
  <si>
    <t>童書</t>
    <phoneticPr fontId="4" type="noConversion"/>
  </si>
  <si>
    <t>貪心的草莓大叔</t>
  </si>
  <si>
    <t>金柳炅</t>
  </si>
  <si>
    <t>三之三</t>
  </si>
  <si>
    <t>9789865664398</t>
  </si>
  <si>
    <t>皮皮與波西：聖誕樹</t>
  </si>
  <si>
    <t>阿克賽爾．薛弗勒</t>
  </si>
  <si>
    <t>三民</t>
  </si>
  <si>
    <t>9789571464930</t>
  </si>
  <si>
    <t>來自火星的男孩</t>
  </si>
  <si>
    <t>賽門．詹姆斯</t>
  </si>
  <si>
    <t>9789571464640</t>
  </si>
  <si>
    <t>香蕉爺爺香蕉奶奶</t>
  </si>
  <si>
    <t>野志明加</t>
  </si>
  <si>
    <t>9789571464879</t>
  </si>
  <si>
    <t>奧斯瓦多的起飛(L，envol d，osvaldo? )</t>
  </si>
  <si>
    <t>托馬‧巴斯-文圖；陳素麗-譯</t>
  </si>
  <si>
    <t>9789571464862</t>
  </si>
  <si>
    <t>小月亮：第一本用故事介紹宇宙的科學知識繪本（附中英文朗讀CD）</t>
  </si>
  <si>
    <t>史都華．克拉克/尼可拉．克拉克</t>
  </si>
  <si>
    <t>三采</t>
  </si>
  <si>
    <t>9789576580888</t>
  </si>
  <si>
    <t>13樓有隻恐龍</t>
    <phoneticPr fontId="4" type="noConversion"/>
  </si>
  <si>
    <t>韋德．布列福特</t>
  </si>
  <si>
    <t>上誼</t>
  </si>
  <si>
    <t>9789577626462</t>
  </si>
  <si>
    <t>野地上的花園 (新版)</t>
  </si>
  <si>
    <t>凱薩琳嘉柏拉</t>
  </si>
  <si>
    <t>9789577626325</t>
  </si>
  <si>
    <t>有時爸爸家，有時媽媽家</t>
  </si>
  <si>
    <t>芭絲卡‧芙翁古特</t>
  </si>
  <si>
    <t>大穎</t>
  </si>
  <si>
    <t>9789579125239</t>
  </si>
  <si>
    <t>老樹旅館的故事</t>
  </si>
  <si>
    <t>久保　喬</t>
  </si>
  <si>
    <t>9789579125253</t>
  </si>
  <si>
    <t>我以後要成為像媽媽那樣的人</t>
  </si>
  <si>
    <t>露西‧弗雷加</t>
  </si>
  <si>
    <t>9789579125260</t>
  </si>
  <si>
    <t>是兔子嗎？</t>
  </si>
  <si>
    <t xml:space="preserve"> 辛卿㚱</t>
    <phoneticPr fontId="4" type="noConversion"/>
  </si>
  <si>
    <t>9789579125246</t>
  </si>
  <si>
    <t>等爸爸回家的紅色聖誕夜</t>
  </si>
  <si>
    <t>鄭娜恩</t>
  </si>
  <si>
    <t>9789579125277</t>
  </si>
  <si>
    <t>愈想愈困難，愈做愈簡單</t>
  </si>
  <si>
    <t>鄭?永</t>
  </si>
  <si>
    <t>9789579125222</t>
  </si>
  <si>
    <t>生而自由系列：拯救老虎</t>
  </si>
  <si>
    <t>路易莎．里曼</t>
  </si>
  <si>
    <t>晨星</t>
  </si>
  <si>
    <t>9789864435319</t>
  </si>
  <si>
    <t>我要養什麼寵物？：蘇斯博士經典繪本（中英雙語版）</t>
  </si>
  <si>
    <t>蘇斯博士</t>
  </si>
  <si>
    <t>小天下</t>
  </si>
  <si>
    <t>9789864795536</t>
  </si>
  <si>
    <t>青蛙大俠江河湖</t>
  </si>
  <si>
    <t>湯姆牛</t>
  </si>
  <si>
    <t>9789864795710</t>
  </si>
  <si>
    <t>消防車出動！</t>
  </si>
  <si>
    <t>凱特．麥克穆蘭</t>
  </si>
  <si>
    <t>9789864795628</t>
  </si>
  <si>
    <t>森林小勇士</t>
  </si>
  <si>
    <t>王昭偉</t>
  </si>
  <si>
    <t>9789864795871</t>
  </si>
  <si>
    <t>房屋中的國王</t>
  </si>
  <si>
    <t>陳正治</t>
  </si>
  <si>
    <t>五南</t>
  </si>
  <si>
    <t>9789571197760</t>
  </si>
  <si>
    <t>超喜歡！我的第一本趣味數學書：第3級</t>
  </si>
  <si>
    <t>邢書田/聶小強/邢治;楊正凡/校訂</t>
  </si>
  <si>
    <t>9789571199665</t>
  </si>
  <si>
    <t>今天的魚</t>
  </si>
  <si>
    <t>邱承宗/編</t>
  </si>
  <si>
    <t>小魯</t>
  </si>
  <si>
    <t>9789860568271</t>
  </si>
  <si>
    <t>再來一次，我贊成</t>
  </si>
  <si>
    <t>宮西達也</t>
  </si>
  <si>
    <t>9789862118672</t>
  </si>
  <si>
    <t>最偉大的尿尿小書</t>
  </si>
  <si>
    <t>亞庫柏．普拉奇</t>
  </si>
  <si>
    <t>大家</t>
  </si>
  <si>
    <t>9789869706926</t>
  </si>
  <si>
    <t>食物工廠大探險：走吧！來趟食物的變身之旅</t>
  </si>
  <si>
    <t>藤原徹司</t>
  </si>
  <si>
    <t>小熊出版社</t>
  </si>
  <si>
    <t>9789578640672</t>
  </si>
  <si>
    <t>迷路的小犀牛</t>
  </si>
  <si>
    <t>中村仁</t>
  </si>
  <si>
    <t>9789578640610</t>
  </si>
  <si>
    <t>布魯卡的日記：波蘭兒童人權之父柯札克的孤兒之家故事</t>
  </si>
  <si>
    <t>齊米雷絲卡</t>
  </si>
  <si>
    <t>字畝文化</t>
  </si>
  <si>
    <t>9789578423633</t>
  </si>
  <si>
    <t>我的小小島</t>
  </si>
  <si>
    <t>史黛芬妮．德瑪斯．波蒂</t>
  </si>
  <si>
    <t>9789578423657</t>
  </si>
  <si>
    <t>老伯伯的雨傘</t>
  </si>
  <si>
    <t>佐野洋子</t>
  </si>
  <si>
    <t>步步出版</t>
  </si>
  <si>
    <t>9789869677851</t>
  </si>
  <si>
    <t>我是聖誕樹</t>
  </si>
  <si>
    <t>9789869677868</t>
  </si>
  <si>
    <t>果子紅了</t>
  </si>
  <si>
    <t>林秀穗</t>
  </si>
  <si>
    <t>9789869677844</t>
  </si>
  <si>
    <t>鬱金香</t>
  </si>
  <si>
    <t>荒井真紀</t>
  </si>
  <si>
    <t>9789869677882</t>
  </si>
  <si>
    <t>小企鵝的祕密大冒險（史上最讓媽媽崩潰的爸爸帶娃記）</t>
  </si>
  <si>
    <t>黛比.葛莉歐利</t>
  </si>
  <si>
    <t>野人</t>
  </si>
  <si>
    <t>9789863843276</t>
  </si>
  <si>
    <t>小故事大啟發(全一冊)</t>
  </si>
  <si>
    <t>小牛津編輯部</t>
  </si>
  <si>
    <t>小牛津</t>
  </si>
  <si>
    <t>9789869684620</t>
  </si>
  <si>
    <t>隔壁的山田君 全彩色故事書</t>
  </si>
  <si>
    <t>???????/高?勳</t>
  </si>
  <si>
    <t>台灣東販</t>
  </si>
  <si>
    <t>9789864756445</t>
  </si>
  <si>
    <t>美人魚王國：環狀立體遊戲圖畫書【立體書】</t>
    <phoneticPr fontId="4" type="noConversion"/>
  </si>
  <si>
    <t>艾格．亞寇斯卡</t>
  </si>
  <si>
    <t>台灣麥克</t>
  </si>
  <si>
    <t>9789862037676</t>
  </si>
  <si>
    <t>童書/立體書</t>
    <phoneticPr fontId="4" type="noConversion"/>
  </si>
  <si>
    <t>精靈森林：環狀立體遊戲圖畫書【立體書】</t>
    <phoneticPr fontId="4" type="noConversion"/>
  </si>
  <si>
    <t>9789862037669</t>
  </si>
  <si>
    <t>小火車，大冒險</t>
  </si>
  <si>
    <t>提摩西．奈普曼</t>
  </si>
  <si>
    <t>維京</t>
  </si>
  <si>
    <t>9789864402502</t>
  </si>
  <si>
    <t>思念之屋</t>
  </si>
  <si>
    <t>羅斯．蒙哥馬利</t>
  </si>
  <si>
    <t>9789864402380</t>
  </si>
  <si>
    <t>恐龍怎麼發脾氣</t>
  </si>
  <si>
    <t>珍．尤倫</t>
  </si>
  <si>
    <t>9789864401420</t>
  </si>
  <si>
    <t>選棵松樹過聖誕</t>
  </si>
  <si>
    <t>派翠西亞．托特</t>
  </si>
  <si>
    <t>9789864402519</t>
  </si>
  <si>
    <t>寶貝瑜伽：幼兒的第一本瑜伽書</t>
  </si>
  <si>
    <t>瑞貝卡．惠特福德</t>
  </si>
  <si>
    <t>9789864401451</t>
  </si>
  <si>
    <t>哈啾！打噴嚏的大鯨魚</t>
    <phoneticPr fontId="4" type="noConversion"/>
  </si>
  <si>
    <t>宣樂軒</t>
  </si>
  <si>
    <t>幼獅</t>
  </si>
  <si>
    <t>9789864491315</t>
  </si>
  <si>
    <t>鯨魚芭芭離家記</t>
    <phoneticPr fontId="4" type="noConversion"/>
  </si>
  <si>
    <t>9789864491346</t>
  </si>
  <si>
    <t>非常魔法班2 點物成「石」</t>
  </si>
  <si>
    <t>莎拉梅林諾斯基/蘿倫米瑞可…等</t>
  </si>
  <si>
    <t>東雨</t>
  </si>
  <si>
    <t>9789575213398</t>
  </si>
  <si>
    <t>品格教育繪本：友誼/表現自我 海蒂躲貓貓</t>
    <phoneticPr fontId="4" type="noConversion"/>
  </si>
  <si>
    <t>作、繪-奧拉‧帕克</t>
  </si>
  <si>
    <t>9789575213459</t>
  </si>
  <si>
    <t>品格教育繪本：自信自愛／激發潛力 長耳兔</t>
  </si>
  <si>
    <t>白周鉉</t>
  </si>
  <si>
    <t>9789575213428</t>
  </si>
  <si>
    <t>飛龍騎士02：火龍蛋救援行動</t>
  </si>
  <si>
    <t>文：安娜‧卡嵐</t>
  </si>
  <si>
    <t>9789575213466</t>
  </si>
  <si>
    <t>咖哩地獄旅行</t>
  </si>
  <si>
    <t>髭?商店</t>
  </si>
  <si>
    <t>小光點</t>
  </si>
  <si>
    <t>9789579077453</t>
  </si>
  <si>
    <t>親愛的姊姊</t>
  </si>
  <si>
    <t>李貞慧</t>
  </si>
  <si>
    <t>9789579077361</t>
  </si>
  <si>
    <t>小浣熊學長大</t>
  </si>
  <si>
    <t>NewtonkidsTaiwanLtd.</t>
  </si>
  <si>
    <t>小康軒</t>
  </si>
  <si>
    <t>9789579502177</t>
  </si>
  <si>
    <t>小黑和小白的臺南探險</t>
  </si>
  <si>
    <t>謝淑珍</t>
  </si>
  <si>
    <t>9789579502061</t>
  </si>
  <si>
    <t>打氣粥</t>
  </si>
  <si>
    <t>邱彩綢</t>
  </si>
  <si>
    <t>小典藏</t>
  </si>
  <si>
    <t>9789869690041</t>
  </si>
  <si>
    <t>哈維．史藍芬伯格的聖誕禮物</t>
  </si>
  <si>
    <t>約翰．伯寧罕</t>
  </si>
  <si>
    <t>和英</t>
  </si>
  <si>
    <t>9789869439282</t>
  </si>
  <si>
    <t>青蛙小王子</t>
  </si>
  <si>
    <t>劉清彥</t>
  </si>
  <si>
    <t>巴巴文化</t>
  </si>
  <si>
    <t>9789869629379</t>
  </si>
  <si>
    <t>當小偷的第一天（特別限量版）</t>
  </si>
  <si>
    <t>劉旭恭</t>
  </si>
  <si>
    <t>9789869629362</t>
  </si>
  <si>
    <t>小小挖土機</t>
  </si>
  <si>
    <t>安娜‧杜德尼-作</t>
  </si>
  <si>
    <t>台灣東方</t>
  </si>
  <si>
    <t>9789863382287</t>
  </si>
  <si>
    <t>一本書的誕生</t>
  </si>
  <si>
    <t>弗倫斯．德卡特</t>
  </si>
  <si>
    <t>韋伯</t>
  </si>
  <si>
    <t>9789864272686</t>
  </si>
  <si>
    <t>大山先生，快讓開！</t>
  </si>
  <si>
    <t>法蘭切絲卡．桑</t>
  </si>
  <si>
    <t>9789864272518</t>
  </si>
  <si>
    <t>小心有毒！</t>
  </si>
  <si>
    <t>羅倫斯．保利</t>
  </si>
  <si>
    <t>9789864272495</t>
  </si>
  <si>
    <t>地震搖啊搖</t>
  </si>
  <si>
    <t>皮姆．凡赫斯特</t>
  </si>
  <si>
    <t>9789864272716</t>
  </si>
  <si>
    <t>哎呀，是書啊！</t>
  </si>
  <si>
    <t>9789864272488</t>
  </si>
  <si>
    <t>腦中的情緒</t>
  </si>
  <si>
    <t>皮耶．溫德斯</t>
  </si>
  <si>
    <t>9789864272709</t>
  </si>
  <si>
    <t>電從哪裡來</t>
  </si>
  <si>
    <t>盧卡斯‧阿諾杜森</t>
  </si>
  <si>
    <t>9789864272693</t>
  </si>
  <si>
    <t>賣錢囉！</t>
  </si>
  <si>
    <t>9789864272525</t>
  </si>
  <si>
    <t>魯奇歐與呼哩呼哩：第一次過聖誕節耶！</t>
  </si>
  <si>
    <t>庄野菜穗子</t>
  </si>
  <si>
    <t>9789571376219</t>
  </si>
  <si>
    <t>橘寶的新妹妹</t>
  </si>
  <si>
    <t xml:space="preserve"> 張元綺</t>
  </si>
  <si>
    <t>9789571376073</t>
  </si>
  <si>
    <t>茶。</t>
  </si>
  <si>
    <t>郝廣才</t>
  </si>
  <si>
    <t>9789861898780</t>
  </si>
  <si>
    <t>超英雄魔法森林</t>
  </si>
  <si>
    <t>馬帝隆恩</t>
  </si>
  <si>
    <t>9789861898735</t>
  </si>
  <si>
    <t>當一天昆蟲</t>
  </si>
  <si>
    <t>福部明浩</t>
  </si>
  <si>
    <t>9789861898841</t>
  </si>
  <si>
    <t>蔬菜逃家了</t>
  </si>
  <si>
    <t>廣川沙映子</t>
  </si>
  <si>
    <t>9789861898858</t>
  </si>
  <si>
    <t>追趕跑跳碰：一個田徑校隊的故事</t>
  </si>
  <si>
    <t>李光福</t>
  </si>
  <si>
    <t>康軒</t>
  </si>
  <si>
    <t>9789579502191</t>
  </si>
  <si>
    <t>跟王文華學聽說讀寫：巫波波老師的說話課</t>
  </si>
  <si>
    <t>王文華</t>
  </si>
  <si>
    <t>9789579502153</t>
  </si>
  <si>
    <t>跟王文華學聽說讀寫：貓不聞寫童話</t>
  </si>
  <si>
    <t>9789579502214</t>
  </si>
  <si>
    <t>跟王文華學聽說讀寫：聽一半超人</t>
  </si>
  <si>
    <t>9789579502146</t>
  </si>
  <si>
    <t>跟王文華學聽說讀寫：讀不懂天師</t>
  </si>
  <si>
    <t>9789579502207</t>
  </si>
  <si>
    <t>聖誕森林的故事(精裝)</t>
  </si>
  <si>
    <t>蘇西‧西尼爾</t>
  </si>
  <si>
    <t>文林</t>
  </si>
  <si>
    <t>9789628949915</t>
  </si>
  <si>
    <t>真正的小偷</t>
  </si>
  <si>
    <t>威廉史塔克</t>
  </si>
  <si>
    <t>道聲</t>
  </si>
  <si>
    <t>9789864002252</t>
  </si>
  <si>
    <t>可以開始了嗎？</t>
  </si>
  <si>
    <t>林世仁/王文華/等</t>
  </si>
  <si>
    <t>國語日報</t>
  </si>
  <si>
    <t>9789577518255</t>
  </si>
  <si>
    <t>三隻小狼和大壞豬</t>
  </si>
  <si>
    <t>文-尤金崔維查；圖-海倫奧森貝里</t>
  </si>
  <si>
    <t>遠流</t>
  </si>
  <si>
    <t>9789573284086</t>
  </si>
  <si>
    <t>遊戲場發生什麼事？</t>
  </si>
  <si>
    <t>文、圖／超級可愛月亮班</t>
  </si>
  <si>
    <t>9789573284062</t>
  </si>
  <si>
    <t>我要吃掉你</t>
  </si>
  <si>
    <t>吉雅達．法蘭西亞</t>
  </si>
  <si>
    <t>9789862927731</t>
  </si>
  <si>
    <t>達克比辦案6：暴龍遇到雞：動物的祖先與演化</t>
  </si>
  <si>
    <t>胡妙芬</t>
  </si>
  <si>
    <t>親子天下</t>
  </si>
  <si>
    <t>9789575030674</t>
  </si>
  <si>
    <t>小兔兒好想要一個聖誕禮物</t>
  </si>
  <si>
    <t>矢崎節夫</t>
  </si>
  <si>
    <t>大好書屋</t>
  </si>
  <si>
    <t>9789862487679</t>
  </si>
  <si>
    <t>八千歲亮島人（附：聲音光碟）</t>
  </si>
  <si>
    <t>王花俤</t>
    <phoneticPr fontId="4" type="noConversion"/>
  </si>
  <si>
    <t>聯經</t>
  </si>
  <si>
    <t>9789860570335</t>
  </si>
  <si>
    <t>小小猴私家偵探：Baby Monkey Private Eye</t>
  </si>
  <si>
    <t>布萊恩．賽茲尼克/大衛．塞林</t>
  </si>
  <si>
    <t>9789570851601</t>
  </si>
  <si>
    <t>花宅</t>
  </si>
  <si>
    <t>蕭秀芳</t>
  </si>
  <si>
    <t>9789860569360</t>
  </si>
  <si>
    <t>消除緊張的體操</t>
  </si>
  <si>
    <t>童嘉</t>
  </si>
  <si>
    <t>9789570851953</t>
  </si>
  <si>
    <t>不死背！讀社會科融會貫通的29個方法</t>
  </si>
  <si>
    <t>金景阿</t>
  </si>
  <si>
    <t>9789576580901</t>
  </si>
  <si>
    <t>童書/漫畫</t>
    <phoneticPr fontId="4" type="noConversion"/>
  </si>
  <si>
    <t>希臘羅馬神話漫畫3：新神的誕生</t>
  </si>
  <si>
    <t>朴始連</t>
  </si>
  <si>
    <t>9789576580826</t>
  </si>
  <si>
    <t>缺水危機大作戰</t>
  </si>
  <si>
    <t>SweetFactory</t>
  </si>
  <si>
    <t>9789576580796</t>
  </si>
  <si>
    <t>X機器人戰隊7裝甲小丑（附學習單）</t>
  </si>
  <si>
    <t>李國靖‧周文煌</t>
  </si>
  <si>
    <t>大邑文化</t>
  </si>
  <si>
    <t>9789863018766</t>
  </si>
  <si>
    <t>看漫畫輕鬆學：整理收納 生活習慣好‧長大不煩惱</t>
  </si>
  <si>
    <t>辰巳渚/監修</t>
  </si>
  <si>
    <t>9789864795734</t>
  </si>
  <si>
    <t>看漫畫輕鬆學：禮貌禮儀 生活習慣好‧長大不煩惱</t>
  </si>
  <si>
    <t>9789864795741</t>
  </si>
  <si>
    <t>程式特攻隊3：如果否則迷宮</t>
  </si>
  <si>
    <t>楊謹倫</t>
  </si>
  <si>
    <t>9789864795802</t>
  </si>
  <si>
    <t>程式特攻隊4：巢狀救命階梯</t>
  </si>
  <si>
    <t>9789864795819</t>
  </si>
  <si>
    <t>超級戰艦：漫畫版軍事科普小百科</t>
  </si>
  <si>
    <t>原作／趙柏竣</t>
  </si>
  <si>
    <t>文房</t>
  </si>
  <si>
    <t>9789578602458</t>
  </si>
  <si>
    <t>Scratch積木程式教室</t>
  </si>
  <si>
    <t>谷口充-著</t>
  </si>
  <si>
    <t>世茂</t>
  </si>
  <si>
    <t>9789578799448</t>
  </si>
  <si>
    <t>魔法使之契Ⅰ：首席魔法師的考驗（全彩漫畫）</t>
  </si>
  <si>
    <t>林芳宇</t>
  </si>
  <si>
    <t>悅樂文化</t>
  </si>
  <si>
    <t>9789867018304</t>
  </si>
  <si>
    <t>再讀一遍!1000個重要發明&amp;發現：終結一知半解!一本掌握發明發現全史，大量漫畫、插圖、圖解，內附發明與發現的詳細年表、歷屆諾貝爾獎得主介紹</t>
    <phoneticPr fontId="4" type="noConversion"/>
  </si>
  <si>
    <t>世界文化社</t>
  </si>
  <si>
    <t>瑞昇</t>
  </si>
  <si>
    <t>9789864012800</t>
  </si>
  <si>
    <t>青少年</t>
    <phoneticPr fontId="4" type="noConversion"/>
  </si>
  <si>
    <t>植物大戰殭屍：中國名城漫畫1北京</t>
  </si>
  <si>
    <t>笑江南/編</t>
  </si>
  <si>
    <t>狗狗</t>
  </si>
  <si>
    <t>9789578891265</t>
  </si>
  <si>
    <t>植物大戰殭屍：中國名城漫畫2南京</t>
  </si>
  <si>
    <t>9789578891289</t>
  </si>
  <si>
    <t>植物大戰殭屍：博物館漫畫1俄羅斯冬宮博館</t>
  </si>
  <si>
    <t>9789578891258</t>
  </si>
  <si>
    <t>植物大戰殭屍：博物館漫畫2 大英博物館</t>
  </si>
  <si>
    <t>9789578891272</t>
  </si>
  <si>
    <t>圖文偵探推理事件簿1【生物篇】：每天10分鐘‧全方位閱讀理解</t>
  </si>
  <si>
    <t>學研</t>
  </si>
  <si>
    <t>9789576580475</t>
  </si>
  <si>
    <t>圖文偵探推理事件簿2【科學篇】：每天10分鐘‧全方位閱讀理解</t>
  </si>
  <si>
    <t>9789576580819</t>
  </si>
  <si>
    <t>怪談系列1：魔神仔樂園</t>
  </si>
  <si>
    <t>邱常婷</t>
  </si>
  <si>
    <t>9789864435418</t>
  </si>
  <si>
    <t>動物物語系列6：失去尾巴的海豚</t>
  </si>
  <si>
    <t>岩貞留美子</t>
  </si>
  <si>
    <t>9789864435227</t>
  </si>
  <si>
    <t>嘿！有人在聽嗎？</t>
  </si>
  <si>
    <t>艾琳.恩特拉達.凱莉</t>
  </si>
  <si>
    <t>9789864795642</t>
  </si>
  <si>
    <t>山喜歡交朋友─童詩、童心、童趣</t>
  </si>
  <si>
    <t>9789571197883</t>
  </si>
  <si>
    <t>朱嘉雯的167堂經典文學課：聊齋誌異 金瓶梅 西遊記 紅樓夢</t>
  </si>
  <si>
    <t>朱嘉雯</t>
  </si>
  <si>
    <t>9789577631152</t>
  </si>
  <si>
    <t>作文比你想的簡單：寫好作文撇步完全大公開</t>
  </si>
  <si>
    <t>9789571197777</t>
  </si>
  <si>
    <t>趣味天文學 ：別萊利曼趣味科學系</t>
    <phoneticPr fontId="4" type="noConversion"/>
  </si>
  <si>
    <t>雅科夫伊西達洛維奇別萊利曼</t>
  </si>
  <si>
    <t>9789571199290</t>
  </si>
  <si>
    <t>不存在的小偷</t>
  </si>
  <si>
    <t>徐瑞蓮</t>
  </si>
  <si>
    <t>福地</t>
  </si>
  <si>
    <t>9789865707811</t>
  </si>
  <si>
    <t>不插電程式設計遊戲 2：24個遊戲+28組遊戲圖卡</t>
  </si>
  <si>
    <t>申甲千/洪志連</t>
  </si>
  <si>
    <t>華文精典</t>
  </si>
  <si>
    <t>9789869595957</t>
  </si>
  <si>
    <t>枯山水三部曲I：雨男孩雪女孩</t>
  </si>
  <si>
    <t>鄭宗弦</t>
  </si>
  <si>
    <t>四也</t>
  </si>
  <si>
    <t>9789869653329</t>
  </si>
  <si>
    <t>拉斐爾</t>
    <phoneticPr fontId="4" type="noConversion"/>
  </si>
  <si>
    <t>韓秀</t>
  </si>
  <si>
    <t>9789864491278</t>
  </si>
  <si>
    <t xml:space="preserve">神奇記憶瓶：世界文 學名作選 </t>
    <phoneticPr fontId="4" type="noConversion"/>
  </si>
  <si>
    <t>張子樟/編譯</t>
  </si>
  <si>
    <t>9789864491292</t>
  </si>
  <si>
    <t>陽光 空氣 花和水</t>
    <phoneticPr fontId="4" type="noConversion"/>
  </si>
  <si>
    <t>林世仁</t>
  </si>
  <si>
    <t>9789864491285</t>
  </si>
  <si>
    <t>鷹的飛翔：世界文學名作選</t>
    <phoneticPr fontId="4" type="noConversion"/>
  </si>
  <si>
    <t>9789864491339</t>
  </si>
  <si>
    <t>阿提米斯2：北極事件</t>
  </si>
  <si>
    <t>歐因．科弗</t>
  </si>
  <si>
    <t>博識圖書</t>
  </si>
  <si>
    <t>9789869639675</t>
  </si>
  <si>
    <t>阿提米斯3：永恆密碼</t>
  </si>
  <si>
    <t>9789869639682</t>
  </si>
  <si>
    <t>白天黑夜都愛玩的趣味科學遊戲：四大類，200多個有趣的科學遊戲</t>
    <phoneticPr fontId="4" type="noConversion"/>
  </si>
  <si>
    <t>陳曉宏</t>
  </si>
  <si>
    <t>新文創</t>
  </si>
  <si>
    <t>9789869610407</t>
  </si>
  <si>
    <t>一隻獵雕的遭遇【新封珍藏版】</t>
  </si>
  <si>
    <t>沈石溪</t>
  </si>
  <si>
    <t>風雲時代</t>
  </si>
  <si>
    <t>9789863526377</t>
  </si>
  <si>
    <t>金絲猴的王冠：另類生靈【新封珍藏版】</t>
  </si>
  <si>
    <t>9789863526469</t>
  </si>
  <si>
    <t>酷物理：給孩子的神奇物理知識</t>
  </si>
  <si>
    <t>莎拉．赫頓</t>
  </si>
  <si>
    <t>9789573283973</t>
  </si>
  <si>
    <t>酷程式：給孩子的神奇程式知識</t>
  </si>
  <si>
    <t>羅伯特．韓森</t>
  </si>
  <si>
    <t>9789573283966</t>
  </si>
  <si>
    <t>酷數學：給孩子的神奇數學知識</t>
  </si>
  <si>
    <t>特蕾西楊、凱蒂休伊特</t>
  </si>
  <si>
    <t>9789573283959</t>
  </si>
  <si>
    <t>檸檬水戰爭4：消失的新年鐘</t>
  </si>
  <si>
    <t>賈桂林‧戴維斯</t>
  </si>
  <si>
    <t>9789575031244</t>
  </si>
  <si>
    <t>　★好書大家讀年度最佳讀物</t>
    <phoneticPr fontId="4" type="noConversion"/>
  </si>
  <si>
    <t>檸檬水戰爭5：魔術陷阱</t>
  </si>
  <si>
    <t>9789575031237</t>
  </si>
  <si>
    <t>白貓黑貓系列：趣味學世界歷史</t>
  </si>
  <si>
    <t>方舒眉</t>
  </si>
  <si>
    <t>中華書局</t>
  </si>
  <si>
    <t>9789888513840</t>
  </si>
  <si>
    <t>歷史追蹤！原來「你」也在香港 1：秦漢至清初篇</t>
  </si>
  <si>
    <t>黃家樑</t>
  </si>
  <si>
    <t>9789888513918</t>
  </si>
  <si>
    <t>歷史追蹤！原來「你」也在香港 2：清至民國篇</t>
  </si>
  <si>
    <t>9789888513925</t>
  </si>
  <si>
    <t>歷史追蹤！原來「你」也在香港 3：民國至當代篇</t>
  </si>
  <si>
    <t>9789888513932</t>
  </si>
  <si>
    <t>哇塞，任意門！</t>
  </si>
  <si>
    <t>小柚</t>
  </si>
  <si>
    <t>驛站</t>
  </si>
  <si>
    <t>9789869699112</t>
  </si>
  <si>
    <t>甜點男孩和籃球女孩</t>
  </si>
  <si>
    <t>小艾</t>
  </si>
  <si>
    <t>9789869699129</t>
  </si>
  <si>
    <t>被誤解的三國【全彩插圖版】</t>
  </si>
  <si>
    <t>廖彥博</t>
  </si>
  <si>
    <t>好讀</t>
  </si>
  <si>
    <t>9789861784717</t>
  </si>
  <si>
    <t>人文史地</t>
  </si>
  <si>
    <t>打開這本書，你將得到不一樣的三國知識！</t>
    <phoneticPr fontId="4" type="noConversion"/>
  </si>
  <si>
    <t>唐史並不如煙(柒)：帝國斜陽</t>
    <phoneticPr fontId="4" type="noConversion"/>
  </si>
  <si>
    <t>曲昌春</t>
  </si>
  <si>
    <t>大地</t>
  </si>
  <si>
    <t>9789864023097</t>
  </si>
  <si>
    <t>以輕鬆風趣的筆法講述唐朝歷史</t>
    <phoneticPr fontId="4" type="noConversion"/>
  </si>
  <si>
    <t>唐史並不如煙(陸)：元和中興</t>
    <phoneticPr fontId="4" type="noConversion"/>
  </si>
  <si>
    <t>9789864023080</t>
  </si>
  <si>
    <t>傅佩榮先秦儒家哲學十六講</t>
  </si>
  <si>
    <t>傅佩榮</t>
  </si>
  <si>
    <t>立緒</t>
  </si>
  <si>
    <t>9789863601203</t>
  </si>
  <si>
    <t>中國十大傳奇帝王（全新修訂版）</t>
  </si>
  <si>
    <t>探索發現系列</t>
  </si>
  <si>
    <t>大旗</t>
  </si>
  <si>
    <t>9789869704700</t>
  </si>
  <si>
    <t>人文史地/傳記</t>
    <phoneticPr fontId="4" type="noConversion"/>
  </si>
  <si>
    <t>世界十大傳奇帝王（全新修訂版）</t>
  </si>
  <si>
    <t>9789869656191</t>
  </si>
  <si>
    <t>大日本．滿洲帝國的遺產：強人政治與統制經濟如何影響近代日韓</t>
  </si>
  <si>
    <t>姜尚中/玄武岩</t>
  </si>
  <si>
    <t>八旗</t>
  </si>
  <si>
    <t>9789578654396</t>
  </si>
  <si>
    <t>人文史地/文化史</t>
    <phoneticPr fontId="4" type="noConversion"/>
  </si>
  <si>
    <t>印加與西班牙的交錯：從安地斯社會的轉變，看兩個帝國的共生與訣別</t>
    <phoneticPr fontId="4" type="noConversion"/>
  </si>
  <si>
    <t>網野徹哉</t>
  </si>
  <si>
    <t>9789578654389</t>
  </si>
  <si>
    <t>鄰人：面對集體憎恨、社會癱瘓的公民抉擇</t>
  </si>
  <si>
    <t>楊．格羅斯</t>
  </si>
  <si>
    <t>木馬</t>
  </si>
  <si>
    <t>9789863596073</t>
  </si>
  <si>
    <t>人文史地</t>
    <phoneticPr fontId="4" type="noConversion"/>
  </si>
  <si>
    <t>★美國國家書評獎、美國國家圖書獎最終決選書單</t>
    <phoneticPr fontId="4" type="noConversion"/>
  </si>
  <si>
    <t>漫畫哲學之河：認識世界、探索自己、了解彼此的思辨探險</t>
  </si>
  <si>
    <t>麥可．派頓/凱文．坎農</t>
  </si>
  <si>
    <t>行路出版</t>
  </si>
  <si>
    <t>9789869634854</t>
  </si>
  <si>
    <t>靈活睿智、妙趣橫生，為哲學的世界注入活潑生命，是體驗哲學之樂最好的起點。</t>
    <phoneticPr fontId="4" type="noConversion"/>
  </si>
  <si>
    <t>大寫西域【第一部全視角西域48國通史】(上)：走進絲路南道11國，解開樓蘭、精絕、于闐等古國崛起與殞落的歷史謎團</t>
    <phoneticPr fontId="4" type="noConversion"/>
  </si>
  <si>
    <t>高洪雷</t>
  </si>
  <si>
    <t>9789863842989</t>
  </si>
  <si>
    <t xml:space="preserve">中國年度好書榜首
</t>
    <phoneticPr fontId="4" type="noConversion"/>
  </si>
  <si>
    <t>看韓國宮廷劇十倍樂趣！朝鮮王朝的衣食住解謎</t>
  </si>
  <si>
    <t>康熙奉</t>
  </si>
  <si>
    <t>遠足</t>
  </si>
  <si>
    <t>9789578630703</t>
  </si>
  <si>
    <t>從諷刺漫畫解讀日本統治下的臺灣</t>
  </si>
  <si>
    <t>野德隆</t>
  </si>
  <si>
    <t>9789578630826</t>
  </si>
  <si>
    <t>梅天穆</t>
  </si>
  <si>
    <t>廣場</t>
  </si>
  <si>
    <t>9789869645256</t>
  </si>
  <si>
    <t>是近年來蒙古帝國史研究領域中的重量級新作</t>
    <phoneticPr fontId="4" type="noConversion"/>
  </si>
  <si>
    <t>磺溪少年兄</t>
  </si>
  <si>
    <t>王燈岸</t>
  </si>
  <si>
    <t>玉山社</t>
  </si>
  <si>
    <t>9789862942154</t>
  </si>
  <si>
    <t>磺溪壹老人</t>
  </si>
  <si>
    <t>9789862942147</t>
  </si>
  <si>
    <t>龍椅背後的財政祕辛：文治武功?財稅金融才是國家盛衰存滅的深層原因。「中文世界的國富論」</t>
    <phoneticPr fontId="4" type="noConversion"/>
  </si>
  <si>
    <t>郭建龍</t>
  </si>
  <si>
    <t>大是文化</t>
  </si>
  <si>
    <t>9789579164016</t>
  </si>
  <si>
    <t>暢銷書作家郭建龍「中央帝國三部曲」──財政軍事與哲學，
第一部曲：財政。</t>
    <phoneticPr fontId="4" type="noConversion"/>
  </si>
  <si>
    <t>貫穿東西的歷史大道：琅嶠‧卑南道</t>
  </si>
  <si>
    <t>劉還月</t>
  </si>
  <si>
    <t>常民</t>
  </si>
  <si>
    <t>9789860573459</t>
  </si>
  <si>
    <t>人文史地/考古</t>
    <phoneticPr fontId="4" type="noConversion"/>
  </si>
  <si>
    <t>世變下的經道合一：清初遺民《易》學中的「內聖外王」</t>
    <phoneticPr fontId="4" type="noConversion"/>
  </si>
  <si>
    <t>張曉芬</t>
  </si>
  <si>
    <t>秀威資訊</t>
  </si>
  <si>
    <t>9789863266174</t>
  </si>
  <si>
    <t>言為心聲：明清時代女性聲音與男性氣概之建構</t>
  </si>
  <si>
    <t>何宇軒</t>
  </si>
  <si>
    <t>9789863266068</t>
  </si>
  <si>
    <t>此生必讀的日本一代將才：武田信玄：最精彩的文字敘述，搭配表格解說</t>
    <phoneticPr fontId="4" type="noConversion"/>
  </si>
  <si>
    <t>Dr.GU</t>
  </si>
  <si>
    <t>維他命文化</t>
  </si>
  <si>
    <t>9789869609692</t>
  </si>
  <si>
    <t>1970四二四刺蔣案內情再公開</t>
  </si>
  <si>
    <t>府城石舂臼人、陳榮成</t>
  </si>
  <si>
    <t>前衛</t>
  </si>
  <si>
    <t>9789578018624</t>
  </si>
  <si>
    <t>蔣廷黻˙中國近代史：1840～1925中國的挫敗、自強與變革</t>
    <phoneticPr fontId="4" type="noConversion"/>
  </si>
  <si>
    <t>蔣廷黻</t>
  </si>
  <si>
    <t>西北</t>
  </si>
  <si>
    <t>9789869625920</t>
  </si>
  <si>
    <t>民初歷史界大老綜觀全局、振聾發聵開山之作
 100年歷史濃縮精華＋130幅精選史實圖解</t>
    <phoneticPr fontId="4" type="noConversion"/>
  </si>
  <si>
    <t>慈禧回鑾：1901年的一場特殊旅行</t>
  </si>
  <si>
    <t>楊紅林</t>
  </si>
  <si>
    <t>楓樹林</t>
  </si>
  <si>
    <t>9789869669467</t>
  </si>
  <si>
    <t>圖解古埃及神祇</t>
  </si>
  <si>
    <t>松本彌</t>
  </si>
  <si>
    <t>9789869669498</t>
  </si>
  <si>
    <t>《老照片》二十年精選：重回現場</t>
  </si>
  <si>
    <t>《老照片》編輯部</t>
  </si>
  <si>
    <t>香港中和</t>
  </si>
  <si>
    <t>9789888570003</t>
  </si>
  <si>
    <t>35個影響歷史的關鍵大事</t>
  </si>
  <si>
    <t>宮崎正勝</t>
  </si>
  <si>
    <t>9789571375694</t>
  </si>
  <si>
    <t>再也不必死記硬背歷史課本，
 歷史名家宮崎正勝，用24張地圖、35個關鍵，
教你最輕鬆的歷史記憶法！</t>
    <phoneticPr fontId="4" type="noConversion"/>
  </si>
  <si>
    <t>尼釆</t>
  </si>
  <si>
    <t>吉爾．德勒茲</t>
  </si>
  <si>
    <t>9789571375908</t>
  </si>
  <si>
    <t>拿破崙並不矮：歷史寫錯了!埃及金字塔不是奴隸建的、美國獨立不是因為增稅、諾貝爾沒有發明炸藥，揭開那些一直被誤解的史實真相</t>
    <phoneticPr fontId="4" type="noConversion"/>
  </si>
  <si>
    <t>安卓雅．芭罕</t>
  </si>
  <si>
    <t>PC uSER</t>
  </si>
  <si>
    <t>9789579199254</t>
  </si>
  <si>
    <t xml:space="preserve">★《衛報》年度推薦圖書 </t>
    <phoneticPr fontId="4" type="noConversion"/>
  </si>
  <si>
    <t>當上帝踩到狗屎：人類世界三千年來的髒話文化史</t>
  </si>
  <si>
    <t>梅莉莎．摩爾</t>
  </si>
  <si>
    <t>馬可孛羅</t>
  </si>
  <si>
    <t>9789578759404</t>
  </si>
  <si>
    <t>哲學家的工具箱：如何論證、批判、避開邏輯謬誤？一套現代人必備的理性思考工具</t>
    <phoneticPr fontId="4" type="noConversion"/>
  </si>
  <si>
    <t>朱立安．巴吉尼/彼得．佛索</t>
  </si>
  <si>
    <t>麥田</t>
  </si>
  <si>
    <t>9789863446125</t>
  </si>
  <si>
    <t xml:space="preserve">沒有哲學背景但想訓練自身邏輯的人必讀的百科全書式指南。
 暢銷經典《自願被吃的豬》作者 ＋ 美國哲學教授的思考技術教戰手冊。
</t>
    <phoneticPr fontId="4" type="noConversion"/>
  </si>
  <si>
    <t>絕望的精神史（中文世界首度出版，媲美無賴派經典《墮落論》）</t>
  </si>
  <si>
    <t>金子光晴</t>
  </si>
  <si>
    <t>9789863445906</t>
  </si>
  <si>
    <t>歷史的運用與濫用：你讀的是真相還是假象?八堂移除理解偏誤的史學課</t>
    <phoneticPr fontId="4" type="noConversion"/>
  </si>
  <si>
    <t>瑪格蕾特．麥克米蘭</t>
  </si>
  <si>
    <t>9789863445982</t>
  </si>
  <si>
    <t>英國一戰名相勞合喬治曾外孫女、加拿大史學名家麥克米蘭的八堂醒腦歷史課</t>
    <phoneticPr fontId="4" type="noConversion"/>
  </si>
  <si>
    <t>伊斯蘭新史：以10大主題重探真實的穆斯林信仰</t>
  </si>
  <si>
    <t>卡蘿．希倫布蘭德</t>
  </si>
  <si>
    <t>貓頭鷹</t>
  </si>
  <si>
    <t>9789862623664</t>
  </si>
  <si>
    <t>閨蜜：說八卦、宮鬥劇，女人總是為難女人。歷史上難道沒有值得歌頌的真摯情誼？</t>
    <phoneticPr fontId="4" type="noConversion"/>
  </si>
  <si>
    <t>瑪莉蓮亞隆/德雷莎布朗</t>
  </si>
  <si>
    <t>9789862623688</t>
  </si>
  <si>
    <t>第一本完整討論女性友誼歷史定位的專書。</t>
    <phoneticPr fontId="4" type="noConversion"/>
  </si>
  <si>
    <t>全彩圖解國學經典</t>
  </si>
  <si>
    <t>桑　楚</t>
  </si>
  <si>
    <t>華威</t>
  </si>
  <si>
    <t>9789865611910</t>
  </si>
  <si>
    <t>我是抗日老兵</t>
  </si>
  <si>
    <t>胡為仁</t>
  </si>
  <si>
    <t>青森文化</t>
  </si>
  <si>
    <t>9789888490455</t>
  </si>
  <si>
    <t xml:space="preserve">中國‧歷史的長河 第1~6冊書盒典藏版 </t>
    <phoneticPr fontId="4" type="noConversion"/>
  </si>
  <si>
    <t>宮本一夫,平勢隆郎,鶴間和幸…等</t>
  </si>
  <si>
    <t>台灣商務</t>
  </si>
  <si>
    <t>2018000000003</t>
  </si>
  <si>
    <t>十五位日本史學專家，以商業、文化、制度、海洋、經濟……等豐富面相，重新認識有別於以帝王將相為主角的中國史。</t>
    <phoneticPr fontId="4" type="noConversion"/>
  </si>
  <si>
    <t>本宮：這些后妃不簡單．細說宮廷</t>
  </si>
  <si>
    <t>張志君</t>
  </si>
  <si>
    <t>9789570531725</t>
  </si>
  <si>
    <t>我的食物地圖</t>
  </si>
  <si>
    <t>張蕙芬</t>
  </si>
  <si>
    <t>天下</t>
  </si>
  <si>
    <t>9789864795895</t>
  </si>
  <si>
    <t>知天者：西漢儒家知識理論探索</t>
  </si>
  <si>
    <t>何儒育</t>
  </si>
  <si>
    <t>9789865659219</t>
  </si>
  <si>
    <t>人類的故事(史上第一中譯本)：讓你讀到天明的九千年故事，史上最多人讀過的世界通史）</t>
    <phoneticPr fontId="4" type="noConversion"/>
  </si>
  <si>
    <t>亨德里克‧威廉‧房龍</t>
  </si>
  <si>
    <t>任性</t>
  </si>
  <si>
    <t>9789869650069</t>
  </si>
  <si>
    <t>沉思錄典藏有聲精裝版：中英對照全譯本(附MP3)</t>
  </si>
  <si>
    <t>馬可．奧理略</t>
  </si>
  <si>
    <t>笛藤</t>
  </si>
  <si>
    <t>9789577107381</t>
  </si>
  <si>
    <t>「沉思錄」為古羅馬哲學家皇帝馬可‧奧理略（Marcus Aurelius）在兩千多年前利用出征空檔時，用希臘文在羊皮紙寫下與自己對話的十二篇省思語錄。傳世不朽的心靈智慧，至今仍洗滌無數人的心靈。</t>
    <phoneticPr fontId="4" type="noConversion"/>
  </si>
  <si>
    <t>日本思想全史</t>
  </si>
  <si>
    <t>清水正之</t>
  </si>
  <si>
    <t>9789570852158</t>
  </si>
  <si>
    <t>紀伊國屋2015本屋大賞讀者票選人文書</t>
    <phoneticPr fontId="4" type="noConversion"/>
  </si>
  <si>
    <t>新韓國人：從稻田躍進矽谷的現代奇蹟創造者</t>
  </si>
  <si>
    <t>麥可‧布林</t>
  </si>
  <si>
    <t>9789570852035</t>
  </si>
  <si>
    <t>這是一本理解韓國人性格及文化的必讀之作</t>
    <phoneticPr fontId="4" type="noConversion"/>
  </si>
  <si>
    <t>全彩漫畫圖解 改變人生，從整理家開始</t>
  </si>
  <si>
    <t>伊藤勇司</t>
  </si>
  <si>
    <t>9789576580758</t>
  </si>
  <si>
    <t>心理勵志</t>
  </si>
  <si>
    <t>願你把將就活成講究 認知差：你比人生贏家差在哪？</t>
  </si>
  <si>
    <t>周桂伊</t>
  </si>
  <si>
    <t>9789576580734</t>
  </si>
  <si>
    <t>絕望痛苦的日子總會發光：奇蹟諮商心理師中島輝的重生自傳</t>
  </si>
  <si>
    <t>中島 輝</t>
  </si>
  <si>
    <t>9789864435166</t>
  </si>
  <si>
    <t>增強說服力：讓對方不得不認同的全新說服策略 「邏輯思考」+</t>
  </si>
  <si>
    <t>藤澤晃治</t>
  </si>
  <si>
    <t>9789864435104</t>
  </si>
  <si>
    <t>死前斷捨離【大字版】</t>
  </si>
  <si>
    <t>瑪格麗塔．曼努森</t>
  </si>
  <si>
    <t>愛米粒</t>
  </si>
  <si>
    <t>9789869678360</t>
  </si>
  <si>
    <t>別拿男人不當動物</t>
  </si>
  <si>
    <t>楊冰陽AYAWAWA</t>
  </si>
  <si>
    <t>今周刊</t>
  </si>
  <si>
    <t>9789869693646</t>
  </si>
  <si>
    <t>心理勵志</t>
    <phoneticPr fontId="4" type="noConversion"/>
  </si>
  <si>
    <t>漂流</t>
  </si>
  <si>
    <t>史帝芬．卡拉漢</t>
  </si>
  <si>
    <t>早安財經</t>
  </si>
  <si>
    <t>9789866613951</t>
  </si>
  <si>
    <t>人生障礙俱樂部</t>
  </si>
  <si>
    <t>劉仲彬</t>
  </si>
  <si>
    <t>寶瓶</t>
  </si>
  <si>
    <t>9789864061426</t>
  </si>
  <si>
    <t>你好，我是接體員</t>
  </si>
  <si>
    <t>大師兄</t>
  </si>
  <si>
    <t>9789864061419</t>
  </si>
  <si>
    <t>童年情感忽視?實戰篇：長大後的我，如何和伴侶、孩子、父母</t>
  </si>
  <si>
    <t>鍾妮斯．韋伯</t>
  </si>
  <si>
    <t>橡實文化</t>
  </si>
  <si>
    <t>9789579001762</t>
  </si>
  <si>
    <t>從彼山到此山</t>
  </si>
  <si>
    <t>丁松青</t>
  </si>
  <si>
    <t>大塊</t>
  </si>
  <si>
    <t>9789862139431</t>
  </si>
  <si>
    <t>誰說一百分的妳，才是最好的自己</t>
  </si>
  <si>
    <t>Melody(殷悅)</t>
  </si>
  <si>
    <t>9789862139318</t>
  </si>
  <si>
    <t>短路</t>
  </si>
  <si>
    <t>楊定一、陳夢怡(編者)</t>
  </si>
  <si>
    <t>天下雜誌</t>
  </si>
  <si>
    <t>9789869670548</t>
  </si>
  <si>
    <t>寫給喧囂的37個安靜練習(首刷限量精美書衣信紙)</t>
  </si>
  <si>
    <t>汪莫</t>
  </si>
  <si>
    <t>9789869670531</t>
  </si>
  <si>
    <t>原是一位母親打算留待女兒婚禮發表的傳家寶；
 這些信，本是妻子只對先生說的戀人絮語。
13年歲月寫就的「家書」，　　一字一句直指困惑核心，為每個人生岔口、職場顛簸，提供冷靜眼光，點醒前路。
 　　</t>
    <phoneticPr fontId="4" type="noConversion"/>
  </si>
  <si>
    <t>永恆少年：從榮格觀點探討拒絕長大</t>
  </si>
  <si>
    <t>瑪麗-路薏絲．馮．法蘭茲</t>
  </si>
  <si>
    <t>心靈工坊</t>
  </si>
  <si>
    <t>9789863571339</t>
  </si>
  <si>
    <t>分析膾炙人口的《小王子》與神祕德國作品《無空間王國》當中「永恆少年」問題。
 ‧深入解讀「永恆少年」男子的心理與人生困境，並提出建議。</t>
    <phoneticPr fontId="4" type="noConversion"/>
  </si>
  <si>
    <t>成為有能的自己：探索自發性與強迫性</t>
    <phoneticPr fontId="4" type="noConversion"/>
  </si>
  <si>
    <t>摩謝?費登奎斯</t>
  </si>
  <si>
    <t>9789863571346</t>
  </si>
  <si>
    <t xml:space="preserve">★費登奎斯最具成長啟發與自我覺察的著作，勵志與一針見血程度可比《被討厭的勇氣》
</t>
    <phoneticPr fontId="4" type="noConversion"/>
  </si>
  <si>
    <t>快樂一點點就好</t>
  </si>
  <si>
    <t>菲恩．卡頓</t>
  </si>
  <si>
    <t>小貓流文化</t>
  </si>
  <si>
    <t>9789869673419</t>
  </si>
  <si>
    <t>英國亞馬遜心靈勵志類第一名</t>
    <phoneticPr fontId="4" type="noConversion"/>
  </si>
  <si>
    <t>漫畫心理學：心智如何探索複雜環境，又怎麼愚弄我們？</t>
  </si>
  <si>
    <t>丹尼．歐本海默/格萊迪．克萊恩</t>
  </si>
  <si>
    <t>9789869634861</t>
  </si>
  <si>
    <t>獲獎漫畫家與獲獎心理學家聯手出擊！</t>
    <phoneticPr fontId="4" type="noConversion"/>
  </si>
  <si>
    <t>踹開迷惘，給這功利世界一個漂亮回擊</t>
  </si>
  <si>
    <t>斑馬</t>
  </si>
  <si>
    <t>9789863843122</t>
  </si>
  <si>
    <t>努力無用論：破解假性努力中毒，腦科學家教你有用的努力</t>
  </si>
  <si>
    <t>中野信子</t>
  </si>
  <si>
    <t>新樂園</t>
  </si>
  <si>
    <t>9789869603041</t>
  </si>
  <si>
    <t>你不必活給別人看：覺察謬誤的價值觀，典範轉移的練習</t>
  </si>
  <si>
    <t>加藤諦三-著</t>
  </si>
  <si>
    <t>9789578799530</t>
  </si>
  <si>
    <t>20幾歲就該懂的斜槓思維</t>
  </si>
  <si>
    <t>金正浩</t>
  </si>
  <si>
    <t>好的文化</t>
  </si>
  <si>
    <t>9789865626785</t>
  </si>
  <si>
    <t>★滋潤千萬年輕讀者的人生規劃指南</t>
    <phoneticPr fontId="4" type="noConversion"/>
  </si>
  <si>
    <t>單身的30道陰影:戀愛凸槌觀察報告</t>
  </si>
  <si>
    <t>安吉拉斯佩拉/蘿拉萊恩</t>
  </si>
  <si>
    <t>9789865626792</t>
  </si>
  <si>
    <t>跌倒沒關係，沒人看見就好</t>
  </si>
  <si>
    <t>郝慧川 著</t>
  </si>
  <si>
    <t>方智</t>
  </si>
  <si>
    <t>9789861755113</t>
  </si>
  <si>
    <t>可惡的他人和可憐的自己：即時療癒人際關係的痛與情感內傷</t>
  </si>
  <si>
    <t>蘇絢慧 著</t>
  </si>
  <si>
    <t>究竟</t>
  </si>
  <si>
    <t>9789861372648</t>
  </si>
  <si>
    <t>★ 華人世界最受信賴的心理教練、傷痛療癒諮商專家蘇絢慧最新力作！</t>
    <phoneticPr fontId="4" type="noConversion"/>
  </si>
  <si>
    <t>叛逆有理、獨立無罪：掙脫以愛為名的親情綑綁</t>
  </si>
  <si>
    <t>陳志恆 著</t>
  </si>
  <si>
    <t>圓神</t>
  </si>
  <si>
    <t>9789861336732</t>
  </si>
  <si>
    <t>好評暢銷書《受傷的孩子和壞掉的大人》作者陳志恆，引領你化家庭的束縛為支持，朝著自己的夢想邁進！</t>
    <phoneticPr fontId="4" type="noConversion"/>
  </si>
  <si>
    <t>那些慾望城市教我的事：愛自己，少了他的愛也不會死</t>
  </si>
  <si>
    <t>郡俏哲理</t>
  </si>
  <si>
    <t>9789864757985</t>
  </si>
  <si>
    <t>終於，可以好好說再見：當我們失去最愛的人，該如何走出悲傷？</t>
  </si>
  <si>
    <t>傑夫‧布雷澤</t>
  </si>
  <si>
    <t>平安</t>
  </si>
  <si>
    <t>9789869704656</t>
  </si>
  <si>
    <t xml:space="preserve">變老的勇氣：《被討厭的勇氣》作者教你如何擁有更精采的人生下半場! </t>
    <phoneticPr fontId="4" type="noConversion"/>
  </si>
  <si>
    <t>岸見一郎</t>
  </si>
  <si>
    <t>9789869704632</t>
  </si>
  <si>
    <t>金繕身心修復術：碎裂傷痕為何讓人與物增添價值？</t>
  </si>
  <si>
    <t>坎蒂斯‧熊井</t>
  </si>
  <si>
    <t>9789579164658</t>
  </si>
  <si>
    <t xml:space="preserve">
 作者是國際知名的健康專欄作家、廚師</t>
    <phoneticPr fontId="4" type="noConversion"/>
  </si>
  <si>
    <t>媽媽，我是妳想要的孩子嗎？：爸媽難相處？因為「色難」。</t>
  </si>
  <si>
    <t>林巨</t>
  </si>
  <si>
    <t>9789579164610</t>
  </si>
  <si>
    <t>我不是教你賤</t>
  </si>
  <si>
    <t>血腥瑪莉</t>
  </si>
  <si>
    <t>野火文化</t>
  </si>
  <si>
    <t>9789869624893</t>
  </si>
  <si>
    <t>親愛的，你可以不那麼堅強</t>
  </si>
  <si>
    <t>徐竹</t>
  </si>
  <si>
    <t>晶冠</t>
  </si>
  <si>
    <t>9789869642965</t>
  </si>
  <si>
    <t>後山棒球夢：海星棒球隊的逐夢之旅</t>
  </si>
  <si>
    <t>游弘宇</t>
  </si>
  <si>
    <t>釀出版</t>
  </si>
  <si>
    <t>9789864452774</t>
  </si>
  <si>
    <t>人生很難!：改變自己明知的爛習慣，就可以遠離糟糕的人生，找到幸福</t>
    <phoneticPr fontId="4" type="noConversion"/>
  </si>
  <si>
    <t>安德莉亞．歐文</t>
  </si>
  <si>
    <t>新自然主義</t>
  </si>
  <si>
    <t>9789869693769</t>
  </si>
  <si>
    <t>我是一位「少」奶奶：2寶地方媽媽的戰勝乳癌求生記</t>
  </si>
  <si>
    <t>王筠銨</t>
  </si>
  <si>
    <t>捷徑</t>
  </si>
  <si>
    <t>9789578904583</t>
  </si>
  <si>
    <t>媽媽的悔過書：我是最成功的老師，卻是最失敗的母親，一位校長媽媽沉痛的真實自白。</t>
    <phoneticPr fontId="4" type="noConversion"/>
  </si>
  <si>
    <t>李柳南著</t>
  </si>
  <si>
    <t>采實</t>
  </si>
  <si>
    <t>9789578950702</t>
  </si>
  <si>
    <t>★ 2017 讀者票選的年度必讀書籍</t>
    <phoneticPr fontId="4" type="noConversion"/>
  </si>
  <si>
    <t>朵朵小語：好喜歡這樣的自己</t>
  </si>
  <si>
    <t>朵朵</t>
  </si>
  <si>
    <t>皇冠</t>
  </si>
  <si>
    <t>9789573334149</t>
  </si>
  <si>
    <t>為什麼法國女人保鮮期特別長？：法式經典魅惑力23講</t>
    <phoneticPr fontId="4" type="noConversion"/>
  </si>
  <si>
    <t>周品慧</t>
  </si>
  <si>
    <t>有方文化</t>
  </si>
  <si>
    <t>9789869691819</t>
  </si>
  <si>
    <t>每一刻‧都是最好的時光：一日一練習‧找回美好人生健康轉速的100項正念日常</t>
    <phoneticPr fontId="4" type="noConversion"/>
  </si>
  <si>
    <t>佩德蘭‧修賈</t>
  </si>
  <si>
    <t>9789571376301</t>
  </si>
  <si>
    <t>為愛奔波</t>
  </si>
  <si>
    <t>陳文茜</t>
  </si>
  <si>
    <t>9789571376097</t>
  </si>
  <si>
    <t>情緒成本Emotional cost：財務報表看不見，卻是最昂貴的一種隱藏成本。</t>
    <phoneticPr fontId="4" type="noConversion"/>
  </si>
  <si>
    <t>紀坪</t>
  </si>
  <si>
    <t>9789571376165</t>
  </si>
  <si>
    <t xml:space="preserve">深度洞察力：克服認知偏見，喚醒自我覺察，看清內在的自己，也了解別人如何看待你 </t>
    <phoneticPr fontId="4" type="noConversion"/>
  </si>
  <si>
    <t>塔莎．歐里希</t>
  </si>
  <si>
    <t>9789571375809</t>
  </si>
  <si>
    <t>《商業內幕》、《strategy+business》雜誌評選為2017年最佳選書</t>
    <phoneticPr fontId="4" type="noConversion"/>
  </si>
  <si>
    <t>儀式感：把將就的日子過成講究的生活</t>
  </si>
  <si>
    <t>高瑞灃</t>
  </si>
  <si>
    <t>9789571375984</t>
  </si>
  <si>
    <t>成就渴望的臨界點：心想事成方程式</t>
    <phoneticPr fontId="4" type="noConversion"/>
  </si>
  <si>
    <t>許宏</t>
  </si>
  <si>
    <t>布克</t>
  </si>
  <si>
    <t>9789579699532</t>
  </si>
  <si>
    <t>人生的四大祕密（暢銷改版）</t>
  </si>
  <si>
    <t>亞當．傑克遜</t>
  </si>
  <si>
    <t>商周</t>
  </si>
  <si>
    <t>4717702904258</t>
  </si>
  <si>
    <t>為什麼我們不欠父母?!不談義務，不是責任，我們依然可以選擇好好愛父母</t>
    <phoneticPr fontId="4" type="noConversion"/>
  </si>
  <si>
    <t>芭芭拉．布萊許</t>
  </si>
  <si>
    <t>9789864775712</t>
  </si>
  <si>
    <t>Smile 365 勇敢微笑，和更好的自己相遇</t>
  </si>
  <si>
    <t>東京咖哩番長/水野仁輔</t>
  </si>
  <si>
    <t>麥浩斯</t>
  </si>
  <si>
    <t>9789864084487</t>
  </si>
  <si>
    <t>生活風格/圗文書</t>
    <phoneticPr fontId="4" type="noConversion"/>
  </si>
  <si>
    <t>當你的孩子長大卻不「成人」……放下身為父母的自責與內疚、接受孩子不如期望的事實，重拾自己的中老後人生!</t>
    <phoneticPr fontId="4" type="noConversion"/>
  </si>
  <si>
    <t>珍．亞當斯博士</t>
  </si>
  <si>
    <t>橡樹林</t>
  </si>
  <si>
    <t>9789865613877</t>
  </si>
  <si>
    <t>當孩子長大卻不「成人」……接受孩子不如期望的事實、放下身為父母的自責與內疚，重拾自己的中老後人生！</t>
    <phoneticPr fontId="4" type="noConversion"/>
  </si>
  <si>
    <t>人生好貴，請別浪費</t>
  </si>
  <si>
    <t>特立獨行的貓</t>
  </si>
  <si>
    <t>高寶</t>
  </si>
  <si>
    <t>9789863616214</t>
  </si>
  <si>
    <t>百萬級勵志暢銷書作家，振奮人心年度新作，
 寫給當今年輕人的成長激勵之書</t>
    <phoneticPr fontId="4" type="noConversion"/>
  </si>
  <si>
    <t>你缺的不是錢，是奮力脫貧的決心</t>
  </si>
  <si>
    <t>?妖叨叨</t>
  </si>
  <si>
    <t>9789863616092</t>
  </si>
  <si>
    <t>直視死亡的勇氣：一位安寧療護醫師教你善終的可能，更教你活著的勇氣</t>
    <phoneticPr fontId="4" type="noConversion"/>
  </si>
  <si>
    <t>艾拉‧碧阿克</t>
  </si>
  <si>
    <t>9789863616153</t>
  </si>
  <si>
    <t>張口，愛的堆疊：「張老師」教我的49件事</t>
  </si>
  <si>
    <t>主編者-台中「張老師」中心</t>
  </si>
  <si>
    <t>張老師</t>
  </si>
  <si>
    <t>9789576939235</t>
  </si>
  <si>
    <t>處理隱象：從令人覺得棘手的對話到健康的溝通</t>
  </si>
  <si>
    <t>邁克?貝勒</t>
  </si>
  <si>
    <t>9789864002283</t>
  </si>
  <si>
    <t>★ 美國亞馬遜 5 顆星評價！</t>
    <phoneticPr fontId="4" type="noConversion"/>
  </si>
  <si>
    <t>說話有夠神：聖經教我的幸福說話術</t>
  </si>
  <si>
    <t>施以諾</t>
  </si>
  <si>
    <t>橄欖</t>
  </si>
  <si>
    <t>9789575568504</t>
  </si>
  <si>
    <t>★ 暢銷心靈作家2018最新力作！</t>
    <phoneticPr fontId="4" type="noConversion"/>
  </si>
  <si>
    <t>言語暴力：如何辨識生活中的言語攻擊行為，適當應對，有效捍衛自己</t>
    <phoneticPr fontId="4" type="noConversion"/>
  </si>
  <si>
    <t>派翠西亞‧伊凡斯</t>
  </si>
  <si>
    <t>9789573284093</t>
  </si>
  <si>
    <t>當下即自由：正念大師教你擺脫苦痛、執著，於所在的地方找到勇氣、愛與喜悅</t>
    <phoneticPr fontId="4" type="noConversion"/>
  </si>
  <si>
    <t>傑克．康菲爾德</t>
  </si>
  <si>
    <t>9789862487709</t>
  </si>
  <si>
    <t>傑克．康菲爾德是世界知名冥想導師、心理學家，也是將「正念」引進西方的重要大師。</t>
    <phoneticPr fontId="4" type="noConversion"/>
  </si>
  <si>
    <t>中年重生：以上半生的智慧，得下半生的幸福</t>
  </si>
  <si>
    <t>林凱沁</t>
  </si>
  <si>
    <t>城邦印書館</t>
  </si>
  <si>
    <t>9789578679498</t>
  </si>
  <si>
    <t>在咖啡館告別悲傷：一筆畫繪出不中斷的人生</t>
  </si>
  <si>
    <t>Ling Ng</t>
  </si>
  <si>
    <t>質人文化</t>
  </si>
  <si>
    <t>9789869112499</t>
  </si>
  <si>
    <t>余光中美麗島詩選</t>
  </si>
  <si>
    <t>余光中</t>
  </si>
  <si>
    <t>九歌</t>
  </si>
  <si>
    <t>9789864502226</t>
  </si>
  <si>
    <t>文學小說/現代詩</t>
    <phoneticPr fontId="4" type="noConversion"/>
  </si>
  <si>
    <t>我會學著讓恐懼報數</t>
  </si>
  <si>
    <t>王姿雯</t>
  </si>
  <si>
    <t>9789864502233</t>
  </si>
  <si>
    <t>相愛的日子</t>
  </si>
  <si>
    <t>畢飛宇</t>
  </si>
  <si>
    <t>9789864502240</t>
  </si>
  <si>
    <t>文學小說</t>
    <phoneticPr fontId="4" type="noConversion"/>
  </si>
  <si>
    <t>刺蝟女孩：為什麼痛的是我？</t>
  </si>
  <si>
    <t>張閔筑</t>
  </si>
  <si>
    <t>9789576580895</t>
  </si>
  <si>
    <t>假面飯店：假面之夜</t>
  </si>
  <si>
    <t>東野圭吾</t>
  </si>
  <si>
    <t>9789576580789</t>
  </si>
  <si>
    <t>文學小說/推理</t>
    <phoneticPr fontId="4" type="noConversion"/>
  </si>
  <si>
    <t>東野圭吾三大經典必讀長篇系列之一</t>
    <phoneticPr fontId="4" type="noConversion"/>
  </si>
  <si>
    <t>漢摩拉比小姐：現任法官寫的法庭小說</t>
  </si>
  <si>
    <t>文裕皙</t>
  </si>
  <si>
    <t>大田</t>
  </si>
  <si>
    <t>9789861795461</t>
  </si>
  <si>
    <t>★第一本由現任法官寫出的法庭小說</t>
    <phoneticPr fontId="4" type="noConversion"/>
  </si>
  <si>
    <t>濫情中年：米果的大人情感學</t>
  </si>
  <si>
    <t>米果</t>
  </si>
  <si>
    <t>9789861795430</t>
  </si>
  <si>
    <t>文學小說/散文</t>
    <phoneticPr fontId="4" type="noConversion"/>
  </si>
  <si>
    <t>今古奇觀一．十娘沉寶</t>
  </si>
  <si>
    <t>抱甕老人/編者：曾珮琦</t>
  </si>
  <si>
    <t>9789861784731</t>
  </si>
  <si>
    <t>文學小說/古典</t>
    <phoneticPr fontId="4" type="noConversion"/>
  </si>
  <si>
    <t>漫漫古典情2：詩詞那一刻</t>
  </si>
  <si>
    <t>樸月</t>
  </si>
  <si>
    <t>9789861784779</t>
  </si>
  <si>
    <t>文學小說/ 詩詞曲賦</t>
    <phoneticPr fontId="4" type="noConversion"/>
  </si>
  <si>
    <t>諾桑覺寺【經典插圖版】</t>
  </si>
  <si>
    <t>珍．奧斯汀</t>
  </si>
  <si>
    <t>9789861784724</t>
  </si>
  <si>
    <t>文學小說/經典</t>
    <phoneticPr fontId="4" type="noConversion"/>
  </si>
  <si>
    <t>新裝插圖珍藏版，收錄英國原版《諾桑覺寺》插畫</t>
    <phoneticPr fontId="4" type="noConversion"/>
  </si>
  <si>
    <t>移動城市系列收藏套書</t>
  </si>
  <si>
    <t>菲利普．雷夫</t>
  </si>
  <si>
    <t>9789864435388</t>
  </si>
  <si>
    <t>文學小說/科幻</t>
    <phoneticPr fontId="4" type="noConversion"/>
  </si>
  <si>
    <t>英國卡內基文學獎得主一鳴驚人之作！</t>
    <phoneticPr fontId="4" type="noConversion"/>
  </si>
  <si>
    <t>惡之谷</t>
  </si>
  <si>
    <t>盧卡?丹德里亞</t>
  </si>
  <si>
    <t>9789869678346</t>
  </si>
  <si>
    <t>★ 2016年倫敦書展大熱門，版權迅速銷售三十五國！</t>
    <phoneticPr fontId="4" type="noConversion"/>
  </si>
  <si>
    <t>ST警視廳科學特搜班：為朝傳說殺人檔案</t>
  </si>
  <si>
    <t>今野敏</t>
  </si>
  <si>
    <t>青空文化</t>
  </si>
  <si>
    <t>9789869605175</t>
  </si>
  <si>
    <t>跳躍千年的今野敏警察小說代表作！</t>
    <phoneticPr fontId="4" type="noConversion"/>
  </si>
  <si>
    <t>倫 · 不倫，愛之外的其他</t>
  </si>
  <si>
    <t>蔡孟利</t>
  </si>
  <si>
    <t>斑馬線</t>
  </si>
  <si>
    <t>9789869672269</t>
  </si>
  <si>
    <t>意識生活</t>
  </si>
  <si>
    <t>張寶云</t>
  </si>
  <si>
    <t>9789869672276</t>
  </si>
  <si>
    <t>獨家新聞</t>
  </si>
  <si>
    <t>伊夫林．沃</t>
  </si>
  <si>
    <t>避風港</t>
  </si>
  <si>
    <t>9789869705110</t>
  </si>
  <si>
    <t>★20世紀百大英文小說</t>
    <phoneticPr fontId="4" type="noConversion"/>
  </si>
  <si>
    <t>羅士庭</t>
  </si>
  <si>
    <t>9789864061396</t>
  </si>
  <si>
    <t>文學小說</t>
  </si>
  <si>
    <t>向文學大師、經典巨作致敬的奇異之作！</t>
    <phoneticPr fontId="4" type="noConversion"/>
  </si>
  <si>
    <t>打開文學的方式：練習當個「細讀者」，你也是世界文學業餘分析師</t>
  </si>
  <si>
    <t>王敦</t>
  </si>
  <si>
    <t>大寫</t>
  </si>
  <si>
    <t>9789579689274</t>
  </si>
  <si>
    <t>文學小說/文學研究</t>
    <phoneticPr fontId="4" type="noConversion"/>
  </si>
  <si>
    <t>小男孩長大後：爺爺和我續集【六十年暢銷經典版】(二版)</t>
  </si>
  <si>
    <t>魯瓦克</t>
  </si>
  <si>
    <t>如果</t>
  </si>
  <si>
    <t>9789869689618</t>
  </si>
  <si>
    <t>文學小說/溫馨療癒</t>
    <phoneticPr fontId="4" type="noConversion"/>
  </si>
  <si>
    <t>暢銷經典《爺爺和我》續作★美國亞馬遜網站讀者5顆星推薦</t>
    <phoneticPr fontId="4" type="noConversion"/>
  </si>
  <si>
    <t>爺爺和我【六十年暢銷經典版】】(二版)</t>
  </si>
  <si>
    <t>9789869689625</t>
  </si>
  <si>
    <t>★台灣讀者最希望重讀的懷念作品前3名</t>
    <phoneticPr fontId="4" type="noConversion"/>
  </si>
  <si>
    <t>一千零一夜故事集【最具代表性的原型故事新譯版】</t>
  </si>
  <si>
    <t>鄧嘉宛</t>
  </si>
  <si>
    <t>漫遊者</t>
  </si>
  <si>
    <t>9789864893133</t>
  </si>
  <si>
    <t>朱嘉雯私房紅學2</t>
  </si>
  <si>
    <t>9789863983934</t>
  </si>
  <si>
    <t>要求特別多的餐廳：尋回失落初心的澄淨原野，宮澤賢治經典短篇集</t>
  </si>
  <si>
    <t>宮澤賢治</t>
  </si>
  <si>
    <t>大牌</t>
  </si>
  <si>
    <t>9789869664493</t>
  </si>
  <si>
    <t>是宮澤賢治生前少數出版的童話集，與〈銀河鐵道之夜〉並列為宮澤賢治最著名的代表作</t>
    <phoneticPr fontId="4" type="noConversion"/>
  </si>
  <si>
    <t>人間滅亡：日本文豪的厭世人生指南</t>
  </si>
  <si>
    <t>深澤七郎</t>
  </si>
  <si>
    <t>不二家</t>
  </si>
  <si>
    <t>9789869706902</t>
  </si>
  <si>
    <t>以《楢山節考》震撼文壇的天才小說家，與新世代交鋒的厭世人生指南</t>
    <phoneticPr fontId="4" type="noConversion"/>
  </si>
  <si>
    <t>文學種籽（全新修訂典藏版）</t>
  </si>
  <si>
    <t>王鼎鈞</t>
  </si>
  <si>
    <t>9789863596226</t>
  </si>
  <si>
    <t>豐饒之海典藏套書</t>
    <phoneticPr fontId="4" type="noConversion"/>
  </si>
  <si>
    <t>三島由紀夫</t>
  </si>
  <si>
    <t>2018/11</t>
    <phoneticPr fontId="4" type="noConversion"/>
  </si>
  <si>
    <t>9789863595458</t>
  </si>
  <si>
    <t>三島由紀夫最引人爭議、最驚人、最後的文學綻放</t>
    <phoneticPr fontId="4" type="noConversion"/>
  </si>
  <si>
    <t>https://www.books.com.tw/products/0010804108</t>
    <phoneticPr fontId="4" type="noConversion"/>
  </si>
  <si>
    <t>理性與感性</t>
  </si>
  <si>
    <t>珍‧奧斯汀</t>
  </si>
  <si>
    <t>9789863596134</t>
  </si>
  <si>
    <t>勸服</t>
  </si>
  <si>
    <t>9789863596189</t>
  </si>
  <si>
    <t>珍•奧斯汀生前最後一部作品</t>
    <phoneticPr fontId="4" type="noConversion"/>
  </si>
  <si>
    <t>雨月物語（上）</t>
  </si>
  <si>
    <t>上田秋成</t>
  </si>
  <si>
    <t>光現</t>
  </si>
  <si>
    <t>9789869697415</t>
  </si>
  <si>
    <t>★日本怪談經典‧首次發行完整正體中文版。</t>
    <phoneticPr fontId="4" type="noConversion"/>
  </si>
  <si>
    <t>雨月物語（下）</t>
    <phoneticPr fontId="4" type="noConversion"/>
  </si>
  <si>
    <t>2019/01</t>
    <phoneticPr fontId="4" type="noConversion"/>
  </si>
  <si>
    <t>9789869697422</t>
    <phoneticPr fontId="4" type="noConversion"/>
  </si>
  <si>
    <t>https://www.books.com.tw/products/0010810668</t>
    <phoneticPr fontId="4" type="noConversion"/>
  </si>
  <si>
    <t>卡比爾之歌 100首靈性詩選（中英對照）</t>
  </si>
  <si>
    <t>卡比爾</t>
  </si>
  <si>
    <t>自由之丘</t>
  </si>
  <si>
    <t>9789869695824</t>
  </si>
  <si>
    <t>影響泰戈爾最深、最受推崇的印度詩人</t>
    <phoneticPr fontId="4" type="noConversion"/>
  </si>
  <si>
    <t>黃色電影： 格雷安．葛林短篇小說全集 I</t>
  </si>
  <si>
    <t>格雷安．葛林</t>
  </si>
  <si>
    <t>9789869695831</t>
  </si>
  <si>
    <t>二十世紀最重要文學大家、諾貝爾文學獎入圍21次，最膾炙人口的短篇小說，尖銳刻出每一場情愛的興艾始末。</t>
    <phoneticPr fontId="4" type="noConversion"/>
  </si>
  <si>
    <t>小安娜：正能量少女《波麗安娜》鼓舞千萬人的開心遊戲物語</t>
  </si>
  <si>
    <t>愛蓮娜．霍奇曼．波特</t>
  </si>
  <si>
    <t>9789863843252</t>
  </si>
  <si>
    <t>全世界公認的「快樂聖經」、「樂觀守則」，
 影響力無遠弗屆，心理學都因此書生出新詞彙「波麗安娜效應」！</t>
    <phoneticPr fontId="4" type="noConversion"/>
  </si>
  <si>
    <t>唐朝有嘻哈：唐詩Hip-Hop新解。從海選到決賽，直播大唐國民詩人freestyle說唱現場 &amp; 燃炸battle戰</t>
    <phoneticPr fontId="4" type="noConversion"/>
  </si>
  <si>
    <t>古人很潮</t>
  </si>
  <si>
    <t>9789863843245</t>
  </si>
  <si>
    <t>文學小說/詩詞曲賦</t>
    <phoneticPr fontId="4" type="noConversion"/>
  </si>
  <si>
    <t>巴黎</t>
  </si>
  <si>
    <t>艾力克．菲耶</t>
  </si>
  <si>
    <t>衛城</t>
  </si>
  <si>
    <t>9789869351881</t>
  </si>
  <si>
    <t>在萬物中暗送秋波：俞心樵詩集 2</t>
  </si>
  <si>
    <t>俞心樵</t>
  </si>
  <si>
    <t>福隆工作坊</t>
  </si>
  <si>
    <t>9789863901488</t>
  </si>
  <si>
    <t>一點一點流光（中西兩翻雙書封設計）</t>
  </si>
  <si>
    <t>洪丹 著</t>
  </si>
  <si>
    <t>9789861336725</t>
  </si>
  <si>
    <t>集文學素養、幽默風趣「哭叟詩人」洪丹，將顛覆你對詩的想像！</t>
    <phoneticPr fontId="4" type="noConversion"/>
  </si>
  <si>
    <t>記憶倒數24小時</t>
  </si>
  <si>
    <t>費莉希亞．葉 Felicia Yap 著</t>
  </si>
  <si>
    <t>9789861336701</t>
  </si>
  <si>
    <t xml:space="preserve">
 亞馬遜書評「最愛驚悚好書」</t>
    <phoneticPr fontId="4" type="noConversion"/>
  </si>
  <si>
    <t>靈影危戀</t>
  </si>
  <si>
    <t>珍．安．克蘭茲</t>
  </si>
  <si>
    <t>四季國際</t>
  </si>
  <si>
    <t>9789578661189</t>
  </si>
  <si>
    <t>我與老師</t>
  </si>
  <si>
    <t xml:space="preserve"> 坂木司</t>
    <phoneticPr fontId="4" type="noConversion"/>
  </si>
  <si>
    <t>春天</t>
  </si>
  <si>
    <t>9789579609630</t>
  </si>
  <si>
    <t>暢銷小說《和菓子的杏》作者溫馨療癒力作！</t>
    <phoneticPr fontId="4" type="noConversion"/>
  </si>
  <si>
    <t>長夜難明</t>
  </si>
  <si>
    <t>紫金陳</t>
  </si>
  <si>
    <t>9789579609951</t>
  </si>
  <si>
    <t>《無證之罪》影劇原著</t>
    <phoneticPr fontId="4" type="noConversion"/>
  </si>
  <si>
    <t>流星休旅車</t>
  </si>
  <si>
    <t>重松清</t>
  </si>
  <si>
    <t>9789579609838</t>
  </si>
  <si>
    <t>《書的雜誌》評選「年度最佳第一名」感人療癒大作！</t>
    <phoneticPr fontId="4" type="noConversion"/>
  </si>
  <si>
    <t>庭州諜影</t>
  </si>
  <si>
    <t>唐隱</t>
  </si>
  <si>
    <t>9789579609982</t>
  </si>
  <si>
    <t>繼《蘭亭序密碼》之後《大唐懸疑錄》系列新篇章，更加燒腦的狄仁傑探案！</t>
    <phoneticPr fontId="4" type="noConversion"/>
  </si>
  <si>
    <t>處處藍天</t>
  </si>
  <si>
    <t>珍狄．妮爾遜</t>
  </si>
  <si>
    <t>9789577411754</t>
  </si>
  <si>
    <t>●芝加哥公共圖書館年度選書
●美國青少年圖書館服務協會年度最佳小說獎
 　　</t>
    <phoneticPr fontId="4" type="noConversion"/>
  </si>
  <si>
    <t>創傷迷宮</t>
  </si>
  <si>
    <t>詹姆斯．麥克奈許</t>
  </si>
  <si>
    <t>9789579609975</t>
  </si>
  <si>
    <t>　紐西蘭知名文學家詹姆斯．麥克奈許優美細膩、發人深省之作！</t>
    <phoneticPr fontId="4" type="noConversion"/>
  </si>
  <si>
    <t>藥丸奧斯卡（第一部）醫族現世</t>
  </si>
  <si>
    <t>艾力．安德森</t>
  </si>
  <si>
    <t>9789579609494</t>
  </si>
  <si>
    <t>青少年/科幻小說</t>
    <phoneticPr fontId="4" type="noConversion"/>
  </si>
  <si>
    <t>＊獲頒法國青少年文學獎（Prix Ados 2011）</t>
    <phoneticPr fontId="4" type="noConversion"/>
  </si>
  <si>
    <t>戰火人生：越南詩人陳潤明詩選</t>
  </si>
  <si>
    <t>陳潤明</t>
  </si>
  <si>
    <t>亞細亞國際傳</t>
  </si>
  <si>
    <t>9789869447935</t>
  </si>
  <si>
    <t>在船上：2018全國台灣文學營創作獎得獎作品集</t>
  </si>
  <si>
    <t>蕭培絜 等</t>
  </si>
  <si>
    <t>印刻</t>
  </si>
  <si>
    <t>9789863872665</t>
  </si>
  <si>
    <t xml:space="preserve">物志：從古典到現代的文學「物」語 </t>
    <phoneticPr fontId="4" type="noConversion"/>
  </si>
  <si>
    <t>鄭穎</t>
  </si>
  <si>
    <t>9789863872634</t>
  </si>
  <si>
    <t>良言寫意（上）</t>
    <phoneticPr fontId="4" type="noConversion"/>
  </si>
  <si>
    <t>木浮生</t>
  </si>
  <si>
    <t>尖端</t>
  </si>
  <si>
    <t>2018/12</t>
    <phoneticPr fontId="4" type="noConversion"/>
  </si>
  <si>
    <t>9789571078854</t>
    <phoneticPr fontId="4" type="noConversion"/>
  </si>
  <si>
    <t>文學小說/愛情</t>
    <phoneticPr fontId="4" type="noConversion"/>
  </si>
  <si>
    <t>https://www.books.com.tw/products/0010807271?loc=P_asb_001</t>
    <phoneticPr fontId="4" type="noConversion"/>
  </si>
  <si>
    <t>良言寫意（下）</t>
  </si>
  <si>
    <t>9789571084299</t>
  </si>
  <si>
    <t>星辰的三分之一</t>
  </si>
  <si>
    <t>提子墨</t>
  </si>
  <si>
    <t>9789571083100</t>
  </si>
  <si>
    <t>★台灣首位同時入選「英國犯罪作家協會」與
 「加拿大犯罪作家協會」會員作家最新推理創作！</t>
    <phoneticPr fontId="4" type="noConversion"/>
  </si>
  <si>
    <t>尋找無限的盡頭</t>
  </si>
  <si>
    <t>約翰‧葛林</t>
  </si>
  <si>
    <t>9789571083377</t>
  </si>
  <si>
    <t>青少年/ 溫馨勵志小說</t>
    <phoneticPr fontId="4" type="noConversion"/>
  </si>
  <si>
    <t>《生命中的美好缺憾》作者最新感人首部半自傳性作品，▎囊括各大書籍獎項，紐約時報、時代雜誌、好讀網等皆遴選為「2017年最佳選書」。</t>
    <phoneticPr fontId="4" type="noConversion"/>
  </si>
  <si>
    <t>證詞</t>
  </si>
  <si>
    <t>八千子</t>
  </si>
  <si>
    <t>9789571083094</t>
  </si>
  <si>
    <t>鬼畫符 全集</t>
  </si>
  <si>
    <t>北嶺鬼盜</t>
  </si>
  <si>
    <t>普天</t>
  </si>
  <si>
    <t>9789869652476</t>
  </si>
  <si>
    <t>文學小說/恐怖驚悚</t>
    <phoneticPr fontId="4" type="noConversion"/>
  </si>
  <si>
    <t>鬼靈報告書(上卷)馭鬼之術</t>
  </si>
  <si>
    <t>大力金剛掌</t>
  </si>
  <si>
    <t>9789863895619</t>
  </si>
  <si>
    <t>鬼靈報告書(下卷)最高機密</t>
  </si>
  <si>
    <t>9789863895626</t>
  </si>
  <si>
    <t xml:space="preserve">隋唐其實很有趣(全集)：梟雄戰梟雄.王牌對王牌 </t>
    <phoneticPr fontId="4" type="noConversion"/>
  </si>
  <si>
    <t>北溟玉</t>
  </si>
  <si>
    <t>9789863895657</t>
  </si>
  <si>
    <t>文學小說/歷史</t>
    <phoneticPr fontId="4" type="noConversion"/>
  </si>
  <si>
    <t>王勇截句</t>
  </si>
  <si>
    <t>王勇</t>
  </si>
  <si>
    <t>9789863266204</t>
  </si>
  <si>
    <t xml:space="preserve">虹橋與極光：紀弦、覃子豪、林亨泰詩學理論中的象徵與現代 </t>
    <phoneticPr fontId="4" type="noConversion"/>
  </si>
  <si>
    <t>朱天　著；李瑞騰　主編</t>
  </si>
  <si>
    <t>9789869618694</t>
  </si>
  <si>
    <t>時間的迷霧</t>
  </si>
  <si>
    <t>莫云</t>
  </si>
  <si>
    <t>9789863266334</t>
  </si>
  <si>
    <t>時間的擾動</t>
  </si>
  <si>
    <t>夏婉雲　著；李瑞騰　主編</t>
  </si>
  <si>
    <t>9789869705301</t>
  </si>
  <si>
    <t>馬華截句選</t>
  </si>
  <si>
    <t>辛金順主編</t>
  </si>
  <si>
    <t>9789863266310</t>
  </si>
  <si>
    <t>野生截句</t>
  </si>
  <si>
    <t>白靈</t>
  </si>
  <si>
    <t>9789863266365</t>
  </si>
  <si>
    <t>魚跳：2018臉書截句選300首</t>
  </si>
  <si>
    <t>白靈編選</t>
  </si>
  <si>
    <t>9789863266426</t>
  </si>
  <si>
    <t>菲華截句選</t>
  </si>
  <si>
    <t>王勇主編</t>
  </si>
  <si>
    <t>9789863266303</t>
  </si>
  <si>
    <t>越華截句選</t>
  </si>
  <si>
    <t>林曉東主編</t>
  </si>
  <si>
    <t>9789863266280</t>
  </si>
  <si>
    <t>新華截句選</t>
  </si>
  <si>
    <t>卡夫</t>
  </si>
  <si>
    <t>9789863266440</t>
  </si>
  <si>
    <t>截竹為筒作笛吹：截句詩「誤讀」</t>
  </si>
  <si>
    <t>余境熹</t>
  </si>
  <si>
    <t>9789863266457</t>
  </si>
  <si>
    <t>緬華截句選</t>
  </si>
  <si>
    <t>王崇喜主編</t>
  </si>
  <si>
    <t>9789863266198</t>
  </si>
  <si>
    <t>草莓班長．焦糖風紀</t>
  </si>
  <si>
    <t>牧童</t>
  </si>
  <si>
    <t>要有光</t>
  </si>
  <si>
    <t>9789869669382</t>
  </si>
  <si>
    <t>繼《誰是我的守護天使》、《原來幸褔一直都在》後，華岡傳說系列第三部曲。</t>
    <phoneticPr fontId="4" type="noConversion"/>
  </si>
  <si>
    <t>愛這個世界，雖然它不夠完美</t>
  </si>
  <si>
    <t>張家渝</t>
  </si>
  <si>
    <t>獵海人</t>
  </si>
  <si>
    <t>9789869698535</t>
  </si>
  <si>
    <t>文學小說/ 旅遊文學</t>
    <phoneticPr fontId="4" type="noConversion"/>
  </si>
  <si>
    <t>花神</t>
  </si>
  <si>
    <t>徐訏</t>
  </si>
  <si>
    <t>9789864452859</t>
  </si>
  <si>
    <t>活著，在這一年Staying Living and Lively, in This Year：林煥彰中英對照詩集</t>
    <phoneticPr fontId="4" type="noConversion"/>
  </si>
  <si>
    <t>林煥彰-著；黃敏裕-譯</t>
  </si>
  <si>
    <t>9789864452972</t>
  </si>
  <si>
    <t>海上花：初雪</t>
  </si>
  <si>
    <t>李惠娟</t>
  </si>
  <si>
    <t>9789864453016</t>
  </si>
  <si>
    <t>《大囍臨門》、《艋舺的女人》知名編劇李惠娟．醞釀多年長篇小說問世。</t>
    <phoneticPr fontId="4" type="noConversion"/>
  </si>
  <si>
    <t>假的我眼睛業障重啊：書評體的百萬種測試與生命叩問</t>
  </si>
  <si>
    <t>紀昭君</t>
  </si>
  <si>
    <t>9789864452866</t>
  </si>
  <si>
    <t>既是書評也是文學創作：寫作教學書《小說之神就是你》的正宗精神續作！</t>
    <phoneticPr fontId="4" type="noConversion"/>
  </si>
  <si>
    <t>華文俳句選：吟詠當下的美學</t>
  </si>
  <si>
    <t>吳衛峰、洪郁芬、郭至卿…等 合著</t>
  </si>
  <si>
    <t>9789864453023</t>
  </si>
  <si>
    <t>驚叫ABC</t>
  </si>
  <si>
    <t>山梗菜</t>
  </si>
  <si>
    <t>9789864452958</t>
  </si>
  <si>
    <t xml:space="preserve">文學小說/恐怖驚悚
</t>
    <phoneticPr fontId="4" type="noConversion"/>
  </si>
  <si>
    <t>貝神的召喚：穿越南鄒迷霧的拉阿魯哇</t>
  </si>
  <si>
    <t>李友煌</t>
  </si>
  <si>
    <t>9789869693721</t>
  </si>
  <si>
    <t>台灣1970世代詩人詩選集(紫綠二色書衣‧隨機出貨)</t>
  </si>
  <si>
    <t>陳皓‧楊宗翰</t>
  </si>
  <si>
    <t>小雅文創</t>
  </si>
  <si>
    <t>9789869566582</t>
  </si>
  <si>
    <t>時間之外─劉美娜詩集</t>
  </si>
  <si>
    <t>劉美娜</t>
  </si>
  <si>
    <t>9789869566551</t>
  </si>
  <si>
    <t>問天</t>
  </si>
  <si>
    <t>Yang</t>
  </si>
  <si>
    <t>字遊</t>
  </si>
  <si>
    <t>9789578612563</t>
  </si>
  <si>
    <t>不會吧，是我腦洞嗎?</t>
  </si>
  <si>
    <t>城旭遠</t>
  </si>
  <si>
    <t>帕斯頓(立京)</t>
  </si>
  <si>
    <t>9789869670685</t>
  </si>
  <si>
    <t>★夢想系人氣作家城旭遠，全新都會愛情原創小說！</t>
    <phoneticPr fontId="4" type="noConversion"/>
  </si>
  <si>
    <t>德米安：彷徨少年時</t>
  </si>
  <si>
    <t>赫曼．赫塞</t>
  </si>
  <si>
    <t>華滋</t>
  </si>
  <si>
    <t>9789867101822</t>
  </si>
  <si>
    <t>回聲世界</t>
  </si>
  <si>
    <t>馬可斯．塞基</t>
  </si>
  <si>
    <t>9789573334132</t>
  </si>
  <si>
    <t>擊敗《哈利波特》，榮登Amazon電子書總榜冠軍！</t>
    <phoneticPr fontId="4" type="noConversion"/>
  </si>
  <si>
    <t>乾隆韻事【全新版】：《延禧攻略》和《如懿傳》裡看不到的乾隆!</t>
    <phoneticPr fontId="4" type="noConversion"/>
  </si>
  <si>
    <t>高陽</t>
  </si>
  <si>
    <t>9789573334101</t>
  </si>
  <si>
    <t xml:space="preserve">一代大師高陽最膾炙人口的代表作! </t>
    <phoneticPr fontId="4" type="noConversion"/>
  </si>
  <si>
    <t>鴨川食堂‧再來一碗</t>
  </si>
  <si>
    <t>柏井 壽</t>
  </si>
  <si>
    <t>9789573334118</t>
  </si>
  <si>
    <t>暌違3年，最療癒人心的「鴨川食堂」終於重新開張！</t>
    <phoneticPr fontId="4" type="noConversion"/>
  </si>
  <si>
    <t>古龍誕辰80周年代表作【貳】典藏古龍三部曲</t>
  </si>
  <si>
    <t>古龍/陳舜儀(編)/H</t>
  </si>
  <si>
    <t>9789863526568</t>
  </si>
  <si>
    <t>郁達夫作品精選３：遲桂花【經典新版】</t>
  </si>
  <si>
    <t>郁達夫</t>
  </si>
  <si>
    <t>9789863526360</t>
  </si>
  <si>
    <t>徐志摩作品精選１: 翡冷翠山居閒話【經典新版】</t>
  </si>
  <si>
    <t>徐志摩</t>
  </si>
  <si>
    <t>9789863526452</t>
  </si>
  <si>
    <t>徐志摩作品精選２: 我所知道的康橋【經典新版】</t>
  </si>
  <si>
    <t>9789863525332</t>
  </si>
  <si>
    <t>這一代的武林１【決戰前夕】</t>
  </si>
  <si>
    <t>張小花</t>
  </si>
  <si>
    <t>9789863526612</t>
  </si>
  <si>
    <t>這一代的武林２【街霸秘笈】</t>
  </si>
  <si>
    <t>9789863526629</t>
  </si>
  <si>
    <t>雪豹的眼淚【新封珍藏版】</t>
  </si>
  <si>
    <t>9789863526605</t>
  </si>
  <si>
    <t>※動物小說第一人沈石溪催淚之作！</t>
    <phoneticPr fontId="4" type="noConversion"/>
  </si>
  <si>
    <t>黿神廟傳奇【司馬中原限量揮毫題字書卡】</t>
    <phoneticPr fontId="4" type="noConversion"/>
  </si>
  <si>
    <t>司馬中原</t>
  </si>
  <si>
    <t>9789863526476</t>
  </si>
  <si>
    <t>渡：在現實與想望中泅泳 第五屆移民工文學獎作品集</t>
  </si>
  <si>
    <t>東南亞移民工</t>
  </si>
  <si>
    <t>四方文創</t>
  </si>
  <si>
    <t>9789869238151</t>
  </si>
  <si>
    <t>世界末日與冷酷異境（世界末日版）</t>
    <phoneticPr fontId="4" type="noConversion"/>
  </si>
  <si>
    <t>村上春樹</t>
  </si>
  <si>
    <t>9789571375960</t>
    <phoneticPr fontId="4" type="noConversion"/>
  </si>
  <si>
    <t>地下鐵事件</t>
  </si>
  <si>
    <t>9789571376196</t>
  </si>
  <si>
    <t>村上春樹首部報導文學之作</t>
    <phoneticPr fontId="4" type="noConversion"/>
  </si>
  <si>
    <t>約束的場所：地下鐵事件Ⅱ</t>
  </si>
  <si>
    <t>9789571376202</t>
  </si>
  <si>
    <t>神的孩子都在跳舞</t>
  </si>
  <si>
    <t>9789571375977</t>
  </si>
  <si>
    <t>普通的戀愛</t>
  </si>
  <si>
    <t>謝凱特</t>
  </si>
  <si>
    <t>9789571376158</t>
  </si>
  <si>
    <t>痛苦編年：給世人的安慰之書【人與獸雙面書衣版】</t>
    <phoneticPr fontId="4" type="noConversion"/>
  </si>
  <si>
    <t>王俊雄</t>
  </si>
  <si>
    <t>9789571375939</t>
  </si>
  <si>
    <t>影子【隨書贈名家談《影子和村上春樹》別冊】</t>
  </si>
  <si>
    <t>安徒生</t>
  </si>
  <si>
    <t>9789571375601</t>
    <phoneticPr fontId="4" type="noConversion"/>
  </si>
  <si>
    <t>朱嘉漢</t>
  </si>
  <si>
    <t>9789571376080</t>
  </si>
  <si>
    <t>駱以軍力推  新一代文壇小說怪物朱嘉漢，石破天驚的起手勢  給愛書人的「禮物」</t>
    <phoneticPr fontId="4" type="noConversion"/>
  </si>
  <si>
    <t>安好</t>
  </si>
  <si>
    <t>陳怡安</t>
  </si>
  <si>
    <t>9789579699440</t>
  </si>
  <si>
    <t>遇見最好的妳</t>
  </si>
  <si>
    <t>丁凌凜</t>
  </si>
  <si>
    <t>城邦原創</t>
  </si>
  <si>
    <t>9789869688215</t>
  </si>
  <si>
    <t>愛上謊言的女人（限量電影書封版）</t>
  </si>
  <si>
    <t>岡部悅</t>
  </si>
  <si>
    <t>春光</t>
  </si>
  <si>
    <t>9789579439480</t>
  </si>
  <si>
    <t>從近500部創作中脫穎而出，「蔦屋書店創作者計畫」首屆獲獎作品！</t>
    <phoneticPr fontId="4" type="noConversion"/>
  </si>
  <si>
    <t>那霸散步紀行：走訪沖繩那霸市，尋找巷弄間的歷史記憶</t>
  </si>
  <si>
    <t>新城和博</t>
  </si>
  <si>
    <t>9789578759367</t>
  </si>
  <si>
    <t>桃花流水杳然去(經典復刻典藏版)</t>
  </si>
  <si>
    <t>9789578759350</t>
  </si>
  <si>
    <t>雋永深刻的散文書寫
華文世界最值得珍藏的智慧之書</t>
    <phoneticPr fontId="4" type="noConversion"/>
  </si>
  <si>
    <t>推理寫作祕笈：暢銷作家傾囊相授的終極書寫心法</t>
  </si>
  <si>
    <t>蘇?葛拉芙頓</t>
  </si>
  <si>
    <t>9789578759435</t>
  </si>
  <si>
    <t xml:space="preserve"> 美國推理作家協會主編，38 位作家全明星陣容、35 章全方位涵蓋的書寫指南</t>
    <phoneticPr fontId="4" type="noConversion"/>
  </si>
  <si>
    <t>月光石（經典全譯本│改版）</t>
    <phoneticPr fontId="4" type="noConversion"/>
  </si>
  <si>
    <t>威廉．威爾基．柯林斯</t>
  </si>
  <si>
    <t>4717702904449</t>
  </si>
  <si>
    <t>入選「基亭最佳推理小說100選」、「衛報必讀犯罪小說147選」、「2013東西推理小說Best100」</t>
    <phoneticPr fontId="4" type="noConversion"/>
  </si>
  <si>
    <t>琥珀時光</t>
  </si>
  <si>
    <t>溫佑君</t>
  </si>
  <si>
    <t>9789864775507</t>
  </si>
  <si>
    <t xml:space="preserve">原書名：溫式效應   2011年金鼎獎 文學類入圍作品 </t>
    <phoneticPr fontId="4" type="noConversion"/>
  </si>
  <si>
    <t>生命的浮影——跨世代散文書旅</t>
  </si>
  <si>
    <t>石曉楓</t>
  </si>
  <si>
    <t>9789863445494</t>
  </si>
  <si>
    <t>男身（二十年修訂珍藏版）</t>
  </si>
  <si>
    <t>孫梓評</t>
  </si>
  <si>
    <t>9789863445999</t>
  </si>
  <si>
    <t>男時女時</t>
  </si>
  <si>
    <t>向田邦子</t>
  </si>
  <si>
    <t>9789863446026</t>
  </si>
  <si>
    <t>日本國民作家向田邦子離世前　最後小說X散文珠玉集</t>
    <phoneticPr fontId="4" type="noConversion"/>
  </si>
  <si>
    <t>愛情, 詩流域（紀念珍藏版）</t>
  </si>
  <si>
    <t>張曼娟</t>
  </si>
  <si>
    <t>9789863446002</t>
  </si>
  <si>
    <t>Fish Story－龐克救地球（經典回歸版）</t>
  </si>
  <si>
    <t>伊?幸太郎</t>
  </si>
  <si>
    <t>獨步文化</t>
  </si>
  <si>
    <t>9789869695206</t>
  </si>
  <si>
    <t>天帝妖狐(經典回歸版)</t>
  </si>
  <si>
    <t>王華懋</t>
  </si>
  <si>
    <t>9789869695220</t>
  </si>
  <si>
    <t>龍眠（經典回歸版）</t>
    <phoneticPr fontId="4" type="noConversion"/>
  </si>
  <si>
    <t>宮部美幸</t>
  </si>
  <si>
    <t>9789869695268</t>
  </si>
  <si>
    <t xml:space="preserve">1991年第105屆直木獎入圍作
1992年第45屆日本推理作家協會獎
</t>
    <phoneticPr fontId="4" type="noConversion"/>
  </si>
  <si>
    <t>繼承者是誰？</t>
  </si>
  <si>
    <t>小松左京</t>
  </si>
  <si>
    <t>9789869695275</t>
  </si>
  <si>
    <t xml:space="preserve">日本科幻泰斗小松左京結合推理與科幻，寫出給人類的震撼寓言書！
</t>
    <phoneticPr fontId="4" type="noConversion"/>
  </si>
  <si>
    <t>停屍間日誌</t>
  </si>
  <si>
    <t>派翠西亞．康薇爾</t>
  </si>
  <si>
    <t>臉譜</t>
  </si>
  <si>
    <t>9789862357002</t>
  </si>
  <si>
    <t>最暢銷的法醫小說系列，全球銷售突破一億冊！</t>
    <phoneticPr fontId="4" type="noConversion"/>
  </si>
  <si>
    <t>寡婦（電影原著小說）</t>
  </si>
  <si>
    <t>琳達‧拉普蘭提</t>
  </si>
  <si>
    <t>9789862357194</t>
  </si>
  <si>
    <t>地獄變</t>
  </si>
  <si>
    <t>蔡駿</t>
  </si>
  <si>
    <t>9789863616160</t>
  </si>
  <si>
    <t>翻牆讀金庸：從武俠裡笑看現實江湖</t>
  </si>
  <si>
    <t>六神磊磊</t>
  </si>
  <si>
    <t>9789863616207</t>
  </si>
  <si>
    <t>文學小說/武俠</t>
    <phoneticPr fontId="4" type="noConversion"/>
  </si>
  <si>
    <t>有型的豬小姐</t>
    <phoneticPr fontId="4" type="noConversion"/>
  </si>
  <si>
    <t>李維菁</t>
  </si>
  <si>
    <t>新經典</t>
  </si>
  <si>
    <t>9789869689250</t>
  </si>
  <si>
    <t>七俠五義</t>
  </si>
  <si>
    <t>石玉崑</t>
  </si>
  <si>
    <t>南海</t>
  </si>
  <si>
    <t>9789869595377</t>
  </si>
  <si>
    <t>上帝的間諜(經典傳家版)</t>
  </si>
  <si>
    <t>胡安‧高美</t>
  </si>
  <si>
    <t>輕刻</t>
  </si>
  <si>
    <t>9789863797043</t>
  </si>
  <si>
    <t>當代西班牙文壇最受矚目的新生代作家，將國際時事與歷史內幕、宗教議題與人性困境交織成史詩巨作</t>
    <phoneticPr fontId="4" type="noConversion"/>
  </si>
  <si>
    <t>背叛者的徽章（經典傳家版）</t>
  </si>
  <si>
    <t>胡安.高美</t>
  </si>
  <si>
    <t>9789863797050</t>
  </si>
  <si>
    <t>劍豪生死鬥(再版)</t>
    <phoneticPr fontId="4" type="noConversion"/>
  </si>
  <si>
    <t>南條範夫</t>
  </si>
  <si>
    <t>新雨</t>
  </si>
  <si>
    <t>9789862272480</t>
  </si>
  <si>
    <t>超人氣漫畫《劍豪生死鬥》原著中文版</t>
    <phoneticPr fontId="4" type="noConversion"/>
  </si>
  <si>
    <t>獨眼少女(再版)</t>
    <phoneticPr fontId="4" type="noConversion"/>
  </si>
  <si>
    <t>麻耶雄嵩</t>
  </si>
  <si>
    <t>9789862272503</t>
  </si>
  <si>
    <t>第六十四屆推理作家協會賞　受賞
 第十一屆本格推理大賞　受賞
 本格推理Best10第一名
 同時榮獲三大首獎 推理界最大的驚奇！</t>
    <phoneticPr fontId="4" type="noConversion"/>
  </si>
  <si>
    <t>一茶三百句：小林一茶經典俳句選</t>
  </si>
  <si>
    <t>小林一茶</t>
  </si>
  <si>
    <t>9789570531732</t>
  </si>
  <si>
    <t>一隻狼在放哨：阿巴斯詩集</t>
  </si>
  <si>
    <t xml:space="preserve"> 阿巴斯‧基阿魯斯達米</t>
  </si>
  <si>
    <t>9789570531756</t>
  </si>
  <si>
    <t>國際大導演阿巴斯，寧靜，幽默，洋溢戲劇張力的詩作！</t>
    <phoneticPr fontId="4" type="noConversion"/>
  </si>
  <si>
    <t>祥子的微笑</t>
  </si>
  <si>
    <t>崔恩榮</t>
  </si>
  <si>
    <t>9789570531695</t>
  </si>
  <si>
    <t>荊楚爭雄記（新編完整版）</t>
    <phoneticPr fontId="4" type="noConversion"/>
  </si>
  <si>
    <t>黃易</t>
    <phoneticPr fontId="4" type="noConversion"/>
  </si>
  <si>
    <t>蓋亞</t>
  </si>
  <si>
    <t>9789863193685</t>
  </si>
  <si>
    <t>我們都是有歌的人</t>
  </si>
  <si>
    <t>姚謙</t>
  </si>
  <si>
    <t>聯合文學</t>
  </si>
  <si>
    <t>9789863232827</t>
  </si>
  <si>
    <t>藝術設計/音樂家文集</t>
    <phoneticPr fontId="4" type="noConversion"/>
  </si>
  <si>
    <t>資深作詞家講述三十多首經典創作背後的故事。</t>
    <phoneticPr fontId="4" type="noConversion"/>
  </si>
  <si>
    <t>有限溫存</t>
  </si>
  <si>
    <t>亦舒</t>
  </si>
  <si>
    <t>香港天地圖書</t>
  </si>
  <si>
    <t>9789882013438</t>
  </si>
  <si>
    <t>佬文青的藝述</t>
  </si>
  <si>
    <t>李偉民</t>
  </si>
  <si>
    <t>9789888547043</t>
  </si>
  <si>
    <t>倪匡散文集</t>
  </si>
  <si>
    <t>倪匡</t>
  </si>
  <si>
    <t>9789888258840</t>
  </si>
  <si>
    <t>關蒂的按鈕盒</t>
  </si>
  <si>
    <t>史蒂芬金;理查齊斯馬-作</t>
  </si>
  <si>
    <t>南方家園</t>
  </si>
  <si>
    <t>9789869631754</t>
  </si>
  <si>
    <t>闇夜的怪物</t>
  </si>
  <si>
    <t>住野夜</t>
  </si>
  <si>
    <t>悅知(精誠資</t>
  </si>
  <si>
    <t>9789578787643</t>
  </si>
  <si>
    <t>日本最大書評網站「讀書meter」2017小說類別TOP10                日本學校推薦必讀優良讀物</t>
    <phoneticPr fontId="4" type="noConversion"/>
  </si>
  <si>
    <t>日本經典文學：人間失格(中日對照.附紀念藏書票)</t>
    <phoneticPr fontId="4" type="noConversion"/>
  </si>
  <si>
    <t>太宰治</t>
  </si>
  <si>
    <t>9789577107404</t>
  </si>
  <si>
    <t>她們</t>
  </si>
  <si>
    <t>任曉雯</t>
  </si>
  <si>
    <t>9789570851984</t>
  </si>
  <si>
    <t>重探《西遊記》：神佛妖魔人間事，三藏師徒取經歷險的重新發現</t>
  </si>
  <si>
    <t>高全之</t>
  </si>
  <si>
    <t>9789570851960</t>
  </si>
  <si>
    <t>文學小說&gt; 文學研究&gt; 華文文學研究</t>
    <phoneticPr fontId="4" type="noConversion"/>
  </si>
  <si>
    <t>當古典遇到經典：文言格林童話選</t>
  </si>
  <si>
    <t>格林兄弟</t>
  </si>
  <si>
    <t>9789570852059</t>
  </si>
  <si>
    <t>刺蝟完全飼育手冊：飼育照護、健康管理、常見疾病通通一本掌握！</t>
  </si>
  <si>
    <t>大野瑞繪/監修：三輪恭嗣</t>
  </si>
  <si>
    <t>9789864435081</t>
  </si>
  <si>
    <t>生活風格</t>
  </si>
  <si>
    <t>臺灣犬</t>
  </si>
  <si>
    <t>陳玉山</t>
  </si>
  <si>
    <t>9789864435401</t>
  </si>
  <si>
    <t>生活風格</t>
    <phoneticPr fontId="4" type="noConversion"/>
  </si>
  <si>
    <t>為什麼老闆的貓都叫不來？ 招來幸福的店貓</t>
  </si>
  <si>
    <t>杉作</t>
  </si>
  <si>
    <t>9789869678384</t>
  </si>
  <si>
    <t>全世界我最愛你：太太先生3</t>
  </si>
  <si>
    <t>馬修</t>
  </si>
  <si>
    <t>四塊玉</t>
  </si>
  <si>
    <t>9789578587489</t>
  </si>
  <si>
    <t xml:space="preserve">跟著有其甜：米菇，我們還要一起旅行好久好久 </t>
    <phoneticPr fontId="4" type="noConversion"/>
  </si>
  <si>
    <t>賴聖文＆米菇</t>
  </si>
  <si>
    <t>9789578587502</t>
  </si>
  <si>
    <t>旅遊</t>
    <phoneticPr fontId="4" type="noConversion"/>
  </si>
  <si>
    <t>象棋攻殺訣竅</t>
  </si>
  <si>
    <t>吳雁濱</t>
  </si>
  <si>
    <t>品冠</t>
  </si>
  <si>
    <t>9789865734893</t>
  </si>
  <si>
    <t>花樣棒針編織全攻略：200款玩色新圖案，非典型原創設計一次收錄</t>
  </si>
  <si>
    <t>安德莉亞．蘭基爾</t>
  </si>
  <si>
    <t>本事出版</t>
  </si>
  <si>
    <t>9789579121453</t>
  </si>
  <si>
    <t>一起演奏吧</t>
  </si>
  <si>
    <t>安娜?切爾雯絲卡—李德爾</t>
  </si>
  <si>
    <t>9789862139370</t>
  </si>
  <si>
    <t>　波隆那書展拉加茲獎知識類首獎(繪本界的奧斯卡)</t>
    <phoneticPr fontId="4" type="noConversion"/>
  </si>
  <si>
    <t>閉上眼睛一下下 （小巧樂遊版）</t>
  </si>
  <si>
    <t>幾米</t>
  </si>
  <si>
    <t>9789862139240</t>
  </si>
  <si>
    <t>閉上眼睛一下下（大方許願版）</t>
  </si>
  <si>
    <t>9789862139233</t>
  </si>
  <si>
    <t xml:space="preserve">走進陌生人的家：何安蒔教你整理心，再整理空間 </t>
    <phoneticPr fontId="4" type="noConversion"/>
  </si>
  <si>
    <t>何安蒔</t>
  </si>
  <si>
    <t>9789863983897</t>
  </si>
  <si>
    <t>自宅職人：20種完美平衡工作與理想的生活提案</t>
  </si>
  <si>
    <t>寫寫字工作室</t>
  </si>
  <si>
    <t>9789863596103</t>
  </si>
  <si>
    <t>貓奴製造：貓屋x貓抓板x貓玩具自己做!零預算輕鬆收服喵星人的貓物製作全圖解</t>
    <phoneticPr fontId="4" type="noConversion"/>
  </si>
  <si>
    <t>凱倫．奧利佛</t>
  </si>
  <si>
    <t>9789863595946</t>
  </si>
  <si>
    <t>不塑過日子：家裡零垃圾的極簡生活練習</t>
  </si>
  <si>
    <t>涂月華</t>
  </si>
  <si>
    <t>幸福文化</t>
  </si>
  <si>
    <t>9789869686969</t>
  </si>
  <si>
    <t>第一本減塑專書，超實用、圖解清楚、超過100種必學方法</t>
    <phoneticPr fontId="4" type="noConversion"/>
  </si>
  <si>
    <t>從素人變女神：超人氣彩妝師Alice的質感美妝術</t>
  </si>
  <si>
    <t>Alice（半生不熟蘋果誌）</t>
  </si>
  <si>
    <t>9789869668095</t>
  </si>
  <si>
    <t>柯瑞平凡中的不一樣：NBA神射手的30段勇氣人生</t>
  </si>
  <si>
    <t>周汶昊</t>
  </si>
  <si>
    <t>真文化</t>
  </si>
  <si>
    <t>9789868681910</t>
  </si>
  <si>
    <t xml:space="preserve">心理勵志/勵志故事
</t>
    <phoneticPr fontId="4" type="noConversion"/>
  </si>
  <si>
    <t>玩藝圖鑑：成為玩具通才的170種玩法</t>
  </si>
  <si>
    <t>木內勝</t>
  </si>
  <si>
    <t>9789578630857</t>
  </si>
  <si>
    <t>美女的習慣vs.歐巴桑的習慣：日本超模名校校長教妳瞬間年輕10歲</t>
    <phoneticPr fontId="4" type="noConversion"/>
  </si>
  <si>
    <t>豊川月乃 著</t>
  </si>
  <si>
    <t>如何</t>
  </si>
  <si>
    <t>9789861365244</t>
  </si>
  <si>
    <t>大人好感玩色穿搭：顯瘦搭配密技×不敗選色指南×加分配件運用</t>
    <phoneticPr fontId="4" type="noConversion"/>
  </si>
  <si>
    <t>堀川波</t>
  </si>
  <si>
    <t>9789864758449</t>
  </si>
  <si>
    <t>日本人氣圖文作家堀川波不藏私大公開
 簡約不簡單、日常不平常的穿搭提案</t>
    <phoneticPr fontId="4" type="noConversion"/>
  </si>
  <si>
    <t>鳥類專科獸醫監修!鸚鵡飼育小百科：從飼育、訓練到與鸚鵡相伴一生</t>
    <phoneticPr fontId="4" type="noConversion"/>
  </si>
  <si>
    <t>濱本麻衣</t>
  </si>
  <si>
    <t>9789864758494</t>
  </si>
  <si>
    <t>驚悚大師：愛倫坡（I ）</t>
  </si>
  <si>
    <t>埃德加‧愛倫‧坡,江瑞芹</t>
  </si>
  <si>
    <t>大拓</t>
  </si>
  <si>
    <t>9789864110858</t>
  </si>
  <si>
    <t xml:space="preserve">芳療百問：精油用家該擁有的常備書，一次過解答99%精油用家會碰到的疑問，105個芳香療法常見問題，116個實用香薰精油配方，九大必讀主題，深入淺出，助你快速上手! </t>
    <phoneticPr fontId="4" type="noConversion"/>
  </si>
  <si>
    <t>司徒雪儀</t>
  </si>
  <si>
    <t>9789887906308</t>
  </si>
  <si>
    <t>白天黑夜都愛玩的智力測驗遊戲：270道有趣又神祕的試題，</t>
  </si>
  <si>
    <t>9789869543965</t>
  </si>
  <si>
    <t>白天黑夜都愛玩的腦力開發遊戲:280多道有趣的腦力開發</t>
  </si>
  <si>
    <t>9789869543989</t>
  </si>
  <si>
    <t>巴哈花精應用指南:獨創38種花精冥想練習，幫你釋放情緒壓力</t>
  </si>
  <si>
    <t>中澤厚子</t>
  </si>
  <si>
    <t>大樹林</t>
  </si>
  <si>
    <t>9789866005817</t>
  </si>
  <si>
    <t>兒童芳香療法:遠離抗生素!法國藥劑師教你用精油照護孩子的健康</t>
  </si>
  <si>
    <t>丹妮兒．費絲緹</t>
  </si>
  <si>
    <t>9789866005824</t>
  </si>
  <si>
    <t>運動食代:營養師的運動飲食筆記</t>
  </si>
  <si>
    <t>高敏敏</t>
  </si>
  <si>
    <t>9789869706834</t>
  </si>
  <si>
    <t>專為上班族設計的超簡單運動飲食提案，料理新手也輕鬆上手！</t>
    <phoneticPr fontId="4" type="noConversion"/>
  </si>
  <si>
    <t xml:space="preserve">全圖解 初學者の鉤織入門BOOK：只要9種鉤針編織法就能完成23款實用又可愛的生活小物(附QR code教學影片) </t>
    <phoneticPr fontId="4" type="noConversion"/>
  </si>
  <si>
    <t>金倫廷</t>
  </si>
  <si>
    <t>蘋果屋</t>
  </si>
  <si>
    <t>9789869648578</t>
  </si>
  <si>
    <t>3步驟做頂級天然保養品：65款保養品、貼身皂、自然美膚配方一次收錄(附60分鐘教學DVD)【暢銷修訂版】</t>
    <phoneticPr fontId="4" type="noConversion"/>
  </si>
  <si>
    <t>石彥豪</t>
  </si>
  <si>
    <t>9789578950764</t>
  </si>
  <si>
    <t>無印良品的文具─MUJI STATIONERY</t>
  </si>
  <si>
    <t>GB出版社</t>
  </si>
  <si>
    <t>楓書坊</t>
  </si>
  <si>
    <t>9789863774327</t>
  </si>
  <si>
    <t>快樂狗兒生活訓練學：跟著專業訓練師這樣教!輕鬆解決人狗常見衝突、增進信任關係，一起過好每一天</t>
    <phoneticPr fontId="4" type="noConversion"/>
  </si>
  <si>
    <t>林明勤</t>
  </si>
  <si>
    <t>9789579199261</t>
  </si>
  <si>
    <t>嗨小強的吃貨日記</t>
  </si>
  <si>
    <t>Eileen</t>
  </si>
  <si>
    <t>9789864775637</t>
  </si>
  <si>
    <t>家的修繕常備手冊：哥動手修，姐自己來，Step By Step，修繕好簡單，不用再苦等師傅來【暢銷增訂版】</t>
    <phoneticPr fontId="4" type="noConversion"/>
  </si>
  <si>
    <t>漂亮家居編輯部</t>
  </si>
  <si>
    <t>9789864084494</t>
  </si>
  <si>
    <t>TTouch神奇的毛小孩身心療癒術—狗狗篇：獨特的撫摸、畫圈、托提，幫動物寶貝建立信任、減壓，主人也一起療癒</t>
    <phoneticPr fontId="4" type="noConversion"/>
  </si>
  <si>
    <t>琳達‧泰林頓瓊斯</t>
  </si>
  <si>
    <t>4717702905095</t>
  </si>
  <si>
    <t>親子玩水族：生物觀察，生命教育，親子共作，適合大人小孩一起飼養的53種水族寵物</t>
    <phoneticPr fontId="4" type="noConversion"/>
  </si>
  <si>
    <t>吳瑞?</t>
  </si>
  <si>
    <t>積木</t>
  </si>
  <si>
    <t>9789864591596</t>
  </si>
  <si>
    <t>跑步，該怎麼跑？：認識完美的跑步技術，姿勢跑法的概念、理論與心法（十五週年最新增訂版暨特別收錄姿勢跑法常見Q&amp;A）</t>
    <phoneticPr fontId="4" type="noConversion"/>
  </si>
  <si>
    <t>Dr.Nicholas Romanov</t>
  </si>
  <si>
    <t>9789862357187</t>
  </si>
  <si>
    <t>極限數獨365</t>
  </si>
  <si>
    <t>Nikoli</t>
  </si>
  <si>
    <t>9789861898803</t>
  </si>
  <si>
    <t>韓星狂練!打造零贅肉S曲線的芭蕾伸展操：腰臀腿全都瘦，視覺減少7公斤!</t>
    <phoneticPr fontId="4" type="noConversion"/>
  </si>
  <si>
    <t>韓詠</t>
  </si>
  <si>
    <t>9789863616047</t>
  </si>
  <si>
    <t>BJD娃娃全典(經典好評版)：人不語，形有意</t>
    <phoneticPr fontId="4" type="noConversion"/>
  </si>
  <si>
    <t>清水baby、元氣森林</t>
  </si>
  <si>
    <t>9789863797265</t>
  </si>
  <si>
    <t>藍藍夢遊法蘭西</t>
  </si>
  <si>
    <t>小橘子</t>
  </si>
  <si>
    <t>9789888490639</t>
  </si>
  <si>
    <t>111款女孩最愛的蕾絲鉤織小物集（暢銷版）(二版)</t>
    <phoneticPr fontId="4" type="noConversion"/>
  </si>
  <si>
    <t>Sachiyo Fukao</t>
  </si>
  <si>
    <t>EB新手作</t>
  </si>
  <si>
    <t>9789869665599</t>
  </si>
  <si>
    <t>可愛感狂飆！超簡單！動物系黏土迴力車</t>
  </si>
  <si>
    <t>胡瑞娟(Regin)</t>
  </si>
  <si>
    <t>9789869665575</t>
  </si>
  <si>
    <t>初學梭編蕾絲的美麗練習帖（暢銷版）</t>
  </si>
  <si>
    <t>sumie</t>
  </si>
  <si>
    <t>9789869665551</t>
  </si>
  <si>
    <t>初學鉤針編織的最強聖典！（熱銷經典版）</t>
    <phoneticPr fontId="4" type="noConversion"/>
  </si>
  <si>
    <t>日本Vogue社</t>
  </si>
  <si>
    <t>9789869665537</t>
  </si>
  <si>
    <t>全圖解木工車床家具製作全書</t>
  </si>
  <si>
    <t>楊佩曦</t>
  </si>
  <si>
    <t>良品</t>
  </si>
  <si>
    <t>9789869697743</t>
  </si>
  <si>
    <t>我的第一朵手作布花：全圖解‧一起來作40款76朵（暢銷新修版）</t>
  </si>
  <si>
    <t>呂宥臻</t>
  </si>
  <si>
    <t>雅書堂</t>
  </si>
  <si>
    <t>9789863024613</t>
  </si>
  <si>
    <t>南久美子的暖暖系拼布 : 40款可愛實用的手作包.布小物.家飾</t>
  </si>
  <si>
    <t>南久美子</t>
  </si>
  <si>
    <t>9789863024606</t>
  </si>
  <si>
    <t>異素材花藝設計作品實例200</t>
  </si>
  <si>
    <t>Florist編輯部</t>
  </si>
  <si>
    <t>噴泉</t>
  </si>
  <si>
    <t>9789869692823</t>
  </si>
  <si>
    <t>香港玩樂高</t>
  </si>
  <si>
    <t>曾耀強</t>
  </si>
  <si>
    <t>香港非凡</t>
  </si>
  <si>
    <t>9789888513444</t>
  </si>
  <si>
    <t>一收到位！專業團隊的3步驟收納術：收出待客、生活、休息都自在的宜人居家</t>
    <phoneticPr fontId="4" type="noConversion"/>
  </si>
  <si>
    <t>韌與柔生活團隊</t>
  </si>
  <si>
    <t>橙實文化</t>
  </si>
  <si>
    <t>9789869701525</t>
  </si>
  <si>
    <t xml:space="preserve">偽公務員的菜鳥日記：給跳坑公職的青年、水深火熱的公僕、合約上的乙方苦主、對公家單位森七七的小老百姓 </t>
    <phoneticPr fontId="4" type="noConversion"/>
  </si>
  <si>
    <t>屋裡寶寶</t>
  </si>
  <si>
    <t>9789570851977</t>
    <phoneticPr fontId="4" type="noConversion"/>
  </si>
  <si>
    <t xml:space="preserve">左腦+右腦的寫作課：聰明打造你的國寫作文力 </t>
    <phoneticPr fontId="4" type="noConversion"/>
  </si>
  <si>
    <t>陳嘉英/楊孟珠/謝佩玲</t>
  </si>
  <si>
    <t>9789571198316</t>
  </si>
  <si>
    <t xml:space="preserve">語言學習/ 中學生作文
</t>
    <phoneticPr fontId="4" type="noConversion"/>
  </si>
  <si>
    <t>我愛鳥.零距離：鏡頭下的精靈，我的心跟著妳飛(新裝版)</t>
    <phoneticPr fontId="4" type="noConversion"/>
  </si>
  <si>
    <t>莊勝雄</t>
  </si>
  <si>
    <t>太雅生活館</t>
  </si>
  <si>
    <t>9789863362777</t>
  </si>
  <si>
    <t>自然科普</t>
    <phoneticPr fontId="4" type="noConversion"/>
  </si>
  <si>
    <t>寶貝車寶貝：你的車就是這樣養壞的!101個必懂的養車知識</t>
    <phoneticPr fontId="4" type="noConversion"/>
  </si>
  <si>
    <t>Tasha</t>
  </si>
  <si>
    <t>9789864435395</t>
  </si>
  <si>
    <t>終極太空探險地圖集</t>
    <phoneticPr fontId="4" type="noConversion"/>
  </si>
  <si>
    <t>卡洛琳．迪卡瑞斯托法諾</t>
  </si>
  <si>
    <t>9789578722361</t>
  </si>
  <si>
    <t>★美國亞馬遜網站五顆星評鑑</t>
    <phoneticPr fontId="4" type="noConversion"/>
  </si>
  <si>
    <t>世界第一位樹醫生：約翰‧戴維（John Davey）</t>
  </si>
  <si>
    <t>張文亮</t>
  </si>
  <si>
    <t>9789578423640</t>
  </si>
  <si>
    <t>自然科普</t>
  </si>
  <si>
    <t>塑膠：有毒的愛情故事【減塑推廣版】</t>
  </si>
  <si>
    <t>蘇珊．弗蘭克</t>
  </si>
  <si>
    <t>9789863843191</t>
  </si>
  <si>
    <t>聰明大百科：天文常識有GO讚</t>
  </si>
  <si>
    <t>許孟輝</t>
  </si>
  <si>
    <t>讀品</t>
  </si>
  <si>
    <t>9789864530878</t>
  </si>
  <si>
    <t>與你的動物朋友對話</t>
  </si>
  <si>
    <t>蘿倫麥柯LaurenMcCall</t>
  </si>
  <si>
    <t>正向思維藝術</t>
  </si>
  <si>
    <t>9789869400718</t>
  </si>
  <si>
    <t>我的數學拿高分：日本名師獨創「數學暗號」，輕鬆培養孩子的數感力、思考力，學習不卡關!</t>
    <phoneticPr fontId="4" type="noConversion"/>
  </si>
  <si>
    <t>清水章弘</t>
  </si>
  <si>
    <t>和平國際</t>
  </si>
  <si>
    <t>9789863711476</t>
  </si>
  <si>
    <t>史上最強數學神解救星！
 輕鬆圖解x實用方法</t>
    <phoneticPr fontId="4" type="noConversion"/>
  </si>
  <si>
    <t>UMA世界神祕生物大百科 詭祕檔案1</t>
  </si>
  <si>
    <t>天野倫弘／監修</t>
  </si>
  <si>
    <t>9789869691529</t>
  </si>
  <si>
    <t>仿生高科技：源於自然的科技靈感</t>
  </si>
  <si>
    <t>瑪特‧富尼耶</t>
  </si>
  <si>
    <t>9789869669481</t>
  </si>
  <si>
    <t>～生態、藝術與科技的漫遊～</t>
    <phoneticPr fontId="4" type="noConversion"/>
  </si>
  <si>
    <t>愛因斯坦的宇宙：想跟光賽跑、從椅子摔落……世紀天才這樣想出相對論及量子力學</t>
    <phoneticPr fontId="4" type="noConversion"/>
  </si>
  <si>
    <t>加來道雄</t>
  </si>
  <si>
    <t>9789571376035</t>
  </si>
  <si>
    <t>自然的奇妙網路</t>
  </si>
  <si>
    <t>彼得‧渥雷本</t>
  </si>
  <si>
    <t>9789864775736</t>
  </si>
  <si>
    <t>★《樹的祕密生命》德國森林看守人渥雷本自然三部曲壓軸鉅作</t>
    <phoneticPr fontId="4" type="noConversion"/>
  </si>
  <si>
    <t>鳥巢：破解鳥類千奇百怪的建築工法</t>
  </si>
  <si>
    <t>蔡錦文</t>
  </si>
  <si>
    <t>9789864775859</t>
  </si>
  <si>
    <t>「環境資訊中心」推介，中小學生最佳自然讀物</t>
    <phoneticPr fontId="4" type="noConversion"/>
  </si>
  <si>
    <t>鳥的感官：當一隻鳥是什麼感覺？（全新增修版）</t>
    <phoneticPr fontId="4" type="noConversion"/>
  </si>
  <si>
    <t>柏克海德</t>
  </si>
  <si>
    <t>9789862623626</t>
  </si>
  <si>
    <t xml:space="preserve">◎皇家學會科學圖書獎入圍
◎泛科學Pansci.tw選書
◎英國獨立報自然類年度好書
</t>
    <phoneticPr fontId="4" type="noConversion"/>
  </si>
  <si>
    <t>文科生也能看得懂！有趣電學百科大圖鑑</t>
  </si>
  <si>
    <t>理科教育研究會</t>
  </si>
  <si>
    <t>有意思</t>
  </si>
  <si>
    <t>9789865003098</t>
  </si>
  <si>
    <t>宇宙用語圖鑑：將300個神祕有趣的宇宙關鍵字凝聚在一冊!天文研究所教授、太空推理作家好評推薦</t>
    <phoneticPr fontId="4" type="noConversion"/>
  </si>
  <si>
    <t>二間瀨敏史</t>
  </si>
  <si>
    <t>9789864012831</t>
  </si>
  <si>
    <t>成癮與大腦：重度毒癮者的自白及成癮行為的形成和治療</t>
  </si>
  <si>
    <t>瑪亞．莎拉維茲</t>
  </si>
  <si>
    <t>9789573284000</t>
  </si>
  <si>
    <t>尋蟲記：大城市小生物的探索之旅（增訂版）</t>
  </si>
  <si>
    <t>李熙瑜</t>
  </si>
  <si>
    <t>香港商務</t>
  </si>
  <si>
    <t>9789620766091</t>
  </si>
  <si>
    <t>作者跟孫兒從生物之旅出發，帶領讀者尋找城市中各種鮮為人知的小生命，再經過時光隧道，憶想從前，細說這輩子與自然界生物的緣份</t>
    <phoneticPr fontId="4" type="noConversion"/>
  </si>
  <si>
    <t>數學家的眼光</t>
  </si>
  <si>
    <t>張景中</t>
  </si>
  <si>
    <t>9789620757761</t>
  </si>
  <si>
    <t>幫你學數學</t>
  </si>
  <si>
    <t>9789620757785</t>
  </si>
  <si>
    <t>解答之書：專屬於你的人生答案（柔紋皮面燙金＋方背穿線精裝）</t>
  </si>
  <si>
    <t>卡羅‧波特</t>
  </si>
  <si>
    <t>9789576580833</t>
  </si>
  <si>
    <t>宗教命理</t>
  </si>
  <si>
    <t>★ 全球首創，風靡全世界的暢銷書，終於等到繁體中文官方唯一授權！</t>
    <phoneticPr fontId="4" type="noConversion"/>
  </si>
  <si>
    <t>通往天國的階梯：地球編年史第二部（全新校譯版）</t>
    <phoneticPr fontId="4" type="noConversion"/>
  </si>
  <si>
    <t>撒迦利亞‧西琴/校訂-簡淑媛</t>
  </si>
  <si>
    <t>新星球</t>
  </si>
  <si>
    <t>9789869685719</t>
  </si>
  <si>
    <t>瑜伽經白話講解‧必普提篇（附瑜伽大師斯瓦米韋達梵文原音）</t>
  </si>
  <si>
    <t>斯瓦米韋達．帕若堤</t>
  </si>
  <si>
    <t>9789579001816</t>
  </si>
  <si>
    <t>有錢人家看不到衛生紙，沒錢人在冰箱貼紙：日本超強占卜師的好運風水</t>
    <phoneticPr fontId="4" type="noConversion"/>
  </si>
  <si>
    <t>占卜師飯田</t>
  </si>
  <si>
    <t>9789861755120</t>
  </si>
  <si>
    <t>宗教命理</t>
    <phoneticPr fontId="4" type="noConversion"/>
  </si>
  <si>
    <t>令人神往的靜坐開悟：普林斯頓大受歡迎的佛學與現代心理學</t>
  </si>
  <si>
    <t>羅伯．賴特　著</t>
  </si>
  <si>
    <t>9789861372631</t>
  </si>
  <si>
    <t>第一本結合心理學、神經科學與佛學的作品，解析佛教靜坐，如何成為擁有清晰思慮和持久幸福的關鍵</t>
    <phoneticPr fontId="4" type="noConversion"/>
  </si>
  <si>
    <t>死後「審判‧輪迴‧瀕死」之謎：解開死後世界的所有祕密！</t>
  </si>
  <si>
    <t>並木伸一郎</t>
  </si>
  <si>
    <t>月之海</t>
  </si>
  <si>
    <t>9789869676366</t>
  </si>
  <si>
    <t>臺灣的媽祖信仰</t>
  </si>
  <si>
    <t>蔡相煇</t>
  </si>
  <si>
    <t>獨立作家</t>
  </si>
  <si>
    <t>9789869591867</t>
  </si>
  <si>
    <t>漫畫看日本神樣：90尊日本神樣身世履歷表＋28種庇佑項目！</t>
  </si>
  <si>
    <t>東條英利／監修</t>
  </si>
  <si>
    <t>9789863774211</t>
  </si>
  <si>
    <t>星雲說喻一：布施</t>
  </si>
  <si>
    <t>星雲大師</t>
  </si>
  <si>
    <t>香海</t>
  </si>
  <si>
    <t>9789869659413</t>
  </si>
  <si>
    <t>星雲說喻二：持戒</t>
  </si>
  <si>
    <t>9789869659420</t>
  </si>
  <si>
    <t>你一定看得懂的易經六十四卦(最新增訂版)〔附｜全新繪製「易經六十四卦占卜牌卡」╳收納絨布袋〕</t>
    <phoneticPr fontId="4" type="noConversion"/>
  </si>
  <si>
    <t>劉蟠</t>
  </si>
  <si>
    <t>9789571375755</t>
  </si>
  <si>
    <t xml:space="preserve">紫微攻略 史上最強運勢管理，了解12宮位，用斗數秘訣「煞忌交會」手法預測、避險有一套! </t>
    <phoneticPr fontId="4" type="noConversion"/>
  </si>
  <si>
    <t>大耕老師</t>
  </si>
  <si>
    <t>9789571376240</t>
  </si>
  <si>
    <t>地藏經：五濁惡世轉遍地寶藏，勝義般若經（燙銀經典版）</t>
  </si>
  <si>
    <t>章成M‧FAN</t>
  </si>
  <si>
    <t>9789864775606</t>
  </si>
  <si>
    <t>神性自在：來自紫色天堂的以馬內利靈訊（長銷普及版）</t>
  </si>
  <si>
    <t>商周出版</t>
  </si>
  <si>
    <t>4717702905231</t>
  </si>
  <si>
    <t>月光下的十字架：老牧師與我的十四堂重生課</t>
  </si>
  <si>
    <t>荷西．那瓦荷</t>
  </si>
  <si>
    <t>啟示</t>
  </si>
  <si>
    <t>4717702905033</t>
  </si>
  <si>
    <t>★《最後14堂星期二的課》牧師版
★一段療癒與重生的奇蹟旅程，無數歐洲讀者感動落淚！</t>
    <phoneticPr fontId="4" type="noConversion"/>
  </si>
  <si>
    <t>蓮師在西藏：大西藏蓮師聖地巡禮</t>
  </si>
  <si>
    <t>邱常梵</t>
  </si>
  <si>
    <t>9789865613853</t>
  </si>
  <si>
    <t>黃曆參百年</t>
  </si>
  <si>
    <t>思學齋主</t>
  </si>
  <si>
    <t>海鴿</t>
  </si>
  <si>
    <t>9789863922544</t>
  </si>
  <si>
    <t>改變生活的簡單祈禱：依納爵式省察的力量</t>
  </si>
  <si>
    <t>吉姆．曼尼</t>
  </si>
  <si>
    <t>上智</t>
  </si>
  <si>
    <t>9789866036491</t>
  </si>
  <si>
    <t>跟隨摩西的腳蹤(書+光碟不分售)：尋找米甸西奈山的七年記錄</t>
  </si>
  <si>
    <t>金承學</t>
  </si>
  <si>
    <t>中國主日學</t>
  </si>
  <si>
    <t>9789575504939</t>
  </si>
  <si>
    <t>小老鼠的聖誕節（精裝）</t>
  </si>
  <si>
    <t>陸可鐸</t>
  </si>
  <si>
    <t>宇宙光</t>
  </si>
  <si>
    <t>9789577275547</t>
  </si>
  <si>
    <t>　★ 童話大師陸可鐸最新力作！</t>
    <phoneticPr fontId="4" type="noConversion"/>
  </si>
  <si>
    <t>Myth Killer ：都市傳說解密</t>
  </si>
  <si>
    <t>Professor PowPow</t>
  </si>
  <si>
    <t>紅出版</t>
  </si>
  <si>
    <t>9789888490813</t>
  </si>
  <si>
    <t>從曠野到迦南：約書亞的得勝足跡</t>
  </si>
  <si>
    <t>陳志宏</t>
  </si>
  <si>
    <t>9789864002245</t>
  </si>
  <si>
    <t>眼光：人生方向盤：眼光決定了生命色彩！</t>
  </si>
  <si>
    <t>吳獻章</t>
  </si>
  <si>
    <t>9789864002122</t>
  </si>
  <si>
    <t>長存的道：聖經的權威與可靠性</t>
  </si>
  <si>
    <t>羅伯特‧所羅門</t>
  </si>
  <si>
    <t>9789865801588</t>
  </si>
  <si>
    <t>負責的恩典(精裝)：衛斯理約翰的實踐神學</t>
  </si>
  <si>
    <t>Randy L. Maddox</t>
  </si>
  <si>
    <t>9789865801687</t>
  </si>
  <si>
    <t>恩典以法大：百歲東元阿嬤林偕明穱的生命活力讚</t>
  </si>
  <si>
    <t>林偕明穱(口述)、尹可名(撰寫)</t>
  </si>
  <si>
    <t>9789575568559</t>
  </si>
  <si>
    <t>小王子流浪記：為年輕朋友寫的勇敢追夢的故事</t>
  </si>
  <si>
    <t>滿濟法師</t>
  </si>
  <si>
    <t>9789863232810</t>
  </si>
  <si>
    <t>蜜月效應：在人間創造情愛天堂的科學</t>
  </si>
  <si>
    <t>布魯斯．立普頓</t>
  </si>
  <si>
    <t>一中心</t>
  </si>
  <si>
    <t>9789869679633</t>
  </si>
  <si>
    <t>金剛經生活化</t>
  </si>
  <si>
    <t>羅果銘</t>
  </si>
  <si>
    <t>9789578679474</t>
  </si>
  <si>
    <t>塔羅攻略：從偉特系牌圖透析塔羅奧祕</t>
    <phoneticPr fontId="4" type="noConversion"/>
  </si>
  <si>
    <t>星宿老師</t>
  </si>
  <si>
    <t>柿子</t>
  </si>
  <si>
    <t>9789869700634</t>
  </si>
  <si>
    <t>解開靈界之謎（續）：物質界的終局</t>
    <phoneticPr fontId="4" type="noConversion"/>
  </si>
  <si>
    <t>陳信義</t>
  </si>
  <si>
    <t>博客思</t>
  </si>
  <si>
    <t>9789869671033</t>
  </si>
  <si>
    <t>正義謊言的罪人</t>
  </si>
  <si>
    <t>陳金漢律師</t>
  </si>
  <si>
    <t>健行</t>
  </si>
  <si>
    <t>9789869702607</t>
  </si>
  <si>
    <t>社會科學</t>
  </si>
  <si>
    <t>給我來一點阿拉伯</t>
  </si>
  <si>
    <t>哈寧、約瑟夫</t>
  </si>
  <si>
    <t>9789861784755</t>
  </si>
  <si>
    <t>社會科學</t>
    <phoneticPr fontId="4" type="noConversion"/>
  </si>
  <si>
    <t>認識阿拉伯，誰說一定要嚴肅！
 跨領域15章大小主題．8個實用小教室．全彩超精美插圖&amp;照片</t>
    <phoneticPr fontId="4" type="noConversion"/>
  </si>
  <si>
    <t>小小閱讀通信 專刊：痛之書</t>
  </si>
  <si>
    <t>龔卓軍、沙貓貓(虹風)…等</t>
  </si>
  <si>
    <t>小小創意(小</t>
  </si>
  <si>
    <t>9789869131377</t>
  </si>
  <si>
    <t>由創作者、編輯、譯者、讀者等不同角度切入「極痛之書」的誕生與過程</t>
    <phoneticPr fontId="4" type="noConversion"/>
  </si>
  <si>
    <t>情愛關係裡的你和我（二版）</t>
    <phoneticPr fontId="4" type="noConversion"/>
  </si>
  <si>
    <t>張瑞珊</t>
  </si>
  <si>
    <t>9789863601210</t>
  </si>
  <si>
    <t xml:space="preserve">不順從的美德：直擊異議分子如何追求社會革新 </t>
    <phoneticPr fontId="4" type="noConversion"/>
  </si>
  <si>
    <t>傑米‧巴特利特</t>
  </si>
  <si>
    <t>行人</t>
  </si>
  <si>
    <t>9789868319547</t>
  </si>
  <si>
    <t>今和次郎</t>
  </si>
  <si>
    <t>9789868319509</t>
  </si>
  <si>
    <t>一不小心就被吉：白話的生活法律對策</t>
    <phoneticPr fontId="4" type="noConversion"/>
  </si>
  <si>
    <t>雷皓明律師</t>
  </si>
  <si>
    <t>9789864061389</t>
  </si>
  <si>
    <t>令你憂心的生活法律大小事， 資深律師白話說給你聽。</t>
    <phoneticPr fontId="4" type="noConversion"/>
  </si>
  <si>
    <t>最新世界情勢地圖：從各國觀點出發，用地圖建構你的國際觀</t>
  </si>
  <si>
    <t>帕斯卡博尼法斯、于貝爾凡德林</t>
  </si>
  <si>
    <t>9789869689694</t>
  </si>
  <si>
    <t>砍頭與釘樁l：不死族的千年恐懼與考古追獵之旅</t>
  </si>
  <si>
    <t>安格莉卡．法蘭茲/丹尼爾．諾斯勒</t>
  </si>
  <si>
    <t>9789864890118</t>
  </si>
  <si>
    <t>本書可說是不死族知識大百科，囊括歷史／考古事件以及各式傳說與研究，從考古學觀點對所謂的不死族進行總體描述。</t>
    <phoneticPr fontId="4" type="noConversion"/>
  </si>
  <si>
    <t>血之黑旗：ISIS崛起的祕密</t>
  </si>
  <si>
    <t>喬比‧渥瑞克</t>
  </si>
  <si>
    <t>9789577631138</t>
  </si>
  <si>
    <t>2016 年普立茲獎最佳非小說</t>
    <phoneticPr fontId="4" type="noConversion"/>
  </si>
  <si>
    <t>為美好生活的教育－教改往哪裡走？</t>
  </si>
  <si>
    <t>王立昇</t>
  </si>
  <si>
    <t>9789571199535</t>
  </si>
  <si>
    <t>中華秩序：中原、世界帝國，與中國力量的本質</t>
  </si>
  <si>
    <t>王飛凌</t>
  </si>
  <si>
    <t>9789578654365</t>
  </si>
  <si>
    <t>最黑暗的時刻</t>
  </si>
  <si>
    <t>安東尼‧麥卡騰</t>
  </si>
  <si>
    <t>9789578654419</t>
  </si>
  <si>
    <t>性的解析-美國大學性教育講義2：性愛與溝通、性表現、性犯罪</t>
  </si>
  <si>
    <t>威廉．亞伯/芭芭拉．薩雅德</t>
  </si>
  <si>
    <t>9789869633581</t>
  </si>
  <si>
    <t>讓思考變得可見</t>
  </si>
  <si>
    <t>榮理查特/馬克邱奇/凱琳莫莉森</t>
  </si>
  <si>
    <t>9789869706919</t>
  </si>
  <si>
    <t>情感政治</t>
  </si>
  <si>
    <t>許寶強</t>
  </si>
  <si>
    <t>天窗</t>
    <phoneticPr fontId="4" type="noConversion"/>
  </si>
  <si>
    <t>9789888395941</t>
  </si>
  <si>
    <t>臺灣有形文化資產：聚落與產業遺產概論</t>
  </si>
  <si>
    <t>李謁政</t>
  </si>
  <si>
    <t>白象</t>
  </si>
  <si>
    <t>9789863586661</t>
  </si>
  <si>
    <t>亞當・史密斯論商業社會及其倫理</t>
    <phoneticPr fontId="4" type="noConversion"/>
  </si>
  <si>
    <t>康綠島</t>
  </si>
  <si>
    <t>狠角舍</t>
  </si>
  <si>
    <t>9789869715003</t>
  </si>
  <si>
    <t>小鷹的幸福對話</t>
  </si>
  <si>
    <t>蔡 森然</t>
  </si>
  <si>
    <t>渠成</t>
  </si>
  <si>
    <t>9789869692755</t>
  </si>
  <si>
    <t>赫爾曼‧比克斯戰記(A4大開本)</t>
  </si>
  <si>
    <t>小林源文,王佐榮</t>
  </si>
  <si>
    <t>蒼璧</t>
  </si>
  <si>
    <t>9789869696418</t>
  </si>
  <si>
    <t>認識軍人精神疾病</t>
  </si>
  <si>
    <t>張君威</t>
  </si>
  <si>
    <t>9789869591881</t>
  </si>
  <si>
    <t>點亮微光，為了阿福，我想要找100個台灣最美的風景：30則照服員用愛守護的生命記事</t>
    <phoneticPr fontId="4" type="noConversion"/>
  </si>
  <si>
    <t>老么</t>
  </si>
  <si>
    <t>9789864452989</t>
  </si>
  <si>
    <t>《讓我照顧你：一位長照服務員的30則感動記事》作者，溫暖動人的第二部作品。</t>
    <phoneticPr fontId="4" type="noConversion"/>
  </si>
  <si>
    <t>嗜讀者：改寫美國文學史的傳奇編輯</t>
  </si>
  <si>
    <t>羅伯．葛特利</t>
  </si>
  <si>
    <t>東美</t>
  </si>
  <si>
    <t>9789869541473</t>
  </si>
  <si>
    <t>★ 2015年 美國藝術與文學學院 藝術傑出貢獻獎
★ 2016年 《華盛頓郵報》年度選書：非虛構類</t>
    <phoneticPr fontId="4" type="noConversion"/>
  </si>
  <si>
    <t>斜槓時代的高效閱讀法：用乘法讀書法建構跨界知識網，提升自我戰力，拓展成功人生</t>
    <phoneticPr fontId="4" type="noConversion"/>
  </si>
  <si>
    <t>山口周</t>
  </si>
  <si>
    <t>9789578950757</t>
  </si>
  <si>
    <t>受眷顧的土地：馬鳴山鎮安宮五年大科</t>
    <phoneticPr fontId="4" type="noConversion"/>
  </si>
  <si>
    <t>洪瑩發</t>
  </si>
  <si>
    <t>豐饒文化</t>
  </si>
  <si>
    <t>9789869333795</t>
  </si>
  <si>
    <t>言說與記述-卑南學研究的多聲音軌：卑南學資料彙編第三輯</t>
  </si>
  <si>
    <t>巴代　主編</t>
  </si>
  <si>
    <t>耶魯</t>
  </si>
  <si>
    <t>9789869409742</t>
  </si>
  <si>
    <t>唯手機族與民意調查</t>
  </si>
  <si>
    <t>蔡美瑛</t>
  </si>
  <si>
    <t>9789864272471</t>
  </si>
  <si>
    <t>舊概念與新環境：以人為本的城鎮化</t>
    <phoneticPr fontId="4" type="noConversion"/>
  </si>
  <si>
    <t>梁鶴年</t>
  </si>
  <si>
    <t>9789888466832</t>
  </si>
  <si>
    <t>社企是門好生意?社會企業的批判與反思</t>
  </si>
  <si>
    <t>徐沛然</t>
  </si>
  <si>
    <t>9789571375953</t>
  </si>
  <si>
    <t>屠殺</t>
  </si>
  <si>
    <t>吳祥輝</t>
  </si>
  <si>
    <t>蝴蝶蘭文創</t>
  </si>
  <si>
    <t>9789869709316</t>
  </si>
  <si>
    <t>並非故意與眾不同：我的衝浪人生</t>
  </si>
  <si>
    <t>威廉．菲尼根</t>
  </si>
  <si>
    <t>紅樹林</t>
  </si>
  <si>
    <t>9789867885975</t>
  </si>
  <si>
    <t xml:space="preserve">2016年普立茲自傳獎
《時代雜誌》（TIME）2015年十大非小說
</t>
    <phoneticPr fontId="4" type="noConversion"/>
  </si>
  <si>
    <t>我們為何從眾，何時又不？：從經濟學、社會心理學、神經科學、演化生物學、行為生態學等角度剖析群聚與反群聚行為</t>
    <phoneticPr fontId="4" type="noConversion"/>
  </si>
  <si>
    <t>蜜雪兒．貝德利</t>
  </si>
  <si>
    <t>9789864775514</t>
  </si>
  <si>
    <t xml:space="preserve">向下扎根!德國教育的公民思辨課6-「宗教怎麼來的?為什麼人會相信看不見的神?」：寫給所有人的宗教入門書 </t>
    <phoneticPr fontId="4" type="noConversion"/>
  </si>
  <si>
    <t>布克哈德?懷茲</t>
  </si>
  <si>
    <t>9789863446118</t>
  </si>
  <si>
    <t xml:space="preserve">
獲德國閱讀推廣協會「青少年通俗專業書籍獎            一份給青少年參與社會討論的基礎知識</t>
    <phoneticPr fontId="4" type="noConversion"/>
  </si>
  <si>
    <t>廢棄社會：過剩消費、無用人口，我們都將淪為現代化的報廢物</t>
  </si>
  <si>
    <t>齊格蒙．鮑曼</t>
  </si>
  <si>
    <t>9789863446132</t>
  </si>
  <si>
    <t>品味這件事：為什麼你喜歡這個、不喜歡那個，從舌上五味、心理學與文化分析檢視品味的組成，探究我們對事物的好惡</t>
    <phoneticPr fontId="4" type="noConversion"/>
  </si>
  <si>
    <t>班傑明．艾雷特</t>
  </si>
  <si>
    <t>9789862357132</t>
  </si>
  <si>
    <t>回到舌上探索口味與品味的祕密</t>
    <phoneticPr fontId="4" type="noConversion"/>
  </si>
  <si>
    <t>美感心體驗：走讀台南II</t>
    <phoneticPr fontId="4" type="noConversion"/>
  </si>
  <si>
    <t>許玲瑋主編</t>
  </si>
  <si>
    <t>遠見雜誌</t>
  </si>
  <si>
    <t>9789869582810</t>
  </si>
  <si>
    <t>向誰效忠  關於一種更高層次的忠誠，以及這種忠誠的考驗</t>
  </si>
  <si>
    <t>詹姆斯‧柯米</t>
  </si>
  <si>
    <t>9789573284024</t>
  </si>
  <si>
    <t>無辜之人：小鎮冤案紀實(新版)</t>
    <phoneticPr fontId="4" type="noConversion"/>
  </si>
  <si>
    <t>約翰．葛里遜</t>
  </si>
  <si>
    <t>9789573284130</t>
  </si>
  <si>
    <t>誇大自體症候群：現代人體內暴君的真面目</t>
  </si>
  <si>
    <t>岡田尊司</t>
  </si>
  <si>
    <t>9789863232766</t>
  </si>
  <si>
    <t>以撒‧柏林（聯經Wings：Monograph 1）</t>
  </si>
  <si>
    <t>葉浩</t>
  </si>
  <si>
    <t>9789570852233</t>
  </si>
  <si>
    <t>弗雷德里希‧海耶克（聯經Wings：Monograph 2）</t>
  </si>
  <si>
    <t>張楚勇</t>
  </si>
  <si>
    <t>9789570852257</t>
  </si>
  <si>
    <t>麥可‧歐克秀（聯經Wings：Monograph 4）</t>
  </si>
  <si>
    <t>曾國祥</t>
  </si>
  <si>
    <t>9789570852226</t>
  </si>
  <si>
    <t>腳踏食地的智慧‧給青年農夫的信：如何打造自然健康的飲食，重建我們的農業與未來</t>
    <phoneticPr fontId="4" type="noConversion"/>
  </si>
  <si>
    <t>石倉食物農業中心</t>
  </si>
  <si>
    <t>9789570852066</t>
  </si>
  <si>
    <t>漢娜‧鄂蘭（聯經Wings：Monograph 3）</t>
  </si>
  <si>
    <t>李建漳</t>
  </si>
  <si>
    <t>9789570852240</t>
  </si>
  <si>
    <t>俄羅斯娃娃裡的祕密</t>
  </si>
  <si>
    <t>9789869699143</t>
  </si>
  <si>
    <t>給自己一個讚</t>
  </si>
  <si>
    <t>維他命熙</t>
  </si>
  <si>
    <t>9789869699150</t>
  </si>
  <si>
    <t>環遊世界鐵道之旅新148選</t>
  </si>
  <si>
    <t>蘇昭旭</t>
  </si>
  <si>
    <t>人人</t>
  </si>
  <si>
    <t>9789864611690</t>
  </si>
  <si>
    <t>旅遊</t>
  </si>
  <si>
    <t>延續2010年出版的《環遊世界鐵道之旅120選》，堪稱世界鐵道米其林指南的代表之作全新推出</t>
    <phoneticPr fontId="4" type="noConversion"/>
  </si>
  <si>
    <t xml:space="preserve">日本中部質感漫旅：神社×古街×城跡×溫泉×美食×選物店，風格景點私選 </t>
    <phoneticPr fontId="4" type="noConversion"/>
  </si>
  <si>
    <t>Gloria</t>
  </si>
  <si>
    <t>9789863362760</t>
  </si>
  <si>
    <t>義大利南部深度之旅：拿坡里‧龐貝</t>
    <phoneticPr fontId="4" type="noConversion"/>
  </si>
  <si>
    <t>簡婉莉(莉莉安小貴婦)</t>
  </si>
  <si>
    <t>9789863362746</t>
  </si>
  <si>
    <t>我的移動城堡：開露營車在澳洲</t>
  </si>
  <si>
    <t>Leon</t>
  </si>
  <si>
    <t>華成</t>
  </si>
  <si>
    <t>9789861923345</t>
  </si>
  <si>
    <t>丈量印度</t>
  </si>
  <si>
    <t>張瑞夫</t>
  </si>
  <si>
    <t>凱特</t>
  </si>
  <si>
    <t>9789869678827</t>
  </si>
  <si>
    <t xml:space="preserve">走入大絲路南亞段：印度不思議 世界遺產紀行 </t>
    <phoneticPr fontId="4" type="noConversion"/>
  </si>
  <si>
    <t>吳德朗</t>
  </si>
  <si>
    <t>9789863983927</t>
  </si>
  <si>
    <t>夜訪日本神社寺院：伴著星月，體驗夜間參拜的莊嚴氛圍</t>
    <phoneticPr fontId="4" type="noConversion"/>
  </si>
  <si>
    <t>G.B.株式會社</t>
  </si>
  <si>
    <t>9789864758487</t>
  </si>
  <si>
    <t>最美的京都，你都見過了嗎？攝影名家的私房散策路線：秋楓冬雪篇</t>
  </si>
  <si>
    <t>水野克比古</t>
  </si>
  <si>
    <t>9789571083223</t>
  </si>
  <si>
    <t>尋味台灣：吃遍全台45家街口小吃、餐館美饌，品嚐料理中的人生況味</t>
    <phoneticPr fontId="4" type="noConversion"/>
  </si>
  <si>
    <t>中華美食交流協會</t>
  </si>
  <si>
    <t>9789869670609</t>
  </si>
  <si>
    <t>無障礙旅遊-跟著輪椅導遊玩台灣</t>
  </si>
  <si>
    <t>黃欣儀</t>
  </si>
  <si>
    <t>游擊文化</t>
  </si>
  <si>
    <t>9789869594578</t>
  </si>
  <si>
    <t>★第一本為行動不便者設計的旅遊指南★</t>
    <phoneticPr fontId="4" type="noConversion"/>
  </si>
  <si>
    <t>看見，心西藏：深探訪大西藏全境之美，分享大山大水教會我的事</t>
    <phoneticPr fontId="4" type="noConversion"/>
  </si>
  <si>
    <t>孫宜君</t>
  </si>
  <si>
    <t>9789864775729</t>
    <phoneticPr fontId="4" type="noConversion"/>
  </si>
  <si>
    <t>入住東京老房子，Check in 江戶時代</t>
  </si>
  <si>
    <t>個人旅行WALKER</t>
  </si>
  <si>
    <t>墨刻(MOOK)</t>
  </si>
  <si>
    <t>9789862894330</t>
  </si>
  <si>
    <t>世界遺產全書(精裝版）</t>
  </si>
  <si>
    <t>朱月華‧墨刻編輯部</t>
  </si>
  <si>
    <t>9789862894279</t>
  </si>
  <si>
    <t>西班牙：馬德里.巴塞隆納.安達魯西亞</t>
  </si>
  <si>
    <t>趙思語‧吳佳曄‧墨刻編輯部</t>
  </si>
  <si>
    <t>9789862894392</t>
  </si>
  <si>
    <t>英國</t>
  </si>
  <si>
    <t>王偉安‧墨刻編輯部</t>
  </si>
  <si>
    <t>9789862894316</t>
  </si>
  <si>
    <t>首爾</t>
  </si>
  <si>
    <t>黃雨柔‧墨刻編輯部</t>
  </si>
  <si>
    <t>9789862894385</t>
  </si>
  <si>
    <t>紐西蘭</t>
  </si>
  <si>
    <t>蒙金蘭‧墨刻編輯部</t>
  </si>
  <si>
    <t>9789862894361</t>
  </si>
  <si>
    <t>東京食素！美味蔬食餐廳47選</t>
  </si>
  <si>
    <t>山崎 寬斗</t>
  </si>
  <si>
    <t>9789863024583</t>
  </si>
  <si>
    <t>漫走洛磯山脈10大私房路線：專業旅遊工作者近30年經驗分享，超過3000次帶團全紀錄(暢銷新修版)(二版)</t>
    <phoneticPr fontId="4" type="noConversion"/>
  </si>
  <si>
    <t>凱瑞</t>
  </si>
  <si>
    <t>9789863024644</t>
  </si>
  <si>
    <t>環球極光攻略</t>
  </si>
  <si>
    <t>黃莉娜</t>
  </si>
  <si>
    <t>9789888258888</t>
  </si>
  <si>
    <t>超元氣！靜岡‧富士山‧伊豆半島</t>
  </si>
  <si>
    <t>王瑤琴</t>
  </si>
  <si>
    <t>日日幸福</t>
  </si>
  <si>
    <t>9789869688666</t>
  </si>
  <si>
    <t>下一站，印度德里！</t>
  </si>
  <si>
    <t>PloyCafe</t>
  </si>
  <si>
    <t>瑞蘭</t>
  </si>
  <si>
    <t>9789578431782</t>
  </si>
  <si>
    <t>跟著Google Maps遊澳門</t>
  </si>
  <si>
    <t>胡哲榮</t>
  </si>
  <si>
    <t>9789578431775</t>
  </si>
  <si>
    <t>驚奇紐西蘭，勇闖奇異王國</t>
  </si>
  <si>
    <t>汪銘?;張雅莉</t>
  </si>
  <si>
    <t>9789869683012</t>
  </si>
  <si>
    <t>松下幸之助 365天成功語錄</t>
  </si>
  <si>
    <t>松下幸之助</t>
  </si>
  <si>
    <t>人類</t>
  </si>
  <si>
    <t>9789863733928</t>
  </si>
  <si>
    <t>商業理財</t>
    <phoneticPr fontId="4" type="noConversion"/>
  </si>
  <si>
    <t>從0～1 自媒體品牌行銷術</t>
  </si>
  <si>
    <t>王靖傑</t>
  </si>
  <si>
    <t>9789864139859</t>
  </si>
  <si>
    <t>10倍速!寫出最強文字：簡報、企劃、e-mail、部落格、履歷，超速完稿不用改!</t>
    <phoneticPr fontId="4" type="noConversion"/>
  </si>
  <si>
    <t>上阪徹</t>
  </si>
  <si>
    <t>9789576580840</t>
  </si>
  <si>
    <t>人生勝利聖經：向100位世界強者學習健康、財富和人生智慧</t>
  </si>
  <si>
    <t>提摩西．費里斯</t>
  </si>
  <si>
    <t>9789576580772</t>
  </si>
  <si>
    <t>　★超過千名讀者及影音部落客大推：「這是我讀過最實用的一本書！」</t>
    <phoneticPr fontId="4" type="noConversion"/>
  </si>
  <si>
    <t>小島經濟學：關於魚(金錢)、漁網(資本)、儲蓄【插畫圖解珍藏版】</t>
  </si>
  <si>
    <t>彼得．希夫/安德魯．希夫</t>
  </si>
  <si>
    <t>9789576580949</t>
  </si>
  <si>
    <t>《紐約時報》暢銷作家暨經濟學家寫給所有人的經濟寓言，教你洞悉日常生活現象背後的80個經濟規律。</t>
    <phoneticPr fontId="4" type="noConversion"/>
  </si>
  <si>
    <t>時間貧民：為何我擁有了效率、薪水、職位，卻不擁有人生？</t>
  </si>
  <si>
    <t>凱薩琳．布莉絲</t>
  </si>
  <si>
    <t>9789576580697</t>
  </si>
  <si>
    <t>商業理財</t>
  </si>
  <si>
    <t>超AI時代的生存戰略：迎接2040世代，34個個人意志、工作、生活關鍵字</t>
    <phoneticPr fontId="4" type="noConversion"/>
  </si>
  <si>
    <t>落合陽一</t>
  </si>
  <si>
    <t>9789576580765</t>
  </si>
  <si>
    <t xml:space="preserve">築夢的堅持：15位創業家的追夢之旅 
</t>
    <phoneticPr fontId="4" type="noConversion"/>
  </si>
  <si>
    <t>黃文彬等15位CEO</t>
  </si>
  <si>
    <t>知識流</t>
  </si>
  <si>
    <t>9789868826366</t>
  </si>
  <si>
    <t>旱地阿貴(燙金尊榮版)</t>
  </si>
  <si>
    <t>林文貴</t>
  </si>
  <si>
    <t>趨勢文化</t>
  </si>
  <si>
    <t>9789869526913</t>
  </si>
  <si>
    <t>李嘉誠談做人．做事．做生意 全集（榮休紀念黃金版）</t>
  </si>
  <si>
    <t>王祥瑞</t>
  </si>
  <si>
    <t>大都會</t>
  </si>
  <si>
    <t>9789869667272</t>
  </si>
  <si>
    <t xml:space="preserve">創造價值的技術：個人創業、網路開拓客群，5個神乎其技的行銷技巧，讓你的顧客掏心也掏腰包 </t>
    <phoneticPr fontId="4" type="noConversion"/>
  </si>
  <si>
    <t>藤村正宏</t>
  </si>
  <si>
    <t>9789869689649</t>
  </si>
  <si>
    <t>日本行銷大師藤村正宏，教你如何打造正確的商品「價值」</t>
    <phoneticPr fontId="4" type="noConversion"/>
  </si>
  <si>
    <t>80/20法則：商場獲利與生活如意的成功法則(20週年擴充新版</t>
    <phoneticPr fontId="4" type="noConversion"/>
  </si>
  <si>
    <t>理查．柯克</t>
  </si>
  <si>
    <t>9789862139424</t>
  </si>
  <si>
    <t>★ 世紀商業經典．20週年擴充新版增訂序，4篇全新章節，讓你投入更少，成效更好</t>
    <phoneticPr fontId="4" type="noConversion"/>
  </si>
  <si>
    <t>年薪千萬的業務員是怎麼做到的?：21個經營鯨魚級客戶的銷售祕訣</t>
    <phoneticPr fontId="4" type="noConversion"/>
  </si>
  <si>
    <t>史蒂芬‧哈維爾</t>
  </si>
  <si>
    <t>9789863983828</t>
  </si>
  <si>
    <t>讓內向者發光的自我行銷術</t>
  </si>
  <si>
    <t xml:space="preserve"> 馬場啓介</t>
    <phoneticPr fontId="4" type="noConversion"/>
  </si>
  <si>
    <t>一起來</t>
  </si>
  <si>
    <t>9789869662727</t>
  </si>
  <si>
    <t>捨棄歐美式的自我推銷，讓你即便不開口也能備受肯定！</t>
    <phoneticPr fontId="4" type="noConversion"/>
  </si>
  <si>
    <t>波克夏大學：巴菲特與窮查理30年的投資備忘錄</t>
    <phoneticPr fontId="4" type="noConversion"/>
  </si>
  <si>
    <t>丹尼爾．皮考特/柯瑞．溫倫</t>
  </si>
  <si>
    <t>9789867645531</t>
  </si>
  <si>
    <t>小群效應：席捲海量用戶的隱形力量</t>
  </si>
  <si>
    <t>徐志斌</t>
  </si>
  <si>
    <t>9789863843283</t>
  </si>
  <si>
    <t>向不容出錯、最會管理風險的NASA學決策</t>
  </si>
  <si>
    <t>中村慎吾</t>
  </si>
  <si>
    <t>9789869603058</t>
  </si>
  <si>
    <t>可複製的領導力：300萬付費會員推崇，樊登的九堂商業課</t>
  </si>
  <si>
    <t>樊登 著</t>
  </si>
  <si>
    <t>先覺</t>
  </si>
  <si>
    <t>9789861343334</t>
  </si>
  <si>
    <t>★華文世界最成功知識付費平台「樊登讀書會」創辦人的首部作品</t>
    <phoneticPr fontId="4" type="noConversion"/>
  </si>
  <si>
    <t>都是溝通不良惹的禍！給主管的「觀察」×「提問」×「表達」</t>
  </si>
  <si>
    <t>武神健之</t>
  </si>
  <si>
    <t>9789864758470</t>
  </si>
  <si>
    <t>解放員工90%潛力的1對1溝通術：來自日本雅虎成功經驗！</t>
  </si>
  <si>
    <t>本間浩輔</t>
  </si>
  <si>
    <t>9789864758555</t>
  </si>
  <si>
    <t>數位時代的行銷改革：打造獨特品牌、建立暢銷機制、突破銷售困境的超實用入門書</t>
    <phoneticPr fontId="4" type="noConversion"/>
  </si>
  <si>
    <t>西井敏恭</t>
  </si>
  <si>
    <t>9789864758579</t>
  </si>
  <si>
    <t xml:space="preserve">你老闆在你背後，有點火：不想被主管整死、被屬下氣死、被同業害死，不可不知的職場文化人類學! </t>
    <phoneticPr fontId="4" type="noConversion"/>
  </si>
  <si>
    <t>御姊愛</t>
  </si>
  <si>
    <t>9789869704663</t>
  </si>
  <si>
    <t>好主管要學黑道老大：為什麼老大聊天泡茶，兄弟就能自動自發？</t>
  </si>
  <si>
    <t>向谷匡史</t>
  </si>
  <si>
    <t>9789579164634</t>
  </si>
  <si>
    <t>如何循序漸進撐起自己的野心：這世上，比賺得少更可怕的，是迷茫，這本書一定可以給你意想不到的答案。</t>
    <phoneticPr fontId="4" type="noConversion"/>
  </si>
  <si>
    <t>陳立飛（Spenser）</t>
  </si>
  <si>
    <t>9789579164702</t>
  </si>
  <si>
    <t>你是將才，怎麼被看見?：再厲害的經營者，也得靠身邊的將才成全，13位在可怕高層身邊待過的牛人，分享獨門工作技巧。</t>
    <phoneticPr fontId="4" type="noConversion"/>
  </si>
  <si>
    <t>9789579164672</t>
  </si>
  <si>
    <t xml:space="preserve">錢意識：借錢、花錢、存錢、賺錢，你最愛哪一件?不做哪一件?變有錢的人怎麼處理錢?跟你想的不一樣 </t>
    <phoneticPr fontId="4" type="noConversion"/>
  </si>
  <si>
    <t>沈誘冰</t>
  </si>
  <si>
    <t>9789579164573</t>
  </si>
  <si>
    <t>厚黑學完全使用手冊：看人用人篇</t>
  </si>
  <si>
    <t>王照</t>
  </si>
  <si>
    <t>9789863895633</t>
  </si>
  <si>
    <t>早起，把你的生意做大！</t>
  </si>
  <si>
    <t>沈寶仁</t>
  </si>
  <si>
    <t>9789869692731</t>
  </si>
  <si>
    <t>世界上最有力量的是夢想22：創造生命的價值</t>
  </si>
  <si>
    <t>林玉卿</t>
  </si>
  <si>
    <t>華藝創意</t>
  </si>
  <si>
    <t>9789869699709</t>
  </si>
  <si>
    <t>黑金遊戲：石油霸權、國際銀行與回教革命的黑金大戲</t>
  </si>
  <si>
    <t>廖日昇</t>
  </si>
  <si>
    <t>我識</t>
  </si>
  <si>
    <t>9789869673358</t>
  </si>
  <si>
    <t>圖解管理36計－管理有道，成功之鑰</t>
  </si>
  <si>
    <t>胡欣蘭</t>
  </si>
  <si>
    <t>易富</t>
  </si>
  <si>
    <t>9789864070725</t>
  </si>
  <si>
    <t>以老祖先的最高謀略寶典《36計》為基礎，並結合行銷管理大師胡欣蘭老師的實務經驗，幫你解決現代管理上的任何疑難雜症。</t>
    <phoneticPr fontId="4" type="noConversion"/>
  </si>
  <si>
    <t>打造超級業務王：晉升業務神人的10大黃金關鍵課</t>
  </si>
  <si>
    <t>王晴天</t>
  </si>
  <si>
    <t>創見</t>
  </si>
  <si>
    <t>9789862718421</t>
  </si>
  <si>
    <t xml:space="preserve">邊寫邊思考的大腦整理筆記法： 養成「書寫→思考→解決」的習慣，增加生產力，強化學習力，紓解壓力，心智升級! </t>
    <phoneticPr fontId="4" type="noConversion"/>
  </si>
  <si>
    <t>齋藤孝</t>
  </si>
  <si>
    <t>9789578950733</t>
  </si>
  <si>
    <t>思路決定財路、出路、活路</t>
  </si>
  <si>
    <t>張旭</t>
  </si>
  <si>
    <t>9789863526636</t>
  </si>
  <si>
    <t>超圖解：經濟學關鍵字！</t>
  </si>
  <si>
    <t>鈴木一之/監修</t>
  </si>
  <si>
    <t>楓葉社</t>
  </si>
  <si>
    <t>9789863701811</t>
  </si>
  <si>
    <t>洞察地圖：6大致勝法則，成功破解消費者心理</t>
    <phoneticPr fontId="4" type="noConversion"/>
  </si>
  <si>
    <t>溫蒂．郭爾登</t>
  </si>
  <si>
    <t>9789571375557</t>
  </si>
  <si>
    <t xml:space="preserve">無法創新，是因為你不會發揮潛力：觀察力+質問力+混搭力，用對三大能力，創造工作的最大值 </t>
    <phoneticPr fontId="4" type="noConversion"/>
  </si>
  <si>
    <t>三浦將</t>
  </si>
  <si>
    <t>9789571376004</t>
  </si>
  <si>
    <t>圖解東協潛商機：解析政經貿發展階段，發掘可期潛力領域，決勝創</t>
  </si>
  <si>
    <t>瑞穗(MIZUHO)綜合研究所</t>
  </si>
  <si>
    <t>易博士</t>
  </si>
  <si>
    <t>9789864800667</t>
  </si>
  <si>
    <t>小米生態鏈：戰地筆記</t>
  </si>
  <si>
    <t>洪華/董軍</t>
  </si>
  <si>
    <t>9789864775620</t>
  </si>
  <si>
    <t>亞馬遜2022：貝佐斯征服全球的策略藍圖</t>
  </si>
  <si>
    <t>田中道昭</t>
  </si>
  <si>
    <t>9789864775538</t>
  </si>
  <si>
    <t>創客創業導師程天縱的專業力：個人發展與企業競爭的究竟根本</t>
  </si>
  <si>
    <t>程天縱</t>
  </si>
  <si>
    <t>9789864775644</t>
  </si>
  <si>
    <t>一個投機者的告白實戰書</t>
  </si>
  <si>
    <t>安納金</t>
  </si>
  <si>
    <t>商業周刊</t>
  </si>
  <si>
    <t>9789867778437</t>
  </si>
  <si>
    <t>《一個投機者的告白》，是探討投資心法與金融市場分析的世紀經典。實戰版終於問世！</t>
    <phoneticPr fontId="4" type="noConversion"/>
  </si>
  <si>
    <t>科技選擇：如何善用新科技提升人類，而不是淘汰人類？</t>
  </si>
  <si>
    <t>費維克華德瓦/亞歷克斯沙基佛</t>
  </si>
  <si>
    <t>經濟新潮社</t>
  </si>
  <si>
    <t>9789869624497</t>
  </si>
  <si>
    <t>★本書入圍《金融時報》和麥肯錫2017年度最佳商業圖書獎名單★</t>
    <phoneticPr fontId="4" type="noConversion"/>
  </si>
  <si>
    <t>讀懂主管心，上班不委屈－圖解18種主管性格Ｘ72個應對之策</t>
  </si>
  <si>
    <t>職場關係專家－侯賽雷</t>
  </si>
  <si>
    <t>凱信</t>
  </si>
  <si>
    <t>9789869693066</t>
  </si>
  <si>
    <t>素人新時代</t>
  </si>
  <si>
    <t>楊皓霖,林芯慧,莊詠安…等</t>
  </si>
  <si>
    <t>智庫雲端</t>
  </si>
  <si>
    <t>9789869541770</t>
  </si>
  <si>
    <t>在地品牌經營學：建立形象，鎖定客群，讓創意變成複利</t>
    <phoneticPr fontId="4" type="noConversion"/>
  </si>
  <si>
    <t>郭大澤/沈婷</t>
  </si>
  <si>
    <t>9789865003104</t>
  </si>
  <si>
    <t>好服務，是從顧客角度出發：帶給用戶幸福感，解決使用者需求</t>
    <phoneticPr fontId="4" type="noConversion"/>
  </si>
  <si>
    <t>茶山</t>
  </si>
  <si>
    <t>9789865003081</t>
  </si>
  <si>
    <t>成功，就是要快速砍掉重練：電商黒馬創業家兄弟屢創驚人營收的55個商業智慧</t>
    <phoneticPr fontId="4" type="noConversion"/>
  </si>
  <si>
    <t>傅瑋瓊</t>
  </si>
  <si>
    <t>9789864795864</t>
  </si>
  <si>
    <t>成長駭客攻略：數位行銷教父教你打造高速成長團隊</t>
  </si>
  <si>
    <t>西恩．艾利斯/摩根．布朗</t>
  </si>
  <si>
    <t>9789864795925</t>
  </si>
  <si>
    <t>系統失靈的陷阱：杜絕風險的聰明解決方案</t>
  </si>
  <si>
    <t>克里斯克利菲爾德/安德拉斯提爾席克</t>
  </si>
  <si>
    <t>9789864795901</t>
  </si>
  <si>
    <t>這一生，你想留下什麼？：史丹佛的10堂領導課</t>
  </si>
  <si>
    <t>約翰‧漢尼斯</t>
  </si>
  <si>
    <t>9789864795789</t>
  </si>
  <si>
    <t>Google母公司Alphabet董事長「矽谷教父」巨作，本書為其生涯領導之洞見。</t>
    <phoneticPr fontId="4" type="noConversion"/>
  </si>
  <si>
    <t>別讓世界定義你：用5個新眼光開始企畫屬於你的勝利人生</t>
  </si>
  <si>
    <t>何則文</t>
  </si>
  <si>
    <t>9789573283799</t>
  </si>
  <si>
    <t>財報教授教你最高賺錢力：搞懂財報，創業、投資、理財無往不利</t>
  </si>
  <si>
    <t>薛兆亨、徐林寬</t>
  </si>
  <si>
    <t>9789573284055</t>
  </si>
  <si>
    <t>最棒的一年：5個步驟，100%實現目標，讓計畫不再是空話</t>
  </si>
  <si>
    <t>麥可‧海亞特</t>
  </si>
  <si>
    <t>9789573284031</t>
  </si>
  <si>
    <t>做業務不需要什麼特殊才能：只要養成小習慣，你也能從0成交到100%成交</t>
    <phoneticPr fontId="4" type="noConversion"/>
  </si>
  <si>
    <t>高野孝之</t>
  </si>
  <si>
    <t>八方出版</t>
  </si>
  <si>
    <t>9789863811947</t>
  </si>
  <si>
    <t>98%顧客都買單の成交心理學：為何她用「一句話」，就能勾起顧客的購買欲望</t>
    <phoneticPr fontId="4" type="noConversion"/>
  </si>
  <si>
    <t>和田裕美</t>
  </si>
  <si>
    <t>大樂文化</t>
  </si>
  <si>
    <t>9789869687355</t>
  </si>
  <si>
    <t xml:space="preserve">如何在LINE、FB寫出 爆款文案：奧美前金牌廣告人教你，把文字變成「印鈔機」的18個技巧! </t>
    <phoneticPr fontId="4" type="noConversion"/>
  </si>
  <si>
    <t>關健明</t>
  </si>
  <si>
    <t>9789869687393</t>
  </si>
  <si>
    <t>★奧美金牌廣告人的獨家技巧大公開★</t>
    <phoneticPr fontId="4" type="noConversion"/>
  </si>
  <si>
    <t>高績效的 魔鬼藏在細節裡：領導14萬人的普利司通CEO，打造最強團隊的25個鐵則!</t>
    <phoneticPr fontId="4" type="noConversion"/>
  </si>
  <si>
    <t>荒川詔四</t>
  </si>
  <si>
    <t>9789869687362</t>
  </si>
  <si>
    <t>基本面一哥教你 財報分析課：用一張圖表，就能挑出獲利又誠實的</t>
  </si>
  <si>
    <t>國貞克則</t>
  </si>
  <si>
    <t>9789869687386</t>
  </si>
  <si>
    <t>欣賞式探詢的力量：正向創變實務指引【暢銷增修版】</t>
  </si>
  <si>
    <t>黛安娜惠特尼博士、阿曼達賽思頓</t>
  </si>
  <si>
    <t>9789578679443</t>
  </si>
  <si>
    <t xml:space="preserve">松浦彌太郎の即答力：持續遇見嶄新風景的人生經驗術(二版) </t>
    <phoneticPr fontId="4" type="noConversion"/>
  </si>
  <si>
    <t>松浦彌太郎</t>
  </si>
  <si>
    <t>悅知文化</t>
    <phoneticPr fontId="4" type="noConversion"/>
  </si>
  <si>
    <t>9789578787650</t>
  </si>
  <si>
    <t>領導禪：頂尖領袖應具備的五種能力：風範、培育力、平常心、行動力、信任感</t>
    <phoneticPr fontId="4" type="noConversion"/>
  </si>
  <si>
    <t>野俊明</t>
  </si>
  <si>
    <t>9789578787582</t>
  </si>
  <si>
    <t>翻倍人生：台灣No.1交易女神的成功哲學</t>
  </si>
  <si>
    <t>陳莉婷</t>
  </si>
  <si>
    <t>零極限</t>
  </si>
  <si>
    <t>9789869568890</t>
  </si>
  <si>
    <t>AI創世紀：即將來臨的超級人工智慧時代</t>
  </si>
  <si>
    <t>埃米爾.侯賽因Amir Husain</t>
  </si>
  <si>
    <t>寶鼎</t>
  </si>
  <si>
    <t>9789862487549</t>
  </si>
  <si>
    <t>「2018人工智慧領域最值得一讀」選書
 企業決策者「必讀AI書籍」Top 10入選</t>
    <phoneticPr fontId="4" type="noConversion"/>
  </si>
  <si>
    <t>會計思考力：決戰商場必備武器！80張圖表教你看穿財報真相，提升組織績效</t>
    <phoneticPr fontId="4" type="noConversion"/>
  </si>
  <si>
    <t>矢部謙介</t>
  </si>
  <si>
    <t>9789862487686</t>
  </si>
  <si>
    <t>尋找生命的春光：行腳節目導演技術與美學</t>
    <phoneticPr fontId="4" type="noConversion"/>
  </si>
  <si>
    <t>何懷嵩</t>
  </si>
  <si>
    <t>新銳文創</t>
  </si>
  <si>
    <t>9789578924390</t>
  </si>
  <si>
    <t>有志於電視製作的從業人員不可錯過的重要參考書！</t>
    <phoneticPr fontId="4" type="noConversion"/>
  </si>
  <si>
    <t>經典秩序的重構：廖平的世界觀與經學之路</t>
    <phoneticPr fontId="4" type="noConversion"/>
  </si>
  <si>
    <t>魏綵瑩</t>
  </si>
  <si>
    <t>9789570852271</t>
  </si>
  <si>
    <t>健康發酵食品事典</t>
  </si>
  <si>
    <t>小泉武夫、金內誠、館野真知子</t>
  </si>
  <si>
    <t>9789864435135</t>
  </si>
  <si>
    <t>飲食</t>
  </si>
  <si>
    <t>10秒鐘美食教室：秒懂！那些料理背後的二三事</t>
  </si>
  <si>
    <t>Yan</t>
  </si>
  <si>
    <t>9789578587519</t>
  </si>
  <si>
    <t>超人氣圖文創作者「10秒鐘教室」教你用最有趣的方式認識食物！</t>
    <phoneticPr fontId="4" type="noConversion"/>
  </si>
  <si>
    <t>我的第一本鑄鐵平底鍋料理：一日三餐免換鍋!1個人、小家庭都實用</t>
    <phoneticPr fontId="4" type="noConversion"/>
  </si>
  <si>
    <t>岸田夕子(勇????)</t>
  </si>
  <si>
    <t>朱雀</t>
  </si>
  <si>
    <t>9789869722704</t>
  </si>
  <si>
    <t>飲食</t>
    <phoneticPr fontId="4" type="noConversion"/>
  </si>
  <si>
    <t>素的下飯菜：輕鬆做出 100 道中西式扒飯料理</t>
    <phoneticPr fontId="4" type="noConversion"/>
  </si>
  <si>
    <t>瑋廚(高振瑋)</t>
  </si>
  <si>
    <t>9789869671897</t>
  </si>
  <si>
    <t>超級葡萄酒大辭典A-Z</t>
  </si>
  <si>
    <t>奧茲‧克拉克</t>
  </si>
  <si>
    <t>常常生活</t>
  </si>
  <si>
    <t>9789869620048</t>
  </si>
  <si>
    <t>世界上最受歡迎的葡萄酒作家奧茲‧克拉克(Oz Clarke)50萬字巨作</t>
    <phoneticPr fontId="4" type="noConversion"/>
  </si>
  <si>
    <t>口感科學： 由食物質地解讀大腦到舌尖的風味之源(收錄50道無國界全方位料理)</t>
    <phoneticPr fontId="4" type="noConversion"/>
  </si>
  <si>
    <t>歐雷莫西森、克拉夫斯史帝貝克</t>
  </si>
  <si>
    <t>9789579689229</t>
  </si>
  <si>
    <t>學者和主廚聯手探索：除了風味以外，食物為何美味的關鍵！</t>
    <phoneticPr fontId="4" type="noConversion"/>
  </si>
  <si>
    <t xml:space="preserve">低醣餐桌 常備減脂湯料理：153道能吃飽、超省時、好省錢的日常減重食譜，無壓力維持瘦身飲食 </t>
    <phoneticPr fontId="4" type="noConversion"/>
  </si>
  <si>
    <t>主婦之友社編輯部</t>
  </si>
  <si>
    <t>9789869686938</t>
  </si>
  <si>
    <t>韓國飲食的素顏：從泡菜到蔘雞湯，形塑韓國飲食文化的100個事典</t>
    <phoneticPr fontId="4" type="noConversion"/>
  </si>
  <si>
    <t>黃教益</t>
  </si>
  <si>
    <t>9789869686952</t>
  </si>
  <si>
    <t>煮婦心機：速簡快，廚房菜鳥偽裝大廚的72捷徑</t>
    <phoneticPr fontId="4" type="noConversion"/>
  </si>
  <si>
    <t>芭娜娜</t>
  </si>
  <si>
    <t>9789863843269</t>
  </si>
  <si>
    <t>料理新手抄捷徑變大廚！</t>
    <phoneticPr fontId="4" type="noConversion"/>
  </si>
  <si>
    <t>自己做最安心！風味清爽、口感鬆軟的麵包</t>
  </si>
  <si>
    <t>白崎裕子</t>
  </si>
  <si>
    <t>9789864758463</t>
  </si>
  <si>
    <t>時尚法式甜點：步驟最詳盡，一次網羅35家熱門店人氣配方！</t>
  </si>
  <si>
    <t>caf-sweets編輯部</t>
  </si>
  <si>
    <t>9789864758456</t>
  </si>
  <si>
    <t>藍帶階級：我的倫敦烘培筆記</t>
  </si>
  <si>
    <t>黃忻孺</t>
  </si>
  <si>
    <t>研出版</t>
  </si>
  <si>
    <t>9789887826828</t>
  </si>
  <si>
    <t>藍帶級甜點食譜 X 學院學習點滴 X 甜點師之路 X 飲食文化 X 異國生活</t>
    <phoneticPr fontId="4" type="noConversion"/>
  </si>
  <si>
    <t>麵包與巧克力倉庫：愛的傳承</t>
  </si>
  <si>
    <t>Sucharita、Michae</t>
  </si>
  <si>
    <t>9789863586968</t>
  </si>
  <si>
    <t>頂尖咖啡師給新手的入門讀本(附DVD)</t>
  </si>
  <si>
    <t>小池美枝子</t>
  </si>
  <si>
    <t>邦聯</t>
  </si>
  <si>
    <t>9789869676885</t>
  </si>
  <si>
    <t>日本Barista冠軍咖啡師親自傳授各種咖啡專業知識</t>
    <phoneticPr fontId="4" type="noConversion"/>
  </si>
  <si>
    <t xml:space="preserve">零負評!濃郁燉飯：好快速+真輕鬆+超簡單 </t>
    <phoneticPr fontId="4" type="noConversion"/>
  </si>
  <si>
    <t>若山曜子</t>
  </si>
  <si>
    <t>9789578472464</t>
  </si>
  <si>
    <t>就愛吃水果：挑選、保存、洗切方略，享受台灣四季水果盛宴不求人</t>
    <phoneticPr fontId="4" type="noConversion"/>
  </si>
  <si>
    <t>9789869693745</t>
  </si>
  <si>
    <t>知名插畫家童嘉以插畫方式呈現</t>
    <phoneticPr fontId="4" type="noConversion"/>
  </si>
  <si>
    <t>烤箱，芝麻開門!:零失敗美味烘烤計畫</t>
  </si>
  <si>
    <t>于有延</t>
  </si>
  <si>
    <t>9789869706827</t>
  </si>
  <si>
    <t>居家，男人的吐司：當叛逆遇上溫柔，手感溫度，揉出對摯愛的巧思</t>
    <phoneticPr fontId="4" type="noConversion"/>
  </si>
  <si>
    <t>王宗祐、黃葉嘉、許慶德</t>
  </si>
  <si>
    <t>上優</t>
  </si>
  <si>
    <t>9789869659086</t>
  </si>
  <si>
    <t>居家型男吐司書，希望讀者型男們能為摯愛揉出愛的麵糰！</t>
    <phoneticPr fontId="4" type="noConversion"/>
  </si>
  <si>
    <t>邱師傅的烘焙天地：FB超人氣烘焙社團!無私分享的101道暖心甜點</t>
    <phoneticPr fontId="4" type="noConversion"/>
  </si>
  <si>
    <t>邱獻勝,馮寶琴,鍾昆富</t>
  </si>
  <si>
    <t>9789869659062</t>
  </si>
  <si>
    <t>0失敗甜點：大家都喜歡的經典食譜</t>
  </si>
  <si>
    <t>ORANGE PAGE／編</t>
  </si>
  <si>
    <t>9789863774334</t>
  </si>
  <si>
    <t>葡萄酒小詞典 萬用豆知識6</t>
  </si>
  <si>
    <t>中濱潤子</t>
  </si>
  <si>
    <t>9789863774303</t>
  </si>
  <si>
    <t>咖啡癮科學：從栽植、烘焙到沖煮的死硬派雜記</t>
  </si>
  <si>
    <t>尚．史戴曼博士</t>
  </si>
  <si>
    <t>9789863701828</t>
  </si>
  <si>
    <t>家用烤箱的頂級吐司烘焙術</t>
  </si>
  <si>
    <t>MURAYOSHI MASAYUKI</t>
  </si>
  <si>
    <t>9789863701798</t>
  </si>
  <si>
    <t>韓國人妻的72道家常烘焙食譜</t>
  </si>
  <si>
    <t>徐貴英</t>
  </si>
  <si>
    <t>9789863701804</t>
  </si>
  <si>
    <t>呂昇達老師 幸福的柔軟甜點</t>
  </si>
  <si>
    <t>呂昇達</t>
  </si>
  <si>
    <t>9789579699471</t>
  </si>
  <si>
    <t>氣炸鍋零失敗再升級：70道新手不敗的減脂料理，吃到健康及美味！</t>
  </si>
  <si>
    <t>JJ5色廚,超馬先生…等</t>
  </si>
  <si>
    <t>9789579699556</t>
  </si>
  <si>
    <t>Herbs香草茶飲應用百科：祛寒、解暑、助消化!33種香草植物，調出180款茶飲，溫柔療癒身心</t>
    <phoneticPr fontId="4" type="noConversion"/>
  </si>
  <si>
    <t>尤次雄</t>
  </si>
  <si>
    <t>9789864084302</t>
  </si>
  <si>
    <t>◎香草植物研究家尤次雄20年的沖泡經驗與要領！
◎繼《Herbs香草百科》後的茶飲專書，台灣風土適用！</t>
    <phoneticPr fontId="4" type="noConversion"/>
  </si>
  <si>
    <t>日本太太的幸福餐桌 鹽麴‧甘麴‧味噌‧酒粕‧味醂，用天然的發酵調味烹出自家風</t>
    <phoneticPr fontId="4" type="noConversion"/>
  </si>
  <si>
    <t>岡本愛</t>
  </si>
  <si>
    <t>9789864084364</t>
  </si>
  <si>
    <t>世界上最簡單的香料咖哩教室：東京咖哩番長香料全攻略</t>
    <phoneticPr fontId="4" type="noConversion"/>
  </si>
  <si>
    <t>9789864084432</t>
  </si>
  <si>
    <t>一本教你完全掌握香料咖哩的咖哩工具書！</t>
    <phoneticPr fontId="4" type="noConversion"/>
  </si>
  <si>
    <t>肉品料理終極大全：10大類肉品知識百科x12種核心烹飪技法應用x風味構成要素x 175道經典肉料理、醬汁高湯食譜</t>
    <phoneticPr fontId="4" type="noConversion"/>
  </si>
  <si>
    <t>詹姆斯．彼得森</t>
  </si>
  <si>
    <t>9789864084562</t>
  </si>
  <si>
    <t>免烤箱完美烘焙術：零失敗!73道電鍋、冰箱、平底鍋就能做的一人份甜點提案</t>
    <phoneticPr fontId="4" type="noConversion"/>
  </si>
  <si>
    <t>9789864084449</t>
  </si>
  <si>
    <t>世界冠軍烘焙職人的超人氣甜點</t>
  </si>
  <si>
    <t>楊嘉明</t>
  </si>
  <si>
    <t>新手父母</t>
  </si>
  <si>
    <t>4717702905323</t>
  </si>
  <si>
    <t>典藏葡萄酒世界地圖</t>
  </si>
  <si>
    <t>朱爾．高貝特潘...等</t>
  </si>
  <si>
    <t>9789862894293</t>
  </si>
  <si>
    <t>112幅美麗的世界地圖集結成冊，遊走在葡萄芬芳之間，
 穿梭古今，跨越陸地及海洋，獻給愛酒人與地圖控。</t>
    <phoneticPr fontId="4" type="noConversion"/>
  </si>
  <si>
    <t>改變世界的100瓶葡萄酒：無心插柳的傑作、絕妙的推測、冒險的行動和人性的脆弱，以葡萄酒為主角交織出的世界史</t>
    <phoneticPr fontId="4" type="noConversion"/>
  </si>
  <si>
    <t>奧茲．克拉克</t>
  </si>
  <si>
    <t>9789864591572</t>
  </si>
  <si>
    <t>以葡萄酒為主角的一百則歷史故事。</t>
    <phoneticPr fontId="4" type="noConversion"/>
  </si>
  <si>
    <t>板狀巧克力就能作！日常的巧克力甜點</t>
  </si>
  <si>
    <t>Murayoshi Masayuki</t>
  </si>
  <si>
    <t>9789869697736</t>
  </si>
  <si>
    <t>無法忘懷的樸實滋味：京都人氣麵包「たま木亭」烘焙食譜集</t>
    <phoneticPr fontId="4" type="noConversion"/>
  </si>
  <si>
    <t>玉木潤</t>
  </si>
  <si>
    <t>9789869697729</t>
  </si>
  <si>
    <t>磅蛋糕聖經 (暢銷新裝版)</t>
  </si>
  <si>
    <t>福田淳子</t>
  </si>
  <si>
    <t>9789869697750</t>
  </si>
  <si>
    <t xml:space="preserve">自在小鍋食光：20分鐘快速上桌!下班回家累到不想煮?每天不知道要煮什麼?一本小鍋料理馬上解決您的煩惱! </t>
    <phoneticPr fontId="4" type="noConversion"/>
  </si>
  <si>
    <t>大庭英子</t>
  </si>
  <si>
    <t>9789864012855</t>
  </si>
  <si>
    <t xml:space="preserve">進化的刺身料理：讓生魚片料理散發懾人魅力的名家刀法與烹調技術 </t>
    <phoneticPr fontId="4" type="noConversion"/>
  </si>
  <si>
    <t>大田忠道</t>
  </si>
  <si>
    <t>9789864012893</t>
  </si>
  <si>
    <t xml:space="preserve">法式料理聖經II：經典的延續 </t>
    <phoneticPr fontId="4" type="noConversion"/>
  </si>
  <si>
    <t>茱莉雅柴爾德,西蒙娜貝克</t>
  </si>
  <si>
    <t>9789570531763</t>
  </si>
  <si>
    <t>美齡幸福便當</t>
  </si>
  <si>
    <t>陳美齡</t>
  </si>
  <si>
    <t>三聯(香港)</t>
  </si>
  <si>
    <t>9789620443831</t>
  </si>
  <si>
    <t>本味典藏－經典家常菜60道</t>
  </si>
  <si>
    <t>世界金牌賞主廚 曾良泉</t>
  </si>
  <si>
    <t>(工凡)玥文化</t>
  </si>
  <si>
    <t>9789868170100</t>
  </si>
  <si>
    <t>啤酒百科：英國啤酒專家改變你的啤酒觀，讓你學會選酒、搭配餐點</t>
    <phoneticPr fontId="4" type="noConversion"/>
  </si>
  <si>
    <t>梅莉莎．柯爾</t>
  </si>
  <si>
    <t>9789869679640</t>
  </si>
  <si>
    <t>英國首屈一指的啤酒專家梅莉莎．柯爾推薦超過兩百款的世界啤酒， 讓你更懂得選購、品飲和享受啤酒，不只會暢飲！</t>
    <phoneticPr fontId="4" type="noConversion"/>
  </si>
  <si>
    <t>糕點聖經Ⅰ（上冊）：FERRANDI斐杭狄法國高等廚藝學校</t>
  </si>
  <si>
    <t>巴黎FERRANDI斐杭狄廚藝學校</t>
  </si>
  <si>
    <t>大境</t>
  </si>
  <si>
    <t>9789869620536</t>
  </si>
  <si>
    <t>糕點聖經Ⅱ（下冊）：FERRANDI斐杭狄法國高等廚藝學校</t>
  </si>
  <si>
    <t>9789869620543</t>
  </si>
  <si>
    <t>法國主廚40道鑄鐵鍋料理： 一鍋到底，從主食到甜點，燉出幸福好味道!</t>
    <phoneticPr fontId="4" type="noConversion"/>
  </si>
  <si>
    <t>文森．阿米耶</t>
  </si>
  <si>
    <t>山岳</t>
  </si>
  <si>
    <t>9789862487624</t>
  </si>
  <si>
    <t xml:space="preserve">DDear, MASA,我們一起吃麵吧!：千變萬化的各式炒麵、義大利麵、烏龍麵、素麵與拉麵都很好吃喔! </t>
    <phoneticPr fontId="4" type="noConversion"/>
  </si>
  <si>
    <t>MASA（山下勝）</t>
  </si>
  <si>
    <t>9789869688642</t>
  </si>
  <si>
    <t xml:space="preserve">Dear, MASA請你來喝湯：一起來品嘗清甜的蔬菜湯、海鮮湯、味噌湯與醇厚鮮美的肉湯與濃湯吧! </t>
    <phoneticPr fontId="4" type="noConversion"/>
  </si>
  <si>
    <t>山下勝MASA</t>
  </si>
  <si>
    <t>9789869688659</t>
  </si>
  <si>
    <t>一起玩點心，優雅過生活吧!：一台攪拌機，輕鬆學會各式中、西糕點、麵包、麵條與醬料</t>
    <phoneticPr fontId="4" type="noConversion"/>
  </si>
  <si>
    <t>陳妍希</t>
  </si>
  <si>
    <t>9789869688635</t>
  </si>
  <si>
    <t>小田太太的玩樂廚房：快速上桌，102道超簡單零失敗的美味料理</t>
    <phoneticPr fontId="4" type="noConversion"/>
  </si>
  <si>
    <t>小田太太</t>
  </si>
  <si>
    <t>9789869688628</t>
  </si>
  <si>
    <t>跟著無國界醫師走進世界廚房：從蒙古到非洲、義大利到台灣，17國的舌尖美味，世界友誼，愛的醫行路</t>
    <phoneticPr fontId="4" type="noConversion"/>
  </si>
  <si>
    <t>賴向榮</t>
  </si>
  <si>
    <t>木果文創</t>
  </si>
  <si>
    <t>9789869691703</t>
    <phoneticPr fontId="4" type="noConversion"/>
  </si>
  <si>
    <t>MAYA動漫風(Step by Step)建模技法(書+光碟不分售)</t>
  </si>
  <si>
    <t>吳旻書、蔡佳君</t>
  </si>
  <si>
    <t>9789863797173</t>
  </si>
  <si>
    <t>電腦資訊</t>
  </si>
  <si>
    <t>用Scratch自己寫程式：互動式遊戲和動畫創意設計(第二版)</t>
  </si>
  <si>
    <t>鄭苑鳳</t>
  </si>
  <si>
    <t>拓客</t>
  </si>
  <si>
    <t>9789865002640</t>
  </si>
  <si>
    <t>IPv6通訊協定中文編譯</t>
  </si>
  <si>
    <t>韓特野</t>
  </si>
  <si>
    <t>9789869671071</t>
  </si>
  <si>
    <t>巨人的時間</t>
  </si>
  <si>
    <t>馬努葉爾?馬爾索、卡門?奇卡</t>
  </si>
  <si>
    <t>9789862139363</t>
  </si>
  <si>
    <t>圖文書</t>
    <phoneticPr fontId="4" type="noConversion"/>
  </si>
  <si>
    <t>百臉先生</t>
  </si>
  <si>
    <t>季斯蓮?賀貝拉</t>
  </si>
  <si>
    <t>9789862139356</t>
  </si>
  <si>
    <t>Wonderland奇幻食光</t>
  </si>
  <si>
    <t>魚果</t>
  </si>
  <si>
    <t>9789579699358</t>
  </si>
  <si>
    <t>冥戰錄第十卷：月朔日</t>
  </si>
  <si>
    <t>韋宗成</t>
  </si>
  <si>
    <t>未來數位</t>
  </si>
  <si>
    <t>4712568602430</t>
  </si>
  <si>
    <t>漫畫</t>
  </si>
  <si>
    <t>夜巡貓3</t>
  </si>
  <si>
    <t>深谷薰</t>
  </si>
  <si>
    <t>9789862139417</t>
  </si>
  <si>
    <t>漫畫</t>
    <phoneticPr fontId="4" type="noConversion"/>
  </si>
  <si>
    <t>希特勒：20世紀的狂人</t>
  </si>
  <si>
    <t>水木茂</t>
  </si>
  <si>
    <t>9789578630840</t>
  </si>
  <si>
    <t>貓奴情人不OK？</t>
  </si>
  <si>
    <t>彭雪芬</t>
  </si>
  <si>
    <t>9789571083575</t>
  </si>
  <si>
    <t>寶石之國（5）【贈台灣限定明信片套組+閃膜書籤】</t>
  </si>
  <si>
    <t>市川春子</t>
  </si>
  <si>
    <t>9789862357200</t>
  </si>
  <si>
    <t>帶你寫一遍 英文寫作技巧總整理</t>
  </si>
  <si>
    <t>LiveABC編輯群</t>
  </si>
  <si>
    <t>希伯崙</t>
  </si>
  <si>
    <t>9789864412709</t>
  </si>
  <si>
    <t>語言學習</t>
  </si>
  <si>
    <t>簡單卻實用 老外都在用的英語短句</t>
  </si>
  <si>
    <t>9789864412693</t>
  </si>
  <si>
    <t>職場商務英語完全攻略</t>
  </si>
  <si>
    <t>9789864412501</t>
  </si>
  <si>
    <t>韓國年輕人這樣說：超實用生活會話&amp;經典鄉民流行語</t>
  </si>
  <si>
    <t>韓語幫幫忙</t>
  </si>
  <si>
    <t>9789863362579</t>
  </si>
  <si>
    <t>作文七巧（全新修訂典藏版）</t>
  </si>
  <si>
    <t>9789863595922</t>
  </si>
  <si>
    <t>作文十九問（全新修訂典藏版）</t>
  </si>
  <si>
    <t>9789863595939</t>
  </si>
  <si>
    <t>出擊！日語文法自學大作戰－中高階版Step 3(25K＋MP3)</t>
  </si>
  <si>
    <t>吉松由美/西村惠子/田中陽子</t>
  </si>
  <si>
    <t>山田社</t>
  </si>
  <si>
    <t>9789862465233</t>
  </si>
  <si>
    <t>語言學習</t>
    <phoneticPr fontId="4" type="noConversion"/>
  </si>
  <si>
    <t>出擊！日語閱讀自學大作戰－中高階版Step 3(25K)</t>
  </si>
  <si>
    <t>吉松由美/田中陽子</t>
  </si>
  <si>
    <t>9789862465226</t>
  </si>
  <si>
    <t>看電影就能學測作文滿級分唯一保證：看25部電影，學25大技巧</t>
  </si>
  <si>
    <t>言仲</t>
  </si>
  <si>
    <t>9789865626822</t>
  </si>
  <si>
    <t>我的蔡日文：快速學會50音(新版50K附MP3)</t>
  </si>
  <si>
    <t>雅典日研所</t>
  </si>
  <si>
    <t>雅典</t>
  </si>
  <si>
    <t>9789869697316</t>
  </si>
  <si>
    <t>超簡單的旅遊日語(新版50K附MP3)</t>
  </si>
  <si>
    <t>9789869697309</t>
  </si>
  <si>
    <t>Silver Lining：英文過去完成（進行）式超簡單！</t>
  </si>
  <si>
    <t>張雅婷</t>
  </si>
  <si>
    <t>9789574359042</t>
  </si>
  <si>
    <t>說華語</t>
  </si>
  <si>
    <t>文藻外語大學華語中心</t>
  </si>
  <si>
    <t>9789864452965</t>
  </si>
  <si>
    <t>出國前7天的英語會話課</t>
  </si>
  <si>
    <t>蔡馨慧</t>
  </si>
  <si>
    <t>不求人</t>
  </si>
  <si>
    <t>9789869690416</t>
  </si>
  <si>
    <t>考遍天下無敵手10,000單字</t>
  </si>
  <si>
    <t>吳思遠,王筱筑</t>
  </si>
  <si>
    <t>9789868854406</t>
  </si>
  <si>
    <t>超簡單！第1次說英語，就很流利（附MP3）</t>
  </si>
  <si>
    <t>張小怡  Robert king</t>
  </si>
  <si>
    <t>布可屋</t>
  </si>
  <si>
    <t>9789869703727</t>
  </si>
  <si>
    <t>世界最強韓文文法</t>
  </si>
  <si>
    <t>金淑敬</t>
  </si>
  <si>
    <t>懶鬼子英日語</t>
  </si>
  <si>
    <t>9789864071067</t>
  </si>
  <si>
    <t>我的第一本圖解韓語單字【QR碼行動學習版】:實境式分類最完整</t>
  </si>
  <si>
    <t>李銀吾</t>
  </si>
  <si>
    <t>國際學村</t>
  </si>
  <si>
    <t>9789864540877</t>
  </si>
  <si>
    <t>日語五十音這樣學:Easy &amp; Fun Japanese Penmanship</t>
  </si>
  <si>
    <t>Natori</t>
  </si>
  <si>
    <t>資料夾</t>
  </si>
  <si>
    <t>9789578904569</t>
  </si>
  <si>
    <t>韓語四十音這樣學:Easy &amp; Fun Korean Penmanship</t>
  </si>
  <si>
    <t>尹智裕</t>
  </si>
  <si>
    <t>9789578904552</t>
  </si>
  <si>
    <t>好流利！用英語聊不停－外國人怎麼說都聽得懂(附1MP3)</t>
  </si>
  <si>
    <t>施孝昌</t>
  </si>
  <si>
    <t>哈福企業</t>
  </si>
  <si>
    <t>9789869628273</t>
  </si>
  <si>
    <t>逆轉英文，關鍵3000英文單字課！</t>
  </si>
  <si>
    <t>曾韋婕</t>
  </si>
  <si>
    <t>9789578904507</t>
  </si>
  <si>
    <t>高手過招，字根、字首、字尾英文單字課：讓你用8倍速的效率</t>
  </si>
  <si>
    <t>張慈庭英語教學團隊</t>
  </si>
  <si>
    <t>9789578904613</t>
  </si>
  <si>
    <t>每天3分鐘，寫手帳練出好英文：從單字到短句，天天記錄生活，跨出英文寫作第一步！</t>
    <phoneticPr fontId="4" type="noConversion"/>
  </si>
  <si>
    <t>神林莎莉</t>
  </si>
  <si>
    <t>9789578950719</t>
  </si>
  <si>
    <t>航空英語會話Live Show─三萬五千英呎的英文課 暢銷修訂版</t>
  </si>
  <si>
    <t>Mark Venekamp/Claire Chang</t>
  </si>
  <si>
    <t>倍斯特</t>
  </si>
  <si>
    <t>9789869630962</t>
  </si>
  <si>
    <t>圖解一次學好餐飲英語會話+句型(附MP3)</t>
  </si>
  <si>
    <t>陳幸美</t>
  </si>
  <si>
    <t>9789869707503</t>
  </si>
  <si>
    <t>美國留學攻略：哈佛畢業生教你寫CV&amp;SOP、考試祕笈、融入校園</t>
  </si>
  <si>
    <t>曾文哲</t>
  </si>
  <si>
    <t>9789571375823</t>
  </si>
  <si>
    <t>英語研究室：從語源、用法到文化記憶，連老外都驚嘆的趣味英語應用163選</t>
    <phoneticPr fontId="4" type="noConversion"/>
  </si>
  <si>
    <t>小泉牧夫</t>
  </si>
  <si>
    <t>9789864084579</t>
  </si>
  <si>
    <t>Don，t Say It! 600個你一定會錯的英文(25K彩色版)</t>
  </si>
  <si>
    <t>Dennis Le Boeuf?景黎明</t>
  </si>
  <si>
    <t>寂天</t>
  </si>
  <si>
    <t>9789863187578</t>
  </si>
  <si>
    <t>悅讀莎士比亞經典名劇故事【羅密歐與茱麗葉．連環錯．無事生非…</t>
  </si>
  <si>
    <t>Charles and Mary Lamb</t>
  </si>
  <si>
    <t>9789863187431</t>
  </si>
  <si>
    <t>飯店服務日語(20K彩圖+1 MP3)</t>
  </si>
  <si>
    <t>松本美佳/田中結香/葉平亭</t>
  </si>
  <si>
    <t>9789863187554</t>
  </si>
  <si>
    <t>讚！日文初學20堂課：從五十音進擊日文1(20K+1MP3)</t>
  </si>
  <si>
    <t>甘英熙/三浦昌代/佐伯勝弘…等</t>
  </si>
  <si>
    <t>9789863187561</t>
  </si>
  <si>
    <t>英文經典俚語大全：制霸生活俚語1000</t>
  </si>
  <si>
    <t>俞亨通◎著</t>
  </si>
  <si>
    <t>9789869693042</t>
  </si>
  <si>
    <t>我的韓語學習日曆：365句正能量名言，用韓語打造更好的自己</t>
  </si>
  <si>
    <t>Kexi</t>
  </si>
  <si>
    <t>語樂多</t>
  </si>
  <si>
    <t>9789869627993</t>
  </si>
  <si>
    <t>英語搭配詞隨身祕笈</t>
  </si>
  <si>
    <t>辛亞蓓、黃志?</t>
  </si>
  <si>
    <t>9789869627986</t>
  </si>
  <si>
    <t>圖解法語會話：用最輕鬆方法，享受屬於你的法國之旅</t>
  </si>
  <si>
    <t>MIS編輯部</t>
  </si>
  <si>
    <t>9789868436114</t>
  </si>
  <si>
    <t>輕鬆學西語(書+MP3)</t>
  </si>
  <si>
    <t>邱毓芳</t>
  </si>
  <si>
    <t>豪風</t>
  </si>
  <si>
    <t>9789866134913</t>
  </si>
  <si>
    <t>初學者的生活情境字典泰語2600個生活單字</t>
  </si>
  <si>
    <t>千娜萊</t>
  </si>
  <si>
    <t>漢宇</t>
  </si>
  <si>
    <t>9789862284360</t>
  </si>
  <si>
    <t>新實用越南語會話（初級）</t>
  </si>
  <si>
    <t>梅氏清泉、中央大學出版中心</t>
  </si>
  <si>
    <t>9789865659202</t>
  </si>
  <si>
    <t>日本懸疑物語100談：Nippon所藏日語嚴選講座</t>
  </si>
  <si>
    <t>藤本紀子/EZ Japan編輯部</t>
  </si>
  <si>
    <t>易說館</t>
  </si>
  <si>
    <t>9789862487617</t>
  </si>
  <si>
    <t>韓語文法關鍵50選，一丁點就通：專為華人打造，最好懂的韓語文法</t>
  </si>
  <si>
    <t>丁芷沂</t>
  </si>
  <si>
    <t>9789862487648</t>
  </si>
  <si>
    <t>大字清晰版初學者開口說日語(附日中對照MP3)</t>
  </si>
  <si>
    <t>中間多惠</t>
  </si>
  <si>
    <t>9789577107398</t>
  </si>
  <si>
    <t>以小搏大字彙學習術：活用大數據單字 強化英語實戰力</t>
  </si>
  <si>
    <t>Chris Jordan</t>
  </si>
  <si>
    <t>麥格羅希爾</t>
  </si>
  <si>
    <t>9789863413905</t>
  </si>
  <si>
    <t>9789863413912</t>
  </si>
  <si>
    <t>日語輕鬆學 情境圖像記憶法(附MP3 CD、日語學習帖)</t>
  </si>
  <si>
    <t>野治,朴世利,金志</t>
  </si>
  <si>
    <t>華翔文創</t>
  </si>
  <si>
    <t>9789865962777</t>
  </si>
  <si>
    <t>英語10000 句 行走全世界（附MP3 CD）</t>
  </si>
  <si>
    <t>源樺出版編輯部</t>
  </si>
  <si>
    <t>9789865962746</t>
  </si>
  <si>
    <t>學好英文閱讀 先讀美國小學課本(附MP3 CD)</t>
  </si>
  <si>
    <t>9789865962760</t>
  </si>
  <si>
    <t>信不信由你，一週開口說馬來語！</t>
  </si>
  <si>
    <t>王麗蘭</t>
  </si>
  <si>
    <t>9789578431768</t>
  </si>
  <si>
    <t>高麗大學韓國語 (4)（附二片MP3 ）</t>
  </si>
  <si>
    <t>高麗大學韓國語文化教育中心</t>
  </si>
  <si>
    <t>9789869658027</t>
  </si>
  <si>
    <t>高麗大學韓國語 (4)Workbook</t>
  </si>
  <si>
    <t>4712477100607</t>
  </si>
  <si>
    <t>透過機器人與你相戀</t>
  </si>
  <si>
    <t>山田悠介</t>
  </si>
  <si>
    <t>9789861336718</t>
  </si>
  <si>
    <t>輕小說</t>
    <phoneticPr fontId="4" type="noConversion"/>
  </si>
  <si>
    <t>勇者，或被稱為怪物的少女 下</t>
  </si>
  <si>
    <t>七</t>
  </si>
  <si>
    <t>9789864758524</t>
  </si>
  <si>
    <t>輕小說</t>
  </si>
  <si>
    <t>勇者，或被稱為怪物的少女(上)</t>
  </si>
  <si>
    <t>七澤</t>
  </si>
  <si>
    <t>9789864758074</t>
  </si>
  <si>
    <t>悲傷童話</t>
  </si>
  <si>
    <t>貓先生</t>
  </si>
  <si>
    <t>有種文化</t>
  </si>
  <si>
    <t>9789881455284</t>
  </si>
  <si>
    <t>魔術師們的繼承者</t>
  </si>
  <si>
    <t>翁敏費</t>
  </si>
  <si>
    <t>培育</t>
  </si>
  <si>
    <t>9789869697620</t>
  </si>
  <si>
    <t>小說之神</t>
  </si>
  <si>
    <t>相澤沙呼</t>
  </si>
  <si>
    <t>9789571079349</t>
  </si>
  <si>
    <t>時光收藏書屋：回憶之初．今天不絕交</t>
  </si>
  <si>
    <t>依月著非光繪</t>
  </si>
  <si>
    <t>典藏閣</t>
  </si>
  <si>
    <t>9789862718445</t>
  </si>
  <si>
    <t>中學專題研究實作指南</t>
  </si>
  <si>
    <t>黃春木/曾慶玲/童禕珊…等</t>
  </si>
  <si>
    <t>9789864775828</t>
  </si>
  <si>
    <t>學習方法</t>
    <phoneticPr fontId="4" type="noConversion"/>
  </si>
  <si>
    <t>你沒招了嗎？親子談話100招</t>
  </si>
  <si>
    <t>劉純芳</t>
  </si>
  <si>
    <t>9789863734338</t>
  </si>
  <si>
    <t>親子教養</t>
  </si>
  <si>
    <t>葉勝雄醫師的育兒發燒經：從哺育照護到小兒疾病，人氣小兒科醫師的育兒解答</t>
    <phoneticPr fontId="4" type="noConversion"/>
  </si>
  <si>
    <t>葉勝雄</t>
  </si>
  <si>
    <t>9789869686945</t>
  </si>
  <si>
    <t xml:space="preserve">可以把他塞回肚子裡嗎?：要解決孩子的脾氣，先安撫自己的怒氣!一本寫給全天下崩潰父母的情緒教養指南! </t>
    <phoneticPr fontId="4" type="noConversion"/>
  </si>
  <si>
    <t>卡提雅塞德/丹妮耶拉葛拉夫</t>
  </si>
  <si>
    <t>9789869678292</t>
  </si>
  <si>
    <t>讀懂孩子的情緒話：小孩不暴走、家長不失控的好EQ養成法</t>
  </si>
  <si>
    <t>楊俐容、鍾世明等12人</t>
  </si>
  <si>
    <t>9789571084008</t>
  </si>
  <si>
    <t>親子教養</t>
    <phoneticPr fontId="4" type="noConversion"/>
  </si>
  <si>
    <t>深度陪伴:懂得陪伴以後，你才是個真正的爸媽</t>
  </si>
  <si>
    <t>張楊</t>
  </si>
  <si>
    <t>9789578904576</t>
  </si>
  <si>
    <t>父母成長，孩子才會真正長大！：一起練習愛與被愛的親子關係</t>
  </si>
  <si>
    <t>崔佛．席維斯特</t>
  </si>
  <si>
    <t>9789571375946</t>
  </si>
  <si>
    <t>鄭丞傑醫師的婦科診療室：婦科權威為您解答100個最關心、難以啟齒的兩性幸福密碼</t>
    <phoneticPr fontId="4" type="noConversion"/>
  </si>
  <si>
    <t>鄭丞傑</t>
  </si>
  <si>
    <t>原水</t>
  </si>
  <si>
    <t>9789869692229</t>
  </si>
  <si>
    <t>STEAM大挑戰：32個趣味任務，開發孩子的設計思考力+問題解決力</t>
    <phoneticPr fontId="4" type="noConversion"/>
  </si>
  <si>
    <t>許兆芳</t>
  </si>
  <si>
    <t>9789864775477</t>
  </si>
  <si>
    <t>老師請把考試延期，我兒子要過生日：德國直升機父母毀滅教育現場</t>
  </si>
  <si>
    <t>雷娜‧葛萊納 &amp; 卡洛拉‧帕特柏格</t>
  </si>
  <si>
    <t>9789863616085</t>
  </si>
  <si>
    <t>做個不完美的父母：教授媽媽的完全放手教育法，引導孩子提早獨立、做自己的主人</t>
    <phoneticPr fontId="4" type="noConversion"/>
  </si>
  <si>
    <t>許雅寧</t>
  </si>
  <si>
    <t>9789863616139</t>
  </si>
  <si>
    <t>孩子不離家</t>
  </si>
  <si>
    <t>李維榕</t>
  </si>
  <si>
    <t>9789576939242</t>
  </si>
  <si>
    <t>嬰幼兒全營養料理魔法：讓寶寶長身高、強身體、更聰明、增食欲</t>
    <phoneticPr fontId="4" type="noConversion"/>
  </si>
  <si>
    <t>樂媽咪孕產育團隊</t>
  </si>
  <si>
    <t>9789865611903</t>
  </si>
  <si>
    <t>丹麥的幸福教養法</t>
  </si>
  <si>
    <t>潔西卡亞歷姍卓/伊本珊達爾</t>
  </si>
  <si>
    <t>9789864795833</t>
  </si>
  <si>
    <t>ADHD不被卡住的人生：情緒與注意力缺陷過動症，青少年和成年人真實的故事</t>
    <phoneticPr fontId="4" type="noConversion"/>
  </si>
  <si>
    <t>湯馬士．布朗</t>
  </si>
  <si>
    <t>9789573284017</t>
  </si>
  <si>
    <t>他們是不是討厭我？：心裡有煩惱怎麼辦？請阿德勒老師幫幫忙！</t>
    <phoneticPr fontId="4" type="noConversion"/>
  </si>
  <si>
    <t>八卷秀</t>
  </si>
  <si>
    <t>9789573284109</t>
  </si>
  <si>
    <t>阿德勒老師是世界上第一個創立兒童諮商所的人</t>
    <phoneticPr fontId="4" type="noConversion"/>
  </si>
  <si>
    <t>愛，我的內向小孩：若我們為內向孩子擔憂煩惱，那是因為我們不懂如何去愛</t>
    <phoneticPr fontId="4" type="noConversion"/>
  </si>
  <si>
    <t>羅怡君</t>
  </si>
  <si>
    <t>9789575030681</t>
  </si>
  <si>
    <t xml:space="preserve">跟阿德勒學正向教養：學齡前兒童篇：理解幼童行為成因，幫助孩子適性發展、培養生活技能 </t>
    <phoneticPr fontId="4" type="noConversion"/>
  </si>
  <si>
    <t>簡．尼爾森/謝瑞爾．艾爾文...等</t>
  </si>
  <si>
    <t>9789862487532</t>
  </si>
  <si>
    <t>遍體鱗傷長遍體鱗傷長大的孩子，會自己恢復正常嗎？：兒童精神科醫師與那些絕望、受傷童年的真實面對面；關係為何不可或缺，又何以讓人奄奄一息！</t>
    <phoneticPr fontId="4" type="noConversion"/>
  </si>
  <si>
    <t>布魯斯D培理,瑪亞薩拉維茲</t>
  </si>
  <si>
    <t>9789869700641</t>
  </si>
  <si>
    <t>全新增訂版 懷孕知識百科：孕婦順產及胎兒健康的最佳指南 (五版)</t>
  </si>
  <si>
    <t>HeidiMurkoff</t>
  </si>
  <si>
    <t>9789577107428</t>
  </si>
  <si>
    <t>餐桌上的偽科學：加州大學醫學院教授破解上百種健康謠言和深入人心的醫學迷思</t>
    <phoneticPr fontId="4" type="noConversion"/>
  </si>
  <si>
    <t>林慶順</t>
  </si>
  <si>
    <t>一心文化</t>
  </si>
  <si>
    <t>9789869530644</t>
  </si>
  <si>
    <t>醫療保健</t>
    <phoneticPr fontId="4" type="noConversion"/>
  </si>
  <si>
    <t>醫食：中醫師的健康廚房（二版）</t>
  </si>
  <si>
    <t xml:space="preserve"> 楊力</t>
    <phoneticPr fontId="4" type="noConversion"/>
  </si>
  <si>
    <t>9789869667296</t>
  </si>
  <si>
    <t>醫療保健</t>
  </si>
  <si>
    <t>尿路快意通</t>
  </si>
  <si>
    <t>吳勝堂醫師</t>
  </si>
  <si>
    <t>9789862139394</t>
  </si>
  <si>
    <t>人參：中醫瑰寶</t>
  </si>
  <si>
    <t>黃雪子</t>
  </si>
  <si>
    <t>9789863983859</t>
  </si>
  <si>
    <t>你做的檢查、治療都是必要的嗎?：小心!過度的醫療行為，反而嚴重傷害你的健康!</t>
    <phoneticPr fontId="4" type="noConversion"/>
  </si>
  <si>
    <t>江守山</t>
  </si>
  <si>
    <t>方舟文化</t>
  </si>
  <si>
    <t>9789869672658</t>
  </si>
  <si>
    <t xml:space="preserve">照護的邏輯：比賦予病患選擇更重要的事 </t>
    <phoneticPr fontId="4" type="noConversion"/>
  </si>
  <si>
    <t>安瑪莉．摩爾</t>
  </si>
  <si>
    <t>左岸</t>
  </si>
  <si>
    <t>9789865727819</t>
  </si>
  <si>
    <t>入圍二○一○年英國社會學協會（BSA）「健康與疾病社會學」書卷獎</t>
    <phoneticPr fontId="4" type="noConversion"/>
  </si>
  <si>
    <t>瑜伽療癒的身心復健科學：解讀身體緊繃和疼痛的情緒原貌，找出創傷源頭的身心掃描</t>
    <phoneticPr fontId="4" type="noConversion"/>
  </si>
  <si>
    <t>蔡士傑</t>
  </si>
  <si>
    <t>9789869686976</t>
  </si>
  <si>
    <t>養溫：體寒為百病之首，預防疾病先暖身</t>
  </si>
  <si>
    <t>石原結實-著</t>
  </si>
  <si>
    <t>9789578799486</t>
  </si>
  <si>
    <t>頭蓋骨按摩導引全書</t>
  </si>
  <si>
    <t>寺林陽介-著</t>
  </si>
  <si>
    <t>9789578799516</t>
  </si>
  <si>
    <t>暖冬超值組(祛寒+暖足)</t>
  </si>
  <si>
    <t>ORANGE PAGE編輯部</t>
  </si>
  <si>
    <t>出色</t>
  </si>
  <si>
    <t>9786899537933</t>
  </si>
  <si>
    <t xml:space="preserve">9成的阿茲海默症可以預防：活到100歲也不失智!世界失智症權威教你預防阿茲海默症! </t>
    <phoneticPr fontId="4" type="noConversion"/>
  </si>
  <si>
    <t>迪恩．薛載 &amp; 艾夏．薛載 醫學博士</t>
  </si>
  <si>
    <t>9789869704618</t>
  </si>
  <si>
    <t>全圖解四部醫典1：養生與實作篇</t>
    <phoneticPr fontId="4" type="noConversion"/>
  </si>
  <si>
    <t>宇妥‧元丹貢布</t>
  </si>
  <si>
    <t>9789869676151</t>
  </si>
  <si>
    <t>全圖解四部醫典2：祕訣與實用篇</t>
  </si>
  <si>
    <t>9789869676168</t>
  </si>
  <si>
    <t xml:space="preserve">整腸助瘦!天然什錦穀麥DIY：早餐No.1選擇!680萬人信賴的營養師教你低GI不變胖，淨化腸道血管，吃出全家健康 </t>
    <phoneticPr fontId="4" type="noConversion"/>
  </si>
  <si>
    <t>村上祥子</t>
  </si>
  <si>
    <t>台灣廣廈</t>
  </si>
  <si>
    <t>9789861304083</t>
  </si>
  <si>
    <t>《神奇什錦穀麥の健康自癒奇蹟》全新封面版</t>
    <phoneticPr fontId="4" type="noConversion"/>
  </si>
  <si>
    <t>甲狀腺的生活練習題</t>
  </si>
  <si>
    <t>林毅欣</t>
  </si>
  <si>
    <t>9789869670692</t>
  </si>
  <si>
    <t>護腸胃‧抗脹氣14天計畫 放屁‧打嗝‧脹氣‧便祕是腸道求救的信號!透過低產氣飲食法，恢復腸胃健康</t>
    <phoneticPr fontId="4" type="noConversion"/>
  </si>
  <si>
    <t>楊．賴恩</t>
  </si>
  <si>
    <t>9789578950726</t>
  </si>
  <si>
    <t>史上最完整營養素大圖鑑：14種維生素╳18種礦物質╳32種超級營養素，攝取宜忌、對症補充，正確選用身體所需保底維他命</t>
    <phoneticPr fontId="4" type="noConversion"/>
  </si>
  <si>
    <t>張瑜玲</t>
  </si>
  <si>
    <t>9789863711148</t>
  </si>
  <si>
    <t xml:space="preserve">藥師心內話：廣告藥品、網路保健食品、兒童用藥……資深藥師教你秒懂50個不得了的醫藥真相 (白袍藥師的黑心履歷暢銷增訂版) </t>
    <phoneticPr fontId="4" type="noConversion"/>
  </si>
  <si>
    <t>Drugs</t>
  </si>
  <si>
    <t>9789571375878</t>
  </si>
  <si>
    <t>失智症照護指南〔暢銷增訂版〕</t>
  </si>
  <si>
    <t>邱銘章</t>
  </si>
  <si>
    <t>9789869615389</t>
  </si>
  <si>
    <t>抗氧化物的奇蹟〔暢銷修訂版〕</t>
  </si>
  <si>
    <t>卡羅．科曼/萊斯特．派克</t>
  </si>
  <si>
    <t>4717702905026</t>
  </si>
  <si>
    <t>蒼藍鴿醫師告訴你：90％攸關性命的醫學常識，沒有人教！</t>
  </si>
  <si>
    <t>吳其穎</t>
  </si>
  <si>
    <t>9789869692212</t>
  </si>
  <si>
    <t>癮咖啡研究室：發現咖啡的健康力量【超值增訂版】</t>
  </si>
  <si>
    <t>張金堅</t>
  </si>
  <si>
    <t>4717702904791</t>
  </si>
  <si>
    <t>國內第一本由醫師提出國內外大量研究文獻佐證、心智圖繪製重點、 以太極四象圖觀點，中立論述咖啡與健康的關係。</t>
    <phoneticPr fontId="4" type="noConversion"/>
  </si>
  <si>
    <t>吃得少不如吃得巧：100個控制血糖的加法飲食訣竅</t>
  </si>
  <si>
    <t>9789864775804</t>
  </si>
  <si>
    <t>地球上最健康的150種食材(十週年全新增修版)：「該吃什麼?為什麼吃?」的驚人真相</t>
    <phoneticPr fontId="4" type="noConversion"/>
  </si>
  <si>
    <t>強尼．包登</t>
  </si>
  <si>
    <t>9789864775545</t>
  </si>
  <si>
    <t xml:space="preserve">人人都有強迫症：善用你的執著，從日常生活中獲得成就感、更有自信 </t>
    <phoneticPr fontId="4" type="noConversion"/>
  </si>
  <si>
    <t>王旗</t>
  </si>
  <si>
    <t>9789863616146</t>
  </si>
  <si>
    <t>甜蜜的冒險：與「糖」同行，全齡T1糖友的內在探索 × 療癒心靈實用白皮書</t>
    <phoneticPr fontId="4" type="noConversion"/>
  </si>
  <si>
    <t>財團法人天主教康泰醫療教育基金會</t>
  </si>
  <si>
    <t>樂木文化</t>
  </si>
  <si>
    <t>9789869673518</t>
  </si>
  <si>
    <t xml:space="preserve">這樣吃防治腎臟泌尿疾病：抗衰防老，告別腰酸背痛，提振精氣神 </t>
    <phoneticPr fontId="4" type="noConversion"/>
  </si>
  <si>
    <t>胡維勤</t>
  </si>
  <si>
    <t>9789865611897</t>
  </si>
  <si>
    <t>失素列車：檢測身體訊息，補充維生素和鈣質，讓你每天水噹噹（健康好評版）</t>
    <phoneticPr fontId="4" type="noConversion"/>
  </si>
  <si>
    <t>摩天文傳</t>
  </si>
  <si>
    <t>9789865003265</t>
  </si>
  <si>
    <t>跟喵星人一起倒頭就睡：揮別失眠的魔法書</t>
  </si>
  <si>
    <t>三橋美穗</t>
  </si>
  <si>
    <t>漢欣</t>
  </si>
  <si>
    <t>9789576867613</t>
  </si>
  <si>
    <t xml:space="preserve">一流的人為什麼不會感冒?：醫師告訴你正確「預防感冒、對抗感冒及快速復原」的33種對策 </t>
    <phoneticPr fontId="4" type="noConversion"/>
  </si>
  <si>
    <t>裴英洙</t>
  </si>
  <si>
    <t>9789573283997</t>
  </si>
  <si>
    <t>58種天然療法</t>
  </si>
  <si>
    <t>喬安娜‧金</t>
  </si>
  <si>
    <t>時兆</t>
  </si>
  <si>
    <t>9789866314841</t>
  </si>
  <si>
    <t>遏阻癌細胞：植物療法新視野、抗癌食譜100+道</t>
    <phoneticPr fontId="4" type="noConversion"/>
  </si>
  <si>
    <t>劉漢新,王守美</t>
  </si>
  <si>
    <t>9789866314827</t>
  </si>
  <si>
    <t>重建免疫療法：28日細胞分子矯正排毒聖經(精華版)</t>
  </si>
  <si>
    <t>米契爾．S．庫科</t>
  </si>
  <si>
    <t>博思智庫</t>
  </si>
  <si>
    <t>9789869629683</t>
  </si>
  <si>
    <t>鄉醫鄉依：謝春梅回憶錄</t>
  </si>
  <si>
    <t>何來美</t>
  </si>
  <si>
    <t>9789570852080</t>
  </si>
  <si>
    <t>微霞與桑榆：陳亮恭醫師的世紀思索</t>
  </si>
  <si>
    <t>陳亮恭</t>
  </si>
  <si>
    <t>9789572985342</t>
  </si>
  <si>
    <t>This is高第</t>
  </si>
  <si>
    <t>喬蕊拉‧安德魯斯</t>
  </si>
  <si>
    <t>天培</t>
  </si>
  <si>
    <t>9789869700702</t>
  </si>
  <si>
    <t>藝術設計</t>
  </si>
  <si>
    <t>台灣．綠築跡</t>
  </si>
  <si>
    <t>楊天豪</t>
  </si>
  <si>
    <t>9789864435210</t>
  </si>
  <si>
    <t>嘻哈囝：台灣饒舌故事</t>
    <phoneticPr fontId="4" type="noConversion"/>
  </si>
  <si>
    <t>統籌策劃．顏社KAO!INC.</t>
  </si>
  <si>
    <t>9789869705103</t>
  </si>
  <si>
    <t>藝術設計</t>
    <phoneticPr fontId="4" type="noConversion"/>
  </si>
  <si>
    <t>史賓賽聖經：美國國寶級書法大師教你寫一手最正統的優雅美字</t>
  </si>
  <si>
    <t>邁克．索爾/戴博拉．索爾</t>
  </si>
  <si>
    <t>9789864893164</t>
  </si>
  <si>
    <t>國際級書法大師Michael Sull數十年精華傾囊相授
台灣第一本大師級花體字中文著作</t>
    <phoneticPr fontId="4" type="noConversion"/>
  </si>
  <si>
    <t>餐桌上的電影物語：美食、人性與慾望的浮世對話</t>
    <phoneticPr fontId="4" type="noConversion"/>
  </si>
  <si>
    <t>蕭菊貞</t>
  </si>
  <si>
    <t>9789862139387</t>
  </si>
  <si>
    <t>以料理為引線，認識電影的敘事方法，剖析電影中的社會、階級、心理與生命課題。</t>
    <phoneticPr fontId="4" type="noConversion"/>
  </si>
  <si>
    <t>一學就會！超簡單漫畫技法：超可愛動物變裝篇</t>
  </si>
  <si>
    <t>亦兒</t>
  </si>
  <si>
    <t>9789578602465</t>
  </si>
  <si>
    <t xml:space="preserve">週末熱炒店的編劇課：零經驗也學得會!前所未見的小說式編劇教學書 </t>
    <phoneticPr fontId="4" type="noConversion"/>
  </si>
  <si>
    <t>東默農 著</t>
  </si>
  <si>
    <t>9789861365237</t>
  </si>
  <si>
    <t>‧專業編劇、戲劇名師，以小說形式，帶你進入劇本創作的世界，教你輕鬆說個充滿畫面的精采故事！</t>
    <phoneticPr fontId="4" type="noConversion"/>
  </si>
  <si>
    <t>色彩‧人間‧謝里法（附DVD）</t>
  </si>
  <si>
    <t>徐婉禎</t>
  </si>
  <si>
    <t>藝術家</t>
  </si>
  <si>
    <t>9789860567175</t>
  </si>
  <si>
    <t>低限‧無限‧李再鈐（附DVD）</t>
  </si>
  <si>
    <t>劉永仁</t>
  </si>
  <si>
    <t>9789860567151</t>
  </si>
  <si>
    <t>吾土‧笙歌‧劉耕谷（附DVD）</t>
  </si>
  <si>
    <t>蕭瓊瑞</t>
  </si>
  <si>
    <t>9789860567182</t>
  </si>
  <si>
    <t>建構‧空相‧李德（附DVD）</t>
  </si>
  <si>
    <t>王偉光</t>
  </si>
  <si>
    <t>9789860567137</t>
  </si>
  <si>
    <t>浪漫‧夢境‧許武勇（附DVD）</t>
  </si>
  <si>
    <t>陳長華</t>
  </si>
  <si>
    <t>9789860567120</t>
  </si>
  <si>
    <t>寂靜‧沉思‧陳景容（附DVD）</t>
  </si>
  <si>
    <t>潘(衣番)</t>
  </si>
  <si>
    <t>9789860567168</t>
  </si>
  <si>
    <t>痕紋‧印紀‧周瑛（附DVD）</t>
  </si>
  <si>
    <t>廖新田</t>
  </si>
  <si>
    <t>9789860567144</t>
  </si>
  <si>
    <t>傳譯‧詩意‧撒古流（附DVD）</t>
  </si>
  <si>
    <t>盧梅芬</t>
  </si>
  <si>
    <t>9789860567205</t>
  </si>
  <si>
    <t>溪谷流水：膠彩畫的基礎</t>
  </si>
  <si>
    <t>蔡雲巖</t>
  </si>
  <si>
    <t>9789862822197</t>
  </si>
  <si>
    <t>道與技之間：林珮淳藝術的啟示與警世</t>
  </si>
  <si>
    <t>林珮淳</t>
  </si>
  <si>
    <t>9789862822258</t>
  </si>
  <si>
    <t>融會‧至真‧蔡雲巖（附DVD）</t>
  </si>
  <si>
    <t>吳景欣</t>
  </si>
  <si>
    <t>9789860567113</t>
  </si>
  <si>
    <t>鐵焊‧超越‧高燦興（附DVD）</t>
  </si>
  <si>
    <t>鄭芳和</t>
  </si>
  <si>
    <t>9789860567199</t>
  </si>
  <si>
    <t xml:space="preserve">暢所欲言!押井守漫談吉卜力祕辛 </t>
    <phoneticPr fontId="4" type="noConversion"/>
  </si>
  <si>
    <t>押井守</t>
  </si>
  <si>
    <t>9789864758500</t>
  </si>
  <si>
    <t>聽鬼才導演押井守盡情暢談　　「吉卜力的過去與今後的動畫」
 看完再回頭欣賞吉卜力作品會更加有趣！</t>
    <phoneticPr fontId="4" type="noConversion"/>
  </si>
  <si>
    <t xml:space="preserve">先民過台灣：鄉土風情畫 </t>
    <phoneticPr fontId="4" type="noConversion"/>
  </si>
  <si>
    <t>莊麗華</t>
  </si>
  <si>
    <t>茱莉亞廣告</t>
  </si>
  <si>
    <t>9789869670203</t>
  </si>
  <si>
    <t>散景研究室｜各種美妙奇特的創意新玩法</t>
  </si>
  <si>
    <t>堤 一夫</t>
  </si>
  <si>
    <t>9789571082813</t>
  </si>
  <si>
    <t>莫札特長笛協奏曲 K.313 &amp; K.315</t>
  </si>
  <si>
    <t>黃貞瑛主編</t>
  </si>
  <si>
    <t>原笙</t>
  </si>
  <si>
    <t>9789869610766</t>
  </si>
  <si>
    <t>當代爵士鋼琴演奏技法精鑰</t>
  </si>
  <si>
    <t>劉玟訓</t>
  </si>
  <si>
    <t>9789867101839</t>
  </si>
  <si>
    <t>色鉛筆的繪旅行：完全自學20堂基礎筆法示範，277種配色技巧，看到什麼風景都能畫</t>
    <phoneticPr fontId="4" type="noConversion"/>
  </si>
  <si>
    <t>陳冑 夏在希</t>
  </si>
  <si>
    <t>含章</t>
  </si>
  <si>
    <t>9789869682954</t>
  </si>
  <si>
    <t>人體藝用解剖學 手、手臂篇</t>
  </si>
  <si>
    <t>原島廣至</t>
  </si>
  <si>
    <t>9789863774273</t>
  </si>
  <si>
    <t>手繪龍族：用鉛筆畫龍族＆奇幻生物</t>
  </si>
  <si>
    <t>安納汶的齊瑟拉</t>
  </si>
  <si>
    <t>9789863774235</t>
  </si>
  <si>
    <t>攻敵必勝！動漫人物對戰姿勢繪畫講座</t>
  </si>
  <si>
    <t>shoco、? 真</t>
  </si>
  <si>
    <t>9789863774297</t>
  </si>
  <si>
    <t>披頭四語小詞典 萬用豆知識7</t>
  </si>
  <si>
    <t>藤本國彥</t>
  </si>
  <si>
    <t>9789863774310</t>
  </si>
  <si>
    <t>風景攝影入門課：118個自然寫真技巧，教你凝結自然之美</t>
  </si>
  <si>
    <t>萩原史郎、萩原俊哉</t>
  </si>
  <si>
    <t>9789863774228</t>
  </si>
  <si>
    <t>畫龍點睛：神話怪獸＆奇幻生物藝術指南</t>
  </si>
  <si>
    <t>麥可．杜伯辛斯基</t>
  </si>
  <si>
    <t>9789863774280</t>
  </si>
  <si>
    <t>數位攝影全攻略：4大章節，26堂按下快門前的必修課！</t>
  </si>
  <si>
    <t>?狩友則</t>
  </si>
  <si>
    <t>9789863774266</t>
  </si>
  <si>
    <t>攝影師之框：頂尖攝影師的19堂課</t>
  </si>
  <si>
    <t>羅貝多?瓦倫索拉</t>
  </si>
  <si>
    <t>9789869691505</t>
  </si>
  <si>
    <t>19堂攝影訓練，從創造框景到打破現況，教你從日常生活中找出意義場景，</t>
    <phoneticPr fontId="4" type="noConversion"/>
  </si>
  <si>
    <t>跟著山崎亮去充電：走讀北歐生活設計最前線</t>
  </si>
  <si>
    <t>山崎亮&amp;studio-L</t>
  </si>
  <si>
    <t>9789571375632</t>
  </si>
  <si>
    <t>跟著山崎亮去充電：探訪美西公益設計現場</t>
  </si>
  <si>
    <t>9789571375656</t>
  </si>
  <si>
    <t>跟著山崎亮去充電：踏查英倫社區設計軌跡</t>
  </si>
  <si>
    <t>9789571375649</t>
  </si>
  <si>
    <t xml:space="preserve">療癒美術館：用名畫治癒心靈，在美的世界找到更好的自己 </t>
    <phoneticPr fontId="4" type="noConversion"/>
  </si>
  <si>
    <t>李沼泳</t>
  </si>
  <si>
    <t>9789571375595</t>
  </si>
  <si>
    <t>點腦成金：開採個人創意原礦</t>
  </si>
  <si>
    <t>程湘如</t>
  </si>
  <si>
    <t>9789571376042</t>
  </si>
  <si>
    <t>室內設計手繪製圖必學2大樣圖【暢銷增訂版】：剖圖搭配施工照詳解，看懂材料銜接、圖例畫法，重點精準掌握一點就通</t>
    <phoneticPr fontId="4" type="noConversion"/>
  </si>
  <si>
    <t>陳鎔</t>
  </si>
  <si>
    <t>9789864084418</t>
  </si>
  <si>
    <t>觸之美：從手到心的美感體會</t>
  </si>
  <si>
    <t>La Vie編輯部</t>
  </si>
  <si>
    <t>9789864084265</t>
  </si>
  <si>
    <t>植物畫技法全書：從繪畫技法、調色技巧到植物紋路與質感，植物畫家帶你掌握科學繪圖的秘訣</t>
    <phoneticPr fontId="4" type="noConversion"/>
  </si>
  <si>
    <t>梅瑞兒．瑟斯坦/若曦．馬汀</t>
  </si>
  <si>
    <t>9789864591565</t>
  </si>
  <si>
    <t>進入植物畫領域的第一本書！</t>
    <phoneticPr fontId="4" type="noConversion"/>
  </si>
  <si>
    <t>圖解建築計畫入門：一次精通建物空間、動線設計、尺寸面積、都市計畫的基本知識、原理和應用</t>
    <phoneticPr fontId="4" type="noConversion"/>
  </si>
  <si>
    <t>原口秀昭</t>
  </si>
  <si>
    <t>9789862357149</t>
  </si>
  <si>
    <t>★好評暢銷書「圖解建築」系列力作第10彈</t>
    <phoneticPr fontId="4" type="noConversion"/>
  </si>
  <si>
    <t>逆襲的和弦奧義(嶄新修訂版)</t>
  </si>
  <si>
    <t>爆音將軍</t>
  </si>
  <si>
    <t>9789865002664</t>
  </si>
  <si>
    <t>簡單‧宅：斷捨離的住屋哲學，打造日式簡約風格住宅</t>
    <phoneticPr fontId="4" type="noConversion"/>
  </si>
  <si>
    <t>蘇末/主編</t>
  </si>
  <si>
    <t>9789865003050</t>
  </si>
  <si>
    <t>細說華格納四大樂劇</t>
  </si>
  <si>
    <t>王冠之</t>
  </si>
  <si>
    <t>9789888490547</t>
  </si>
  <si>
    <t>純手感 印刷．加工DIY BOOK (暢銷新裝版)</t>
    <phoneticPr fontId="4" type="noConversion"/>
  </si>
  <si>
    <t>大原健一郎．野口尚子．橋詰宗</t>
  </si>
  <si>
    <t>9789869697712</t>
  </si>
  <si>
    <t>黃君璧‧白雲堂畫論畫法</t>
    <phoneticPr fontId="4" type="noConversion"/>
  </si>
  <si>
    <t>黃君璧/繪述，劉墉/編撰</t>
  </si>
  <si>
    <t>9789570531794</t>
  </si>
  <si>
    <t>新手學英文藝術字的第一本書：手寫藝術字、字型編排、裝飾圖案字體一次通通學會</t>
    <phoneticPr fontId="4" type="noConversion"/>
  </si>
  <si>
    <t>蓋比芮喬伊柯肯道爾 …等</t>
  </si>
  <si>
    <t>9789573282792</t>
  </si>
  <si>
    <t>五線譜、豆芽譜、樂譜：流行豆芽譜第90冊(適用鋼琴、電子琴)</t>
  </si>
  <si>
    <t>謝宛玲老師</t>
  </si>
  <si>
    <t>卓著</t>
  </si>
  <si>
    <t>4712771023015</t>
  </si>
  <si>
    <t>五線譜、豆芽譜、樂譜：流行長笛譜 第9冊（適用長笛）內附（伴奏mp3）二維碼</t>
    <phoneticPr fontId="4" type="noConversion"/>
  </si>
  <si>
    <t>張孝萱</t>
  </si>
  <si>
    <t>4712771022995</t>
  </si>
  <si>
    <t>簡譜、樂譜：最新排行第146冊(適用鋼琴、電子琴、..等樂器)</t>
  </si>
  <si>
    <t>卓錦炎/卓錦漢</t>
  </si>
  <si>
    <t>4712771023008</t>
  </si>
  <si>
    <t>迷你咖啡店設計本事：咖啡店，好設計成功一半3</t>
    <phoneticPr fontId="4" type="noConversion"/>
  </si>
  <si>
    <t>SH美化家庭編輯部</t>
  </si>
  <si>
    <t>風和文創</t>
  </si>
  <si>
    <t>9789869647564</t>
  </si>
  <si>
    <t>iTouch就是愛彈琴７１</t>
  </si>
  <si>
    <t>麥書編輯部</t>
  </si>
  <si>
    <t>麥書</t>
  </si>
  <si>
    <t>4714871060716</t>
  </si>
  <si>
    <t>Contemporary Taiwanese Literature and Art Series II：Art 當代台灣文學藝術系列2──美術卷</t>
    <phoneticPr fontId="4" type="noConversion"/>
  </si>
  <si>
    <t>中華民國筆會</t>
  </si>
  <si>
    <t>9789868667440</t>
  </si>
  <si>
    <t>合計</t>
    <phoneticPr fontId="3" type="noConversion"/>
  </si>
  <si>
    <t>TCNBJB</t>
    <phoneticPr fontId="3" type="noConversion"/>
  </si>
  <si>
    <r>
      <t>T</t>
    </r>
    <r>
      <rPr>
        <sz val="12"/>
        <color theme="1"/>
        <rFont val="新細明體"/>
        <family val="2"/>
        <charset val="136"/>
        <scheme val="minor"/>
      </rPr>
      <t>CNBJK</t>
    </r>
    <phoneticPr fontId="3" type="noConversion"/>
  </si>
  <si>
    <t>BS</t>
    <phoneticPr fontId="3" type="noConversion"/>
  </si>
  <si>
    <t>TCNBBS</t>
    <phoneticPr fontId="3" type="noConversion"/>
  </si>
  <si>
    <t>TCNBJL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</si>
</sst>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"/>
    <numFmt numFmtId="177" formatCode="0_);[Red]\(0\)"/>
    <numFmt numFmtId="178" formatCode="[&gt;99999999]0000000000;General"/>
    <numFmt numFmtId="179" formatCode="0.00_);[Red]\(0.00\)"/>
  </numFmts>
  <fonts count="26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Helv"/>
      <family val="2"/>
    </font>
    <font>
      <sz val="9"/>
      <name val="新細明體"/>
      <family val="3"/>
      <charset val="136"/>
      <scheme val="minor"/>
    </font>
    <font>
      <b/>
      <sz val="12"/>
      <name val="標楷體"/>
      <family val="4"/>
      <charset val="136"/>
    </font>
    <font>
      <sz val="10"/>
      <name val="Arial"/>
      <family val="2"/>
    </font>
    <font>
      <sz val="14"/>
      <color theme="1"/>
      <name val="標楷體"/>
      <family val="4"/>
      <charset val="136"/>
    </font>
    <font>
      <sz val="18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0"/>
      <color theme="1"/>
      <name val="新細明體"/>
      <family val="2"/>
      <charset val="136"/>
      <scheme val="minor"/>
    </font>
    <font>
      <b/>
      <sz val="18"/>
      <color rgb="FFFF0000"/>
      <name val="標楷體"/>
      <family val="4"/>
      <charset val="136"/>
    </font>
    <font>
      <b/>
      <sz val="12"/>
      <color rgb="FF0070C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新細明體"/>
      <family val="2"/>
      <charset val="136"/>
      <scheme val="minor"/>
    </font>
    <font>
      <sz val="10"/>
      <name val="新細明體"/>
      <family val="1"/>
      <charset val="136"/>
    </font>
    <font>
      <u/>
      <sz val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8" fillId="0" borderId="0"/>
    <xf numFmtId="0" fontId="9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3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left" vertical="center"/>
    </xf>
    <xf numFmtId="14" fontId="13" fillId="0" borderId="1" xfId="3" applyNumberFormat="1" applyFont="1" applyBorder="1" applyAlignment="1">
      <alignment horizontal="center" vertical="center"/>
    </xf>
    <xf numFmtId="177" fontId="13" fillId="0" borderId="1" xfId="3" applyNumberFormat="1" applyFont="1" applyFill="1" applyBorder="1" applyAlignment="1">
      <alignment horizontal="center" vertical="center" shrinkToFit="1"/>
    </xf>
    <xf numFmtId="0" fontId="13" fillId="0" borderId="1" xfId="4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shrinkToFit="1"/>
    </xf>
    <xf numFmtId="176" fontId="7" fillId="0" borderId="1" xfId="2" applyNumberFormat="1" applyFont="1" applyBorder="1" applyAlignment="1">
      <alignment horizontal="center" vertical="center" shrinkToFit="1"/>
    </xf>
    <xf numFmtId="177" fontId="7" fillId="0" borderId="1" xfId="2" applyNumberFormat="1" applyFont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3" applyFont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177" fontId="7" fillId="2" borderId="1" xfId="2" applyNumberFormat="1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shrinkToFit="1"/>
    </xf>
    <xf numFmtId="0" fontId="7" fillId="2" borderId="1" xfId="1" applyFont="1" applyFill="1" applyBorder="1" applyAlignment="1">
      <alignment horizontal="center" vertical="center" wrapText="1" shrinkToFit="1"/>
    </xf>
    <xf numFmtId="0" fontId="7" fillId="0" borderId="1" xfId="2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7" fillId="2" borderId="1" xfId="1" applyFont="1" applyFill="1" applyBorder="1" applyAlignment="1">
      <alignment horizontal="left" vertical="center" wrapText="1" shrinkToFi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76" fontId="7" fillId="0" borderId="1" xfId="2" applyNumberFormat="1" applyFont="1" applyBorder="1" applyAlignment="1">
      <alignment horizontal="center" vertical="center" wrapText="1" shrinkToFit="1"/>
    </xf>
    <xf numFmtId="0" fontId="13" fillId="0" borderId="1" xfId="3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0" fillId="0" borderId="1" xfId="5" applyFont="1" applyBorder="1" applyAlignment="1">
      <alignment vertical="center" wrapText="1"/>
    </xf>
    <xf numFmtId="0" fontId="20" fillId="0" borderId="1" xfId="5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14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>
      <alignment vertical="center"/>
    </xf>
    <xf numFmtId="0" fontId="21" fillId="0" borderId="0" xfId="5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11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4" fontId="14" fillId="0" borderId="1" xfId="0" applyNumberFormat="1" applyFont="1" applyBorder="1">
      <alignment vertical="center"/>
    </xf>
    <xf numFmtId="0" fontId="14" fillId="0" borderId="1" xfId="0" applyFont="1" applyFill="1" applyBorder="1">
      <alignment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vertical="center" shrinkToFit="1"/>
    </xf>
    <xf numFmtId="49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center" wrapText="1" shrinkToFit="1"/>
    </xf>
    <xf numFmtId="0" fontId="0" fillId="2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21" fillId="2" borderId="1" xfId="5" applyFill="1" applyBorder="1" applyAlignment="1">
      <alignment vertical="center"/>
    </xf>
    <xf numFmtId="177" fontId="21" fillId="2" borderId="1" xfId="5" applyNumberFormat="1" applyFill="1" applyBorder="1" applyAlignment="1">
      <alignment vertical="center"/>
    </xf>
    <xf numFmtId="177" fontId="25" fillId="2" borderId="1" xfId="5" applyNumberFormat="1" applyFont="1" applyFill="1" applyBorder="1" applyAlignment="1">
      <alignment vertical="center"/>
    </xf>
    <xf numFmtId="178" fontId="21" fillId="2" borderId="1" xfId="5" applyNumberFormat="1" applyFill="1" applyBorder="1" applyAlignment="1" applyProtection="1">
      <alignment horizontal="center" vertical="center" shrinkToFi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1" xfId="0" applyFont="1" applyBorder="1">
      <alignment vertical="center"/>
    </xf>
    <xf numFmtId="0" fontId="0" fillId="2" borderId="1" xfId="0" applyFill="1" applyBorder="1">
      <alignment vertical="center"/>
    </xf>
    <xf numFmtId="179" fontId="7" fillId="2" borderId="1" xfId="2" applyNumberFormat="1" applyFont="1" applyFill="1" applyBorder="1" applyAlignment="1">
      <alignment horizontal="center" vertical="center" wrapText="1" shrinkToFit="1"/>
    </xf>
    <xf numFmtId="179" fontId="14" fillId="0" borderId="1" xfId="4" applyNumberFormat="1" applyFon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7" fillId="2" borderId="1" xfId="2" applyNumberFormat="1" applyFont="1" applyFill="1" applyBorder="1" applyAlignment="1">
      <alignment horizontal="center" vertical="center" shrinkToFit="1"/>
    </xf>
    <xf numFmtId="0" fontId="13" fillId="3" borderId="1" xfId="4" applyFont="1" applyFill="1" applyBorder="1" applyAlignment="1">
      <alignment horizontal="center" vertical="center"/>
    </xf>
    <xf numFmtId="179" fontId="14" fillId="3" borderId="1" xfId="4" applyNumberFormat="1" applyFont="1" applyFill="1" applyBorder="1" applyAlignment="1">
      <alignment horizontal="center" vertical="center"/>
    </xf>
    <xf numFmtId="0" fontId="14" fillId="3" borderId="1" xfId="4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179" fontId="11" fillId="3" borderId="3" xfId="0" applyNumberFormat="1" applyFon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</cellXfs>
  <cellStyles count="6">
    <cellStyle name="一般" xfId="0" builtinId="0"/>
    <cellStyle name="一般 5" xfId="4"/>
    <cellStyle name="一般_Sheet1" xfId="1"/>
    <cellStyle name="一般_Sheet1_1" xfId="2"/>
    <cellStyle name="一般_新書通報彙整(範本)1_1" xfId="3"/>
    <cellStyle name="超連結" xfId="5" builtinId="8"/>
  </cellStyles>
  <dxfs count="45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oks.com.tw/products/0010785841" TargetMode="External"/><Relationship Id="rId13" Type="http://schemas.openxmlformats.org/officeDocument/2006/relationships/hyperlink" Target="https://www.books.com.tw/products/0010782941" TargetMode="External"/><Relationship Id="rId18" Type="http://schemas.openxmlformats.org/officeDocument/2006/relationships/hyperlink" Target="https://search.books.com.tw/search/query/key/9789863445913" TargetMode="External"/><Relationship Id="rId3" Type="http://schemas.openxmlformats.org/officeDocument/2006/relationships/hyperlink" Target="https://www.books.com.tw/products/0010783392" TargetMode="External"/><Relationship Id="rId21" Type="http://schemas.openxmlformats.org/officeDocument/2006/relationships/hyperlink" Target="https://www.books.com.tw/products/0010804108" TargetMode="External"/><Relationship Id="rId7" Type="http://schemas.openxmlformats.org/officeDocument/2006/relationships/hyperlink" Target="https://www.books.com.tw/products/0010782806" TargetMode="External"/><Relationship Id="rId12" Type="http://schemas.openxmlformats.org/officeDocument/2006/relationships/hyperlink" Target="https://www.books.com.tw/products/0010768630" TargetMode="External"/><Relationship Id="rId17" Type="http://schemas.openxmlformats.org/officeDocument/2006/relationships/hyperlink" Target="https://search.books.com.tw/search/query/key/9789862356951" TargetMode="External"/><Relationship Id="rId2" Type="http://schemas.openxmlformats.org/officeDocument/2006/relationships/hyperlink" Target="https://www.books.com.tw/products/0010787382" TargetMode="External"/><Relationship Id="rId16" Type="http://schemas.openxmlformats.org/officeDocument/2006/relationships/hyperlink" Target="https://search.books.com.tw/search/query/key/" TargetMode="External"/><Relationship Id="rId20" Type="http://schemas.openxmlformats.org/officeDocument/2006/relationships/hyperlink" Target="https://search.books.com.tw/search/query/key/9789869539388" TargetMode="External"/><Relationship Id="rId1" Type="http://schemas.openxmlformats.org/officeDocument/2006/relationships/hyperlink" Target="https://www.books.com.tw/products/0010785484" TargetMode="External"/><Relationship Id="rId6" Type="http://schemas.openxmlformats.org/officeDocument/2006/relationships/hyperlink" Target="https://www.books.com.tw/products/0010780322" TargetMode="External"/><Relationship Id="rId11" Type="http://schemas.openxmlformats.org/officeDocument/2006/relationships/hyperlink" Target="https://www.books.com.tw/products/0010770522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books.com.tw/products/0010782501" TargetMode="External"/><Relationship Id="rId15" Type="http://schemas.openxmlformats.org/officeDocument/2006/relationships/hyperlink" Target="https://www.books.com.tw/products/0010790443" TargetMode="External"/><Relationship Id="rId23" Type="http://schemas.openxmlformats.org/officeDocument/2006/relationships/hyperlink" Target="https://www.books.com.tw/products/0010807271?loc=P_asb_001" TargetMode="External"/><Relationship Id="rId10" Type="http://schemas.openxmlformats.org/officeDocument/2006/relationships/hyperlink" Target="https://www.books.com.tw/products/0010785183" TargetMode="External"/><Relationship Id="rId19" Type="http://schemas.openxmlformats.org/officeDocument/2006/relationships/hyperlink" Target="https://search.books.com.tw/search/query/key/9789862357019" TargetMode="External"/><Relationship Id="rId4" Type="http://schemas.openxmlformats.org/officeDocument/2006/relationships/hyperlink" Target="https://www.books.com.tw/products/0010776060?loc=P_007_004" TargetMode="External"/><Relationship Id="rId9" Type="http://schemas.openxmlformats.org/officeDocument/2006/relationships/hyperlink" Target="https://www.books.com.tw/products/0010770990" TargetMode="External"/><Relationship Id="rId14" Type="http://schemas.openxmlformats.org/officeDocument/2006/relationships/hyperlink" Target="https://www.books.com.tw/products/0010771261" TargetMode="External"/><Relationship Id="rId22" Type="http://schemas.openxmlformats.org/officeDocument/2006/relationships/hyperlink" Target="https://www.books.com.tw/products/0010810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963"/>
  <sheetViews>
    <sheetView tabSelected="1" zoomScaleNormal="100" workbookViewId="0">
      <pane ySplit="4" topLeftCell="A171" activePane="bottomLeft" state="frozen"/>
      <selection pane="bottomLeft" activeCell="A214" sqref="A214:XFD214"/>
    </sheetView>
  </sheetViews>
  <sheetFormatPr defaultRowHeight="16.5" x14ac:dyDescent="0.25"/>
  <cols>
    <col min="1" max="1" width="4.5" customWidth="1"/>
    <col min="2" max="2" width="33.625" style="13" customWidth="1"/>
    <col min="3" max="3" width="11.125" style="13" customWidth="1"/>
    <col min="4" max="4" width="9" style="13"/>
    <col min="5" max="5" width="11.875" customWidth="1"/>
    <col min="6" max="6" width="17.125" customWidth="1"/>
    <col min="7" max="7" width="10.75" customWidth="1"/>
    <col min="9" max="9" width="10.25" customWidth="1"/>
    <col min="10" max="10" width="10" style="81" bestFit="1" customWidth="1"/>
    <col min="12" max="12" width="9.875" style="81" customWidth="1"/>
    <col min="13" max="13" width="22.625" style="28" customWidth="1"/>
    <col min="14" max="14" width="26.5" style="26" customWidth="1"/>
    <col min="15" max="15" width="20" style="55" customWidth="1"/>
    <col min="16" max="16" width="10.5" customWidth="1"/>
    <col min="17" max="17" width="13.375" style="52" customWidth="1"/>
    <col min="18" max="18" width="53.5" style="71" customWidth="1"/>
    <col min="19" max="22" width="9" hidden="1" customWidth="1"/>
    <col min="23" max="26" width="0" hidden="1" customWidth="1"/>
  </cols>
  <sheetData>
    <row r="1" spans="1:19" ht="25.5" x14ac:dyDescent="0.25">
      <c r="A1" s="88" t="s">
        <v>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0"/>
      <c r="O1" s="90"/>
      <c r="P1" s="91"/>
      <c r="Q1" s="91"/>
      <c r="R1" s="92"/>
    </row>
    <row r="2" spans="1:19" ht="19.5" x14ac:dyDescent="0.25">
      <c r="A2" s="93" t="s">
        <v>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0"/>
      <c r="N2" s="90"/>
      <c r="O2" s="90"/>
      <c r="P2" s="91"/>
      <c r="Q2" s="91"/>
      <c r="R2" s="92"/>
    </row>
    <row r="3" spans="1:19" ht="19.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87">
        <f>L963</f>
        <v>20487</v>
      </c>
      <c r="M3" s="35"/>
      <c r="N3" s="35"/>
      <c r="O3" s="35"/>
      <c r="P3" s="36"/>
      <c r="Q3" s="36"/>
      <c r="R3" s="37"/>
    </row>
    <row r="4" spans="1:19" ht="49.5" x14ac:dyDescent="0.25">
      <c r="A4" s="10" t="s">
        <v>1</v>
      </c>
      <c r="B4" s="21" t="s">
        <v>2</v>
      </c>
      <c r="C4" s="21" t="s">
        <v>3</v>
      </c>
      <c r="D4" s="30" t="s">
        <v>4</v>
      </c>
      <c r="E4" s="11" t="s">
        <v>12</v>
      </c>
      <c r="F4" s="12" t="s">
        <v>5</v>
      </c>
      <c r="G4" s="18" t="s">
        <v>14</v>
      </c>
      <c r="H4" s="19" t="s">
        <v>9</v>
      </c>
      <c r="I4" s="19" t="s">
        <v>7</v>
      </c>
      <c r="J4" s="78" t="s">
        <v>11</v>
      </c>
      <c r="K4" s="19" t="s">
        <v>6</v>
      </c>
      <c r="L4" s="82" t="s">
        <v>0</v>
      </c>
      <c r="M4" s="27" t="s">
        <v>10</v>
      </c>
      <c r="N4" s="20" t="s">
        <v>15</v>
      </c>
      <c r="O4" s="20" t="s">
        <v>16</v>
      </c>
      <c r="P4" s="16" t="s">
        <v>17</v>
      </c>
      <c r="Q4" s="16" t="s">
        <v>18</v>
      </c>
      <c r="R4" s="66" t="s">
        <v>13</v>
      </c>
    </row>
    <row r="5" spans="1:19" ht="57" hidden="1" x14ac:dyDescent="0.25">
      <c r="A5" s="1">
        <v>1</v>
      </c>
      <c r="B5" s="15" t="s">
        <v>21</v>
      </c>
      <c r="C5" s="15" t="s">
        <v>22</v>
      </c>
      <c r="D5" s="15" t="s">
        <v>23</v>
      </c>
      <c r="E5" s="3">
        <v>43225</v>
      </c>
      <c r="F5" s="4">
        <v>9789571373867</v>
      </c>
      <c r="G5" s="4"/>
      <c r="H5" s="5"/>
      <c r="I5" s="1">
        <v>460</v>
      </c>
      <c r="J5" s="79">
        <f>ROUND(I5*0.78,2)</f>
        <v>358.8</v>
      </c>
      <c r="K5" s="83">
        <v>0</v>
      </c>
      <c r="L5" s="84">
        <f>K5*J5</f>
        <v>0</v>
      </c>
      <c r="M5" s="22" t="s">
        <v>156</v>
      </c>
      <c r="N5" s="24" t="s">
        <v>25</v>
      </c>
      <c r="O5" s="53" t="s">
        <v>77</v>
      </c>
      <c r="P5" s="9"/>
      <c r="Q5" s="17" t="s">
        <v>19</v>
      </c>
      <c r="R5" s="67" t="s">
        <v>24</v>
      </c>
    </row>
    <row r="6" spans="1:19" ht="33" hidden="1" x14ac:dyDescent="0.25">
      <c r="A6" s="1">
        <v>2</v>
      </c>
      <c r="B6" s="15" t="s">
        <v>26</v>
      </c>
      <c r="C6" s="15" t="s">
        <v>27</v>
      </c>
      <c r="D6" s="15" t="s">
        <v>28</v>
      </c>
      <c r="E6" s="3">
        <v>43241</v>
      </c>
      <c r="F6" s="4">
        <v>9789578787292</v>
      </c>
      <c r="G6" s="4"/>
      <c r="H6" s="5"/>
      <c r="I6" s="6">
        <v>320</v>
      </c>
      <c r="J6" s="79">
        <f t="shared" ref="J6:J69" si="0">ROUND(I6*0.78,2)</f>
        <v>249.6</v>
      </c>
      <c r="K6" s="85"/>
      <c r="L6" s="84">
        <f t="shared" ref="L6:L69" si="1">K6*J6</f>
        <v>0</v>
      </c>
      <c r="M6" s="22" t="s">
        <v>32</v>
      </c>
      <c r="N6" s="23" t="s">
        <v>31</v>
      </c>
      <c r="O6" s="53" t="s">
        <v>30</v>
      </c>
      <c r="P6" s="8"/>
      <c r="Q6" s="17" t="s">
        <v>19</v>
      </c>
      <c r="R6" s="67" t="s">
        <v>29</v>
      </c>
    </row>
    <row r="7" spans="1:19" ht="33" hidden="1" x14ac:dyDescent="0.25">
      <c r="A7" s="1">
        <v>3</v>
      </c>
      <c r="B7" s="15" t="s">
        <v>41</v>
      </c>
      <c r="C7" s="15" t="s">
        <v>33</v>
      </c>
      <c r="D7" s="15" t="s">
        <v>34</v>
      </c>
      <c r="E7" s="3">
        <v>43213</v>
      </c>
      <c r="F7" s="4">
        <v>9789863983330</v>
      </c>
      <c r="G7" s="4"/>
      <c r="H7" s="2"/>
      <c r="I7" s="1">
        <v>450</v>
      </c>
      <c r="J7" s="79">
        <f t="shared" si="0"/>
        <v>351</v>
      </c>
      <c r="K7" s="83"/>
      <c r="L7" s="84">
        <f t="shared" si="1"/>
        <v>0</v>
      </c>
      <c r="M7" s="22" t="s">
        <v>32</v>
      </c>
      <c r="N7" s="25" t="s">
        <v>43</v>
      </c>
      <c r="O7" s="53" t="s">
        <v>30</v>
      </c>
      <c r="P7" s="8"/>
      <c r="Q7" s="17" t="s">
        <v>19</v>
      </c>
      <c r="R7" s="67" t="s">
        <v>42</v>
      </c>
      <c r="S7" t="s">
        <v>59</v>
      </c>
    </row>
    <row r="8" spans="1:19" ht="49.5" hidden="1" x14ac:dyDescent="0.25">
      <c r="A8" s="1">
        <v>4</v>
      </c>
      <c r="B8" s="15" t="s">
        <v>35</v>
      </c>
      <c r="C8" s="15" t="s">
        <v>36</v>
      </c>
      <c r="D8" s="15" t="s">
        <v>45</v>
      </c>
      <c r="E8" s="3">
        <v>43122</v>
      </c>
      <c r="F8" s="4">
        <v>9789869445825</v>
      </c>
      <c r="G8" s="4"/>
      <c r="H8" s="2"/>
      <c r="I8" s="6">
        <v>280</v>
      </c>
      <c r="J8" s="79">
        <f t="shared" si="0"/>
        <v>218.4</v>
      </c>
      <c r="K8" s="83"/>
      <c r="L8" s="84">
        <f t="shared" si="1"/>
        <v>0</v>
      </c>
      <c r="M8" s="22" t="s">
        <v>74</v>
      </c>
      <c r="N8" s="25" t="s">
        <v>46</v>
      </c>
      <c r="O8" s="53" t="s">
        <v>30</v>
      </c>
      <c r="P8" s="7"/>
      <c r="Q8" s="17" t="s">
        <v>19</v>
      </c>
      <c r="R8" s="67" t="s">
        <v>44</v>
      </c>
    </row>
    <row r="9" spans="1:19" ht="42.75" hidden="1" x14ac:dyDescent="0.25">
      <c r="A9" s="1">
        <v>5</v>
      </c>
      <c r="B9" s="15" t="s">
        <v>47</v>
      </c>
      <c r="C9" s="15" t="s">
        <v>48</v>
      </c>
      <c r="D9" s="15" t="s">
        <v>49</v>
      </c>
      <c r="E9" s="3">
        <v>43209</v>
      </c>
      <c r="F9" s="4">
        <v>9789864774258</v>
      </c>
      <c r="G9" s="4"/>
      <c r="H9" s="2"/>
      <c r="I9" s="6">
        <v>340</v>
      </c>
      <c r="J9" s="79">
        <f t="shared" si="0"/>
        <v>265.2</v>
      </c>
      <c r="K9" s="83"/>
      <c r="L9" s="84">
        <f t="shared" si="1"/>
        <v>0</v>
      </c>
      <c r="M9" s="29" t="s">
        <v>51</v>
      </c>
      <c r="N9" s="25" t="s">
        <v>50</v>
      </c>
      <c r="O9" s="53" t="s">
        <v>30</v>
      </c>
      <c r="P9" s="7"/>
      <c r="Q9" s="17" t="s">
        <v>19</v>
      </c>
      <c r="R9" s="67" t="s">
        <v>62</v>
      </c>
    </row>
    <row r="10" spans="1:19" ht="33" hidden="1" x14ac:dyDescent="0.25">
      <c r="A10" s="1">
        <v>6</v>
      </c>
      <c r="B10" s="14" t="s">
        <v>37</v>
      </c>
      <c r="C10" s="15" t="s">
        <v>52</v>
      </c>
      <c r="D10" s="15" t="s">
        <v>53</v>
      </c>
      <c r="E10" s="3">
        <v>43159</v>
      </c>
      <c r="F10" s="4">
        <v>9789579609203</v>
      </c>
      <c r="G10" s="4"/>
      <c r="H10" s="5"/>
      <c r="I10" s="1">
        <v>280</v>
      </c>
      <c r="J10" s="79">
        <f t="shared" si="0"/>
        <v>218.4</v>
      </c>
      <c r="K10" s="83"/>
      <c r="L10" s="84">
        <f t="shared" si="1"/>
        <v>0</v>
      </c>
      <c r="M10" s="29" t="s">
        <v>156</v>
      </c>
      <c r="N10" s="25" t="s">
        <v>54</v>
      </c>
      <c r="O10" s="53" t="s">
        <v>30</v>
      </c>
      <c r="P10" s="7"/>
      <c r="Q10" s="17" t="s">
        <v>19</v>
      </c>
      <c r="R10" s="67" t="s">
        <v>61</v>
      </c>
    </row>
    <row r="11" spans="1:19" ht="49.5" hidden="1" x14ac:dyDescent="0.25">
      <c r="A11" s="1">
        <v>7</v>
      </c>
      <c r="B11" s="15" t="s">
        <v>55</v>
      </c>
      <c r="C11" s="15" t="s">
        <v>56</v>
      </c>
      <c r="D11" s="31" t="s">
        <v>57</v>
      </c>
      <c r="E11" s="3">
        <v>43189</v>
      </c>
      <c r="F11" s="4">
        <v>9789864793778</v>
      </c>
      <c r="G11" s="4"/>
      <c r="H11" s="5"/>
      <c r="I11" s="1">
        <v>360</v>
      </c>
      <c r="J11" s="79">
        <f t="shared" si="0"/>
        <v>280.8</v>
      </c>
      <c r="K11" s="83"/>
      <c r="L11" s="84">
        <f t="shared" si="1"/>
        <v>0</v>
      </c>
      <c r="M11" s="29" t="s">
        <v>32</v>
      </c>
      <c r="N11" s="25" t="s">
        <v>58</v>
      </c>
      <c r="O11" s="53" t="s">
        <v>77</v>
      </c>
      <c r="P11" s="7"/>
      <c r="Q11" s="17" t="s">
        <v>19</v>
      </c>
      <c r="R11" s="67" t="s">
        <v>60</v>
      </c>
      <c r="S11" t="s">
        <v>59</v>
      </c>
    </row>
    <row r="12" spans="1:19" ht="33" hidden="1" x14ac:dyDescent="0.25">
      <c r="A12" s="1">
        <v>8</v>
      </c>
      <c r="B12" s="15" t="s">
        <v>38</v>
      </c>
      <c r="C12" s="15" t="s">
        <v>64</v>
      </c>
      <c r="D12" s="15" t="s">
        <v>65</v>
      </c>
      <c r="E12" s="3">
        <v>43237</v>
      </c>
      <c r="F12" s="4">
        <v>9789579699181</v>
      </c>
      <c r="G12" s="4"/>
      <c r="H12" s="5"/>
      <c r="I12" s="1">
        <v>350</v>
      </c>
      <c r="J12" s="79">
        <f t="shared" si="0"/>
        <v>273</v>
      </c>
      <c r="K12" s="83"/>
      <c r="L12" s="84">
        <f t="shared" si="1"/>
        <v>0</v>
      </c>
      <c r="M12" s="29" t="s">
        <v>66</v>
      </c>
      <c r="N12" s="25" t="s">
        <v>67</v>
      </c>
      <c r="O12" s="53" t="s">
        <v>30</v>
      </c>
      <c r="P12" s="7"/>
      <c r="Q12" s="17" t="s">
        <v>19</v>
      </c>
      <c r="R12" s="67" t="s">
        <v>63</v>
      </c>
      <c r="S12" t="s">
        <v>68</v>
      </c>
    </row>
    <row r="13" spans="1:19" ht="71.25" hidden="1" x14ac:dyDescent="0.25">
      <c r="A13" s="1">
        <v>9</v>
      </c>
      <c r="B13" s="15" t="s">
        <v>39</v>
      </c>
      <c r="C13" s="15" t="s">
        <v>69</v>
      </c>
      <c r="D13" s="15" t="s">
        <v>28</v>
      </c>
      <c r="E13" s="3">
        <v>43217</v>
      </c>
      <c r="F13" s="4">
        <v>9789578787285</v>
      </c>
      <c r="G13" s="4"/>
      <c r="H13" s="5"/>
      <c r="I13" s="1">
        <v>360</v>
      </c>
      <c r="J13" s="79">
        <f t="shared" si="0"/>
        <v>280.8</v>
      </c>
      <c r="K13" s="83"/>
      <c r="L13" s="84">
        <f t="shared" si="1"/>
        <v>0</v>
      </c>
      <c r="M13" s="29" t="s">
        <v>352</v>
      </c>
      <c r="N13" s="25" t="s">
        <v>70</v>
      </c>
      <c r="O13" s="53" t="s">
        <v>30</v>
      </c>
      <c r="P13" s="7"/>
      <c r="Q13" s="17" t="s">
        <v>19</v>
      </c>
      <c r="R13" s="67" t="s">
        <v>75</v>
      </c>
    </row>
    <row r="14" spans="1:19" ht="42.75" hidden="1" x14ac:dyDescent="0.25">
      <c r="A14" s="1">
        <v>10</v>
      </c>
      <c r="B14" s="15" t="s">
        <v>40</v>
      </c>
      <c r="C14" s="15" t="s">
        <v>71</v>
      </c>
      <c r="D14" s="15" t="s">
        <v>23</v>
      </c>
      <c r="E14" s="3">
        <v>43081</v>
      </c>
      <c r="F14" s="4">
        <v>9789571371917</v>
      </c>
      <c r="G14" s="4"/>
      <c r="H14" s="5"/>
      <c r="I14" s="1">
        <v>920</v>
      </c>
      <c r="J14" s="79">
        <f t="shared" si="0"/>
        <v>717.6</v>
      </c>
      <c r="K14" s="83"/>
      <c r="L14" s="84">
        <f t="shared" si="1"/>
        <v>0</v>
      </c>
      <c r="M14" s="29" t="s">
        <v>74</v>
      </c>
      <c r="N14" s="25" t="s">
        <v>73</v>
      </c>
      <c r="O14" s="53" t="s">
        <v>30</v>
      </c>
      <c r="P14" s="7"/>
      <c r="Q14" s="17" t="s">
        <v>19</v>
      </c>
      <c r="R14" s="67" t="s">
        <v>72</v>
      </c>
    </row>
    <row r="15" spans="1:19" ht="49.5" hidden="1" x14ac:dyDescent="0.25">
      <c r="A15" s="1">
        <v>11</v>
      </c>
      <c r="B15" s="15" t="s">
        <v>78</v>
      </c>
      <c r="C15" s="15" t="s">
        <v>80</v>
      </c>
      <c r="D15" s="15" t="s">
        <v>81</v>
      </c>
      <c r="E15" s="3">
        <v>43062</v>
      </c>
      <c r="F15" s="4">
        <v>9789869563062</v>
      </c>
      <c r="G15" s="4"/>
      <c r="H15" s="5"/>
      <c r="I15" s="1">
        <v>400</v>
      </c>
      <c r="J15" s="79">
        <f t="shared" si="0"/>
        <v>312</v>
      </c>
      <c r="K15" s="83"/>
      <c r="L15" s="84">
        <f t="shared" si="1"/>
        <v>0</v>
      </c>
      <c r="M15" s="29" t="s">
        <v>83</v>
      </c>
      <c r="N15" s="33" t="s">
        <v>82</v>
      </c>
      <c r="O15" s="53" t="s">
        <v>76</v>
      </c>
      <c r="P15" s="7"/>
      <c r="Q15" s="17" t="s">
        <v>19</v>
      </c>
      <c r="R15" s="67" t="s">
        <v>79</v>
      </c>
    </row>
    <row r="16" spans="1:19" ht="49.5" hidden="1" x14ac:dyDescent="0.25">
      <c r="A16" s="1">
        <v>12</v>
      </c>
      <c r="B16" s="15" t="s">
        <v>84</v>
      </c>
      <c r="C16" s="15" t="s">
        <v>85</v>
      </c>
      <c r="D16" s="15" t="s">
        <v>86</v>
      </c>
      <c r="E16" s="3">
        <v>43040</v>
      </c>
      <c r="F16" s="4">
        <v>9789869511599</v>
      </c>
      <c r="G16" s="4"/>
      <c r="H16" s="5"/>
      <c r="I16" s="1">
        <v>280</v>
      </c>
      <c r="J16" s="79">
        <f t="shared" si="0"/>
        <v>218.4</v>
      </c>
      <c r="K16" s="83"/>
      <c r="L16" s="84">
        <f t="shared" si="1"/>
        <v>0</v>
      </c>
      <c r="M16" s="29" t="s">
        <v>87</v>
      </c>
      <c r="N16" s="32"/>
      <c r="O16" s="53" t="s">
        <v>76</v>
      </c>
      <c r="P16" s="7"/>
      <c r="Q16" s="17" t="s">
        <v>19</v>
      </c>
      <c r="R16" s="67" t="s">
        <v>88</v>
      </c>
    </row>
    <row r="17" spans="1:21" ht="33" hidden="1" x14ac:dyDescent="0.25">
      <c r="A17" s="1">
        <v>13</v>
      </c>
      <c r="B17" s="15" t="s">
        <v>89</v>
      </c>
      <c r="C17" s="34" t="s">
        <v>91</v>
      </c>
      <c r="D17" s="15" t="s">
        <v>92</v>
      </c>
      <c r="E17" s="3">
        <v>43200</v>
      </c>
      <c r="F17" s="4">
        <v>9789867778178</v>
      </c>
      <c r="G17" s="4"/>
      <c r="H17" s="5"/>
      <c r="I17" s="1">
        <v>600</v>
      </c>
      <c r="J17" s="79">
        <f t="shared" si="0"/>
        <v>468</v>
      </c>
      <c r="K17" s="83"/>
      <c r="L17" s="84">
        <f t="shared" si="1"/>
        <v>0</v>
      </c>
      <c r="M17" s="29" t="s">
        <v>94</v>
      </c>
      <c r="N17" s="25" t="s">
        <v>93</v>
      </c>
      <c r="O17" s="53" t="s">
        <v>76</v>
      </c>
      <c r="P17" s="7"/>
      <c r="Q17" s="17" t="s">
        <v>19</v>
      </c>
      <c r="R17" s="67" t="s">
        <v>90</v>
      </c>
    </row>
    <row r="18" spans="1:21" ht="33" hidden="1" x14ac:dyDescent="0.25">
      <c r="A18" s="1">
        <v>14</v>
      </c>
      <c r="B18" s="15" t="s">
        <v>95</v>
      </c>
      <c r="C18" s="15" t="s">
        <v>99</v>
      </c>
      <c r="D18" s="15" t="s">
        <v>100</v>
      </c>
      <c r="E18" s="3">
        <v>43071</v>
      </c>
      <c r="F18" s="4">
        <v>9789869563109</v>
      </c>
      <c r="G18" s="4"/>
      <c r="H18" s="5"/>
      <c r="I18" s="1">
        <v>320</v>
      </c>
      <c r="J18" s="79">
        <f t="shared" si="0"/>
        <v>249.6</v>
      </c>
      <c r="K18" s="83"/>
      <c r="L18" s="84">
        <f t="shared" si="1"/>
        <v>0</v>
      </c>
      <c r="M18" s="29" t="s">
        <v>98</v>
      </c>
      <c r="N18" s="25" t="s">
        <v>97</v>
      </c>
      <c r="O18" s="53" t="s">
        <v>76</v>
      </c>
      <c r="P18" s="7"/>
      <c r="Q18" s="17" t="s">
        <v>19</v>
      </c>
      <c r="R18" s="67" t="s">
        <v>96</v>
      </c>
    </row>
    <row r="19" spans="1:21" ht="66" hidden="1" x14ac:dyDescent="0.25">
      <c r="A19" s="1">
        <v>15</v>
      </c>
      <c r="B19" s="15" t="s">
        <v>101</v>
      </c>
      <c r="C19" s="15" t="s">
        <v>103</v>
      </c>
      <c r="D19" s="15" t="s">
        <v>104</v>
      </c>
      <c r="E19" s="3">
        <v>43282</v>
      </c>
      <c r="F19" s="4">
        <v>9789861343242</v>
      </c>
      <c r="G19" s="4"/>
      <c r="H19" s="5"/>
      <c r="I19" s="1">
        <v>400</v>
      </c>
      <c r="J19" s="79">
        <f t="shared" si="0"/>
        <v>312</v>
      </c>
      <c r="K19" s="83"/>
      <c r="L19" s="84">
        <f t="shared" si="1"/>
        <v>0</v>
      </c>
      <c r="M19" s="29" t="s">
        <v>106</v>
      </c>
      <c r="N19" s="25" t="s">
        <v>105</v>
      </c>
      <c r="O19" s="53" t="s">
        <v>76</v>
      </c>
      <c r="P19" s="7"/>
      <c r="Q19" s="17" t="s">
        <v>19</v>
      </c>
      <c r="R19" s="67" t="s">
        <v>102</v>
      </c>
    </row>
    <row r="20" spans="1:21" hidden="1" x14ac:dyDescent="0.25">
      <c r="A20" s="1">
        <v>16</v>
      </c>
      <c r="B20" s="40" t="s">
        <v>107</v>
      </c>
      <c r="C20" s="40" t="s">
        <v>108</v>
      </c>
      <c r="D20" s="40" t="s">
        <v>109</v>
      </c>
      <c r="E20" s="41">
        <v>43377</v>
      </c>
      <c r="F20" s="42">
        <v>9789862356951</v>
      </c>
      <c r="G20" s="4"/>
      <c r="H20" s="5"/>
      <c r="I20" s="40">
        <v>360</v>
      </c>
      <c r="J20" s="79">
        <f t="shared" si="0"/>
        <v>280.8</v>
      </c>
      <c r="K20" s="83"/>
      <c r="L20" s="84">
        <f t="shared" si="1"/>
        <v>0</v>
      </c>
      <c r="M20" s="40" t="s">
        <v>74</v>
      </c>
      <c r="N20" s="50"/>
      <c r="O20" s="54" t="s">
        <v>110</v>
      </c>
      <c r="P20" s="50"/>
      <c r="Q20" s="17" t="s">
        <v>19</v>
      </c>
      <c r="R20" s="68">
        <f>HYPERLINK(S20,F20)</f>
        <v>9789862356951</v>
      </c>
      <c r="S20" s="43" t="s">
        <v>111</v>
      </c>
      <c r="T20" s="43" t="s">
        <v>112</v>
      </c>
      <c r="U20" s="44" t="str">
        <f>$T$5&amp;F20</f>
        <v>9789862356951</v>
      </c>
    </row>
    <row r="21" spans="1:21" hidden="1" x14ac:dyDescent="0.25">
      <c r="A21" s="1">
        <v>17</v>
      </c>
      <c r="B21" s="40" t="s">
        <v>113</v>
      </c>
      <c r="C21" s="40" t="s">
        <v>114</v>
      </c>
      <c r="D21" s="40" t="s">
        <v>115</v>
      </c>
      <c r="E21" s="41">
        <v>43377</v>
      </c>
      <c r="F21" s="42">
        <v>9789863445913</v>
      </c>
      <c r="G21" s="4"/>
      <c r="H21" s="5"/>
      <c r="I21" s="40">
        <v>480</v>
      </c>
      <c r="J21" s="79">
        <f t="shared" si="0"/>
        <v>374.4</v>
      </c>
      <c r="K21" s="85"/>
      <c r="L21" s="84">
        <f t="shared" si="1"/>
        <v>0</v>
      </c>
      <c r="M21" s="40" t="s">
        <v>116</v>
      </c>
      <c r="N21" s="50"/>
      <c r="O21" s="54" t="s">
        <v>110</v>
      </c>
      <c r="P21" s="51"/>
      <c r="Q21" s="17" t="s">
        <v>19</v>
      </c>
      <c r="R21" s="68">
        <f t="shared" ref="R21:R79" si="2">HYPERLINK(S21,F21)</f>
        <v>9789863445913</v>
      </c>
      <c r="S21" s="43" t="s">
        <v>117</v>
      </c>
      <c r="T21" s="44"/>
      <c r="U21" s="44" t="str">
        <f t="shared" ref="U21:U79" si="3">$T$5&amp;F21</f>
        <v>9789863445913</v>
      </c>
    </row>
    <row r="22" spans="1:21" hidden="1" x14ac:dyDescent="0.25">
      <c r="A22" s="1">
        <v>18</v>
      </c>
      <c r="B22" s="40" t="s">
        <v>118</v>
      </c>
      <c r="C22" s="40" t="s">
        <v>119</v>
      </c>
      <c r="D22" s="40" t="s">
        <v>109</v>
      </c>
      <c r="E22" s="41">
        <v>43383</v>
      </c>
      <c r="F22" s="42">
        <v>9789862357019</v>
      </c>
      <c r="G22" s="4"/>
      <c r="H22" s="2"/>
      <c r="I22" s="40">
        <v>550</v>
      </c>
      <c r="J22" s="79">
        <f t="shared" si="0"/>
        <v>429</v>
      </c>
      <c r="K22" s="83"/>
      <c r="L22" s="84">
        <f t="shared" si="1"/>
        <v>0</v>
      </c>
      <c r="M22" s="40" t="s">
        <v>120</v>
      </c>
      <c r="N22" s="50"/>
      <c r="O22" s="54" t="s">
        <v>110</v>
      </c>
      <c r="P22" s="51"/>
      <c r="Q22" s="17" t="s">
        <v>19</v>
      </c>
      <c r="R22" s="68">
        <f t="shared" si="2"/>
        <v>9789862357019</v>
      </c>
      <c r="S22" s="43" t="s">
        <v>121</v>
      </c>
      <c r="T22" s="44"/>
      <c r="U22" s="44" t="str">
        <f t="shared" si="3"/>
        <v>9789862357019</v>
      </c>
    </row>
    <row r="23" spans="1:21" hidden="1" x14ac:dyDescent="0.25">
      <c r="A23" s="1">
        <v>19</v>
      </c>
      <c r="B23" s="40" t="s">
        <v>122</v>
      </c>
      <c r="C23" s="40" t="s">
        <v>123</v>
      </c>
      <c r="D23" s="40" t="s">
        <v>124</v>
      </c>
      <c r="E23" s="41">
        <v>43376</v>
      </c>
      <c r="F23" s="42">
        <v>9789869634823</v>
      </c>
      <c r="G23" s="4"/>
      <c r="H23" s="2"/>
      <c r="I23" s="40">
        <v>400</v>
      </c>
      <c r="J23" s="79">
        <f t="shared" si="0"/>
        <v>312</v>
      </c>
      <c r="K23" s="83"/>
      <c r="L23" s="84">
        <f t="shared" si="1"/>
        <v>0</v>
      </c>
      <c r="M23" s="40" t="s">
        <v>125</v>
      </c>
      <c r="N23" s="50"/>
      <c r="O23" s="54" t="s">
        <v>110</v>
      </c>
      <c r="P23" s="47"/>
      <c r="Q23" s="17" t="s">
        <v>19</v>
      </c>
      <c r="R23" s="68">
        <f t="shared" si="2"/>
        <v>9789869634823</v>
      </c>
      <c r="S23" s="45" t="s">
        <v>126</v>
      </c>
      <c r="T23" s="44"/>
      <c r="U23" s="44" t="str">
        <f t="shared" si="3"/>
        <v>9789869634823</v>
      </c>
    </row>
    <row r="24" spans="1:21" hidden="1" x14ac:dyDescent="0.25">
      <c r="A24" s="1">
        <v>20</v>
      </c>
      <c r="B24" s="40" t="s">
        <v>127</v>
      </c>
      <c r="C24" s="40" t="s">
        <v>128</v>
      </c>
      <c r="D24" s="40" t="s">
        <v>129</v>
      </c>
      <c r="E24" s="41">
        <v>43376</v>
      </c>
      <c r="F24" s="42">
        <v>9789869645720</v>
      </c>
      <c r="G24" s="4"/>
      <c r="H24" s="2"/>
      <c r="I24" s="40">
        <v>340</v>
      </c>
      <c r="J24" s="79">
        <f t="shared" si="0"/>
        <v>265.2</v>
      </c>
      <c r="K24" s="83"/>
      <c r="L24" s="84">
        <f t="shared" si="1"/>
        <v>0</v>
      </c>
      <c r="M24" s="40" t="s">
        <v>130</v>
      </c>
      <c r="N24" s="50"/>
      <c r="O24" s="54" t="s">
        <v>110</v>
      </c>
      <c r="P24" s="47"/>
      <c r="Q24" s="17" t="s">
        <v>19</v>
      </c>
      <c r="R24" s="68">
        <f t="shared" si="2"/>
        <v>9789869645720</v>
      </c>
      <c r="S24" s="45" t="s">
        <v>131</v>
      </c>
      <c r="T24" s="44"/>
      <c r="U24" s="44" t="str">
        <f t="shared" si="3"/>
        <v>9789869645720</v>
      </c>
    </row>
    <row r="25" spans="1:21" hidden="1" x14ac:dyDescent="0.25">
      <c r="A25" s="1">
        <v>21</v>
      </c>
      <c r="B25" s="40" t="s">
        <v>132</v>
      </c>
      <c r="C25" s="40" t="s">
        <v>133</v>
      </c>
      <c r="D25" s="40" t="s">
        <v>134</v>
      </c>
      <c r="E25" s="41">
        <v>43372</v>
      </c>
      <c r="F25" s="42">
        <v>9789578759305</v>
      </c>
      <c r="G25" s="4"/>
      <c r="H25" s="5"/>
      <c r="I25" s="40">
        <v>1200</v>
      </c>
      <c r="J25" s="79">
        <f t="shared" si="0"/>
        <v>936</v>
      </c>
      <c r="K25" s="83"/>
      <c r="L25" s="84">
        <f t="shared" si="1"/>
        <v>0</v>
      </c>
      <c r="M25" s="40" t="s">
        <v>116</v>
      </c>
      <c r="N25" s="50"/>
      <c r="O25" s="54" t="s">
        <v>110</v>
      </c>
      <c r="P25" s="47"/>
      <c r="Q25" s="17" t="s">
        <v>19</v>
      </c>
      <c r="R25" s="68">
        <f t="shared" si="2"/>
        <v>9789578759305</v>
      </c>
      <c r="S25" s="45" t="s">
        <v>135</v>
      </c>
      <c r="T25" s="44"/>
      <c r="U25" s="44" t="str">
        <f t="shared" si="3"/>
        <v>9789578759305</v>
      </c>
    </row>
    <row r="26" spans="1:21" hidden="1" x14ac:dyDescent="0.25">
      <c r="A26" s="1">
        <v>22</v>
      </c>
      <c r="B26" s="40" t="s">
        <v>136</v>
      </c>
      <c r="C26" s="40" t="s">
        <v>137</v>
      </c>
      <c r="D26" s="40" t="s">
        <v>115</v>
      </c>
      <c r="E26" s="41">
        <v>43377</v>
      </c>
      <c r="F26" s="42">
        <v>9789863445906</v>
      </c>
      <c r="G26" s="4"/>
      <c r="H26" s="5"/>
      <c r="I26" s="40">
        <v>360</v>
      </c>
      <c r="J26" s="79">
        <f t="shared" si="0"/>
        <v>280.8</v>
      </c>
      <c r="K26" s="83"/>
      <c r="L26" s="84">
        <f t="shared" si="1"/>
        <v>0</v>
      </c>
      <c r="M26" s="40" t="s">
        <v>116</v>
      </c>
      <c r="N26" s="50"/>
      <c r="O26" s="54" t="s">
        <v>110</v>
      </c>
      <c r="P26" s="47"/>
      <c r="Q26" s="17" t="s">
        <v>19</v>
      </c>
      <c r="R26" s="68">
        <f t="shared" si="2"/>
        <v>9789863445906</v>
      </c>
      <c r="S26" s="45" t="s">
        <v>138</v>
      </c>
      <c r="T26" s="44"/>
      <c r="U26" s="44" t="str">
        <f t="shared" si="3"/>
        <v>9789863445906</v>
      </c>
    </row>
    <row r="27" spans="1:21" hidden="1" x14ac:dyDescent="0.25">
      <c r="A27" s="1">
        <v>23</v>
      </c>
      <c r="B27" s="40" t="s">
        <v>139</v>
      </c>
      <c r="C27" s="40" t="s">
        <v>140</v>
      </c>
      <c r="D27" s="40" t="s">
        <v>141</v>
      </c>
      <c r="E27" s="41">
        <v>43393</v>
      </c>
      <c r="F27" s="42">
        <v>9789869539388</v>
      </c>
      <c r="G27" s="4"/>
      <c r="H27" s="5"/>
      <c r="I27" s="40">
        <v>350</v>
      </c>
      <c r="J27" s="79">
        <f t="shared" si="0"/>
        <v>273</v>
      </c>
      <c r="K27" s="83"/>
      <c r="L27" s="84">
        <f t="shared" si="1"/>
        <v>0</v>
      </c>
      <c r="M27" s="40" t="s">
        <v>142</v>
      </c>
      <c r="N27" s="50"/>
      <c r="O27" s="54" t="s">
        <v>110</v>
      </c>
      <c r="P27" s="47"/>
      <c r="Q27" s="17" t="s">
        <v>19</v>
      </c>
      <c r="R27" s="68">
        <f t="shared" si="2"/>
        <v>9789869539388</v>
      </c>
      <c r="S27" s="43" t="s">
        <v>143</v>
      </c>
      <c r="T27" s="44"/>
      <c r="U27" s="44" t="str">
        <f t="shared" si="3"/>
        <v>9789869539388</v>
      </c>
    </row>
    <row r="28" spans="1:21" hidden="1" x14ac:dyDescent="0.25">
      <c r="A28" s="1">
        <v>24</v>
      </c>
      <c r="B28" s="40" t="s">
        <v>144</v>
      </c>
      <c r="C28" s="40" t="s">
        <v>145</v>
      </c>
      <c r="D28" s="40" t="s">
        <v>115</v>
      </c>
      <c r="E28" s="41">
        <v>43372</v>
      </c>
      <c r="F28" s="42">
        <v>9789863445852</v>
      </c>
      <c r="G28" s="46"/>
      <c r="H28" s="46"/>
      <c r="I28" s="40">
        <v>499</v>
      </c>
      <c r="J28" s="79">
        <f t="shared" si="0"/>
        <v>389.22</v>
      </c>
      <c r="K28" s="86"/>
      <c r="L28" s="84">
        <f t="shared" si="1"/>
        <v>0</v>
      </c>
      <c r="M28" s="40" t="s">
        <v>74</v>
      </c>
      <c r="N28" s="50"/>
      <c r="O28" s="54" t="s">
        <v>146</v>
      </c>
      <c r="P28" s="47"/>
      <c r="Q28" s="17" t="s">
        <v>19</v>
      </c>
      <c r="R28" s="68">
        <f t="shared" si="2"/>
        <v>9789863445852</v>
      </c>
      <c r="S28" s="45" t="s">
        <v>147</v>
      </c>
      <c r="T28" s="44"/>
      <c r="U28" s="44" t="str">
        <f t="shared" si="3"/>
        <v>9789863445852</v>
      </c>
    </row>
    <row r="29" spans="1:21" hidden="1" x14ac:dyDescent="0.25">
      <c r="A29" s="1">
        <v>25</v>
      </c>
      <c r="B29" s="40" t="s">
        <v>148</v>
      </c>
      <c r="C29" s="40" t="s">
        <v>149</v>
      </c>
      <c r="D29" s="40" t="s">
        <v>150</v>
      </c>
      <c r="E29" s="41">
        <v>43370</v>
      </c>
      <c r="F29" s="42">
        <v>9789866634871</v>
      </c>
      <c r="G29" s="46"/>
      <c r="H29" s="46"/>
      <c r="I29" s="40">
        <v>650</v>
      </c>
      <c r="J29" s="79">
        <f t="shared" si="0"/>
        <v>507</v>
      </c>
      <c r="K29" s="86"/>
      <c r="L29" s="84">
        <f t="shared" si="1"/>
        <v>0</v>
      </c>
      <c r="M29" s="40" t="s">
        <v>151</v>
      </c>
      <c r="N29" s="50"/>
      <c r="O29" s="54" t="s">
        <v>146</v>
      </c>
      <c r="P29" s="47"/>
      <c r="Q29" s="17" t="s">
        <v>19</v>
      </c>
      <c r="R29" s="68">
        <f t="shared" si="2"/>
        <v>9789866634871</v>
      </c>
      <c r="S29" s="45" t="s">
        <v>152</v>
      </c>
      <c r="T29" s="44"/>
      <c r="U29" s="44" t="str">
        <f t="shared" si="3"/>
        <v>9789866634871</v>
      </c>
    </row>
    <row r="30" spans="1:21" hidden="1" x14ac:dyDescent="0.25">
      <c r="A30" s="1">
        <v>26</v>
      </c>
      <c r="B30" s="40" t="s">
        <v>153</v>
      </c>
      <c r="C30" s="40" t="s">
        <v>154</v>
      </c>
      <c r="D30" s="40" t="s">
        <v>155</v>
      </c>
      <c r="E30" s="41">
        <v>43405</v>
      </c>
      <c r="F30" s="42">
        <v>9789578759398</v>
      </c>
      <c r="G30" s="46"/>
      <c r="H30" s="46"/>
      <c r="I30" s="40">
        <v>360</v>
      </c>
      <c r="J30" s="79">
        <f t="shared" si="0"/>
        <v>280.8</v>
      </c>
      <c r="K30" s="86"/>
      <c r="L30" s="84">
        <f t="shared" si="1"/>
        <v>0</v>
      </c>
      <c r="M30" s="40" t="s">
        <v>156</v>
      </c>
      <c r="N30" s="50"/>
      <c r="O30" s="54" t="s">
        <v>146</v>
      </c>
      <c r="P30" s="47"/>
      <c r="Q30" s="17" t="s">
        <v>19</v>
      </c>
      <c r="R30" s="68">
        <f t="shared" si="2"/>
        <v>9789578759398</v>
      </c>
      <c r="S30" s="45" t="s">
        <v>157</v>
      </c>
      <c r="T30" s="44"/>
      <c r="U30" s="44" t="str">
        <f t="shared" si="3"/>
        <v>9789578759398</v>
      </c>
    </row>
    <row r="31" spans="1:21" hidden="1" x14ac:dyDescent="0.25">
      <c r="A31" s="1">
        <v>27</v>
      </c>
      <c r="B31" s="40" t="s">
        <v>158</v>
      </c>
      <c r="C31" s="40" t="s">
        <v>159</v>
      </c>
      <c r="D31" s="40" t="s">
        <v>160</v>
      </c>
      <c r="E31" s="41">
        <v>43390</v>
      </c>
      <c r="F31" s="42">
        <v>9789578018556</v>
      </c>
      <c r="G31" s="46"/>
      <c r="H31" s="46"/>
      <c r="I31" s="40">
        <v>400</v>
      </c>
      <c r="J31" s="79">
        <f t="shared" si="0"/>
        <v>312</v>
      </c>
      <c r="K31" s="86"/>
      <c r="L31" s="84">
        <f t="shared" si="1"/>
        <v>0</v>
      </c>
      <c r="M31" s="40" t="s">
        <v>74</v>
      </c>
      <c r="N31" s="50"/>
      <c r="O31" s="54" t="s">
        <v>146</v>
      </c>
      <c r="P31" s="47"/>
      <c r="Q31" s="17" t="s">
        <v>19</v>
      </c>
      <c r="R31" s="68">
        <f t="shared" si="2"/>
        <v>9789578018556</v>
      </c>
      <c r="S31" s="45" t="s">
        <v>161</v>
      </c>
      <c r="T31" s="44"/>
      <c r="U31" s="44" t="str">
        <f t="shared" si="3"/>
        <v>9789578018556</v>
      </c>
    </row>
    <row r="32" spans="1:21" hidden="1" x14ac:dyDescent="0.25">
      <c r="A32" s="1">
        <v>28</v>
      </c>
      <c r="B32" s="40" t="s">
        <v>162</v>
      </c>
      <c r="C32" s="40" t="s">
        <v>163</v>
      </c>
      <c r="D32" s="40" t="s">
        <v>164</v>
      </c>
      <c r="E32" s="41">
        <v>43402</v>
      </c>
      <c r="F32" s="42">
        <v>9789868319523</v>
      </c>
      <c r="G32" s="46"/>
      <c r="H32" s="46"/>
      <c r="I32" s="40">
        <v>300</v>
      </c>
      <c r="J32" s="79">
        <f t="shared" si="0"/>
        <v>234</v>
      </c>
      <c r="K32" s="86"/>
      <c r="L32" s="84">
        <f t="shared" si="1"/>
        <v>0</v>
      </c>
      <c r="M32" s="40" t="s">
        <v>142</v>
      </c>
      <c r="N32" s="50"/>
      <c r="O32" s="54" t="s">
        <v>146</v>
      </c>
      <c r="P32" s="47"/>
      <c r="Q32" s="17" t="s">
        <v>19</v>
      </c>
      <c r="R32" s="68">
        <f t="shared" si="2"/>
        <v>9789868319523</v>
      </c>
      <c r="S32" s="45" t="s">
        <v>165</v>
      </c>
      <c r="T32" s="44"/>
      <c r="U32" s="44" t="str">
        <f t="shared" si="3"/>
        <v>9789868319523</v>
      </c>
    </row>
    <row r="33" spans="1:21" hidden="1" x14ac:dyDescent="0.25">
      <c r="A33" s="1">
        <v>29</v>
      </c>
      <c r="B33" s="40" t="s">
        <v>166</v>
      </c>
      <c r="C33" s="40" t="s">
        <v>167</v>
      </c>
      <c r="D33" s="40" t="s">
        <v>23</v>
      </c>
      <c r="E33" s="41">
        <v>43396</v>
      </c>
      <c r="F33" s="42">
        <v>9789571375748</v>
      </c>
      <c r="G33" s="46"/>
      <c r="H33" s="46"/>
      <c r="I33" s="40">
        <v>360</v>
      </c>
      <c r="J33" s="79">
        <f t="shared" si="0"/>
        <v>280.8</v>
      </c>
      <c r="K33" s="86"/>
      <c r="L33" s="84">
        <f t="shared" si="1"/>
        <v>0</v>
      </c>
      <c r="M33" s="40" t="s">
        <v>168</v>
      </c>
      <c r="N33" s="50"/>
      <c r="O33" s="54" t="s">
        <v>146</v>
      </c>
      <c r="P33" s="47"/>
      <c r="Q33" s="17" t="s">
        <v>19</v>
      </c>
      <c r="R33" s="68">
        <f t="shared" si="2"/>
        <v>9789571375748</v>
      </c>
      <c r="S33" s="45" t="s">
        <v>169</v>
      </c>
      <c r="T33" s="44"/>
      <c r="U33" s="44" t="str">
        <f t="shared" si="3"/>
        <v>9789571375748</v>
      </c>
    </row>
    <row r="34" spans="1:21" hidden="1" x14ac:dyDescent="0.25">
      <c r="A34" s="1">
        <v>30</v>
      </c>
      <c r="B34" s="40" t="s">
        <v>170</v>
      </c>
      <c r="C34" s="40" t="s">
        <v>171</v>
      </c>
      <c r="D34" s="40" t="s">
        <v>172</v>
      </c>
      <c r="E34" s="41">
        <v>43397</v>
      </c>
      <c r="F34" s="42">
        <v>9789863843184</v>
      </c>
      <c r="G34" s="46"/>
      <c r="H34" s="46"/>
      <c r="I34" s="40">
        <v>380</v>
      </c>
      <c r="J34" s="79">
        <f t="shared" si="0"/>
        <v>296.39999999999998</v>
      </c>
      <c r="K34" s="86"/>
      <c r="L34" s="84">
        <f t="shared" si="1"/>
        <v>0</v>
      </c>
      <c r="M34" s="40" t="s">
        <v>173</v>
      </c>
      <c r="N34" s="50"/>
      <c r="O34" s="54" t="s">
        <v>146</v>
      </c>
      <c r="P34" s="47"/>
      <c r="Q34" s="17" t="s">
        <v>19</v>
      </c>
      <c r="R34" s="68">
        <f t="shared" si="2"/>
        <v>9789863843184</v>
      </c>
      <c r="S34" s="45" t="s">
        <v>174</v>
      </c>
      <c r="T34" s="44"/>
      <c r="U34" s="44" t="str">
        <f t="shared" si="3"/>
        <v>9789863843184</v>
      </c>
    </row>
    <row r="35" spans="1:21" hidden="1" x14ac:dyDescent="0.25">
      <c r="A35" s="1">
        <v>31</v>
      </c>
      <c r="B35" s="40" t="s">
        <v>175</v>
      </c>
      <c r="C35" s="40" t="s">
        <v>176</v>
      </c>
      <c r="D35" s="40" t="s">
        <v>28</v>
      </c>
      <c r="E35" s="48">
        <v>43437</v>
      </c>
      <c r="F35" s="42">
        <v>9789578787636</v>
      </c>
      <c r="G35" s="46"/>
      <c r="H35" s="46"/>
      <c r="I35" s="40">
        <v>350</v>
      </c>
      <c r="J35" s="79">
        <f t="shared" si="0"/>
        <v>273</v>
      </c>
      <c r="K35" s="86"/>
      <c r="L35" s="84">
        <f t="shared" si="1"/>
        <v>0</v>
      </c>
      <c r="M35" s="49" t="s">
        <v>74</v>
      </c>
      <c r="N35" s="50"/>
      <c r="O35" s="54" t="s">
        <v>146</v>
      </c>
      <c r="P35" s="47"/>
      <c r="Q35" s="17" t="s">
        <v>19</v>
      </c>
      <c r="R35" s="68">
        <f t="shared" si="2"/>
        <v>9789578787636</v>
      </c>
      <c r="S35" s="45" t="s">
        <v>177</v>
      </c>
      <c r="T35" s="44"/>
      <c r="U35" s="44" t="str">
        <f t="shared" si="3"/>
        <v>9789578787636</v>
      </c>
    </row>
    <row r="36" spans="1:21" hidden="1" x14ac:dyDescent="0.25">
      <c r="A36" s="1">
        <v>32</v>
      </c>
      <c r="B36" s="40" t="s">
        <v>178</v>
      </c>
      <c r="C36" s="40" t="s">
        <v>179</v>
      </c>
      <c r="D36" s="40" t="s">
        <v>180</v>
      </c>
      <c r="E36" s="48">
        <v>43341</v>
      </c>
      <c r="F36" s="42">
        <v>9789573283362</v>
      </c>
      <c r="G36" s="46"/>
      <c r="H36" s="46"/>
      <c r="I36" s="40">
        <v>400</v>
      </c>
      <c r="J36" s="79">
        <f t="shared" si="0"/>
        <v>312</v>
      </c>
      <c r="K36" s="86"/>
      <c r="L36" s="84">
        <f t="shared" si="1"/>
        <v>0</v>
      </c>
      <c r="M36" s="40" t="s">
        <v>125</v>
      </c>
      <c r="N36" s="50"/>
      <c r="O36" s="54" t="s">
        <v>181</v>
      </c>
      <c r="P36" s="47"/>
      <c r="Q36" s="17" t="s">
        <v>19</v>
      </c>
      <c r="R36" s="68">
        <f t="shared" si="2"/>
        <v>9789573283362</v>
      </c>
      <c r="S36" s="45" t="s">
        <v>182</v>
      </c>
      <c r="T36" s="44"/>
      <c r="U36" s="44" t="str">
        <f t="shared" si="3"/>
        <v>9789573283362</v>
      </c>
    </row>
    <row r="37" spans="1:21" hidden="1" x14ac:dyDescent="0.25">
      <c r="A37" s="1">
        <v>33</v>
      </c>
      <c r="B37" s="40" t="s">
        <v>183</v>
      </c>
      <c r="C37" s="40" t="s">
        <v>184</v>
      </c>
      <c r="D37" s="40" t="s">
        <v>185</v>
      </c>
      <c r="E37" s="48">
        <v>43352</v>
      </c>
      <c r="F37" s="42">
        <v>9789578018587</v>
      </c>
      <c r="G37" s="46"/>
      <c r="H37" s="46"/>
      <c r="I37" s="40">
        <v>400</v>
      </c>
      <c r="J37" s="79">
        <f t="shared" si="0"/>
        <v>312</v>
      </c>
      <c r="K37" s="86"/>
      <c r="L37" s="84">
        <f t="shared" si="1"/>
        <v>0</v>
      </c>
      <c r="M37" s="40" t="s">
        <v>116</v>
      </c>
      <c r="N37" s="50"/>
      <c r="O37" s="54" t="s">
        <v>181</v>
      </c>
      <c r="P37" s="47"/>
      <c r="Q37" s="17" t="s">
        <v>19</v>
      </c>
      <c r="R37" s="68">
        <f t="shared" si="2"/>
        <v>9789578018587</v>
      </c>
      <c r="S37" s="45" t="s">
        <v>186</v>
      </c>
      <c r="T37" s="44"/>
      <c r="U37" s="44" t="str">
        <f t="shared" si="3"/>
        <v>9789578018587</v>
      </c>
    </row>
    <row r="38" spans="1:21" hidden="1" x14ac:dyDescent="0.25">
      <c r="A38" s="1">
        <v>34</v>
      </c>
      <c r="B38" s="40" t="s">
        <v>187</v>
      </c>
      <c r="C38" s="40" t="s">
        <v>188</v>
      </c>
      <c r="D38" s="40" t="s">
        <v>23</v>
      </c>
      <c r="E38" s="48">
        <v>43417</v>
      </c>
      <c r="F38" s="42">
        <v>9789571375922</v>
      </c>
      <c r="G38" s="46"/>
      <c r="H38" s="46"/>
      <c r="I38" s="40">
        <v>360</v>
      </c>
      <c r="J38" s="79">
        <f t="shared" si="0"/>
        <v>280.8</v>
      </c>
      <c r="K38" s="86"/>
      <c r="L38" s="84">
        <f t="shared" si="1"/>
        <v>0</v>
      </c>
      <c r="M38" s="40" t="s">
        <v>74</v>
      </c>
      <c r="N38" s="50"/>
      <c r="O38" s="54" t="s">
        <v>181</v>
      </c>
      <c r="P38" s="47"/>
      <c r="Q38" s="17" t="s">
        <v>19</v>
      </c>
      <c r="R38" s="68">
        <f t="shared" si="2"/>
        <v>9789571375922</v>
      </c>
      <c r="S38" s="45" t="s">
        <v>189</v>
      </c>
      <c r="T38" s="44"/>
      <c r="U38" s="44" t="str">
        <f t="shared" si="3"/>
        <v>9789571375922</v>
      </c>
    </row>
    <row r="39" spans="1:21" hidden="1" x14ac:dyDescent="0.25">
      <c r="A39" s="1">
        <v>35</v>
      </c>
      <c r="B39" s="40" t="s">
        <v>190</v>
      </c>
      <c r="C39" s="40" t="s">
        <v>191</v>
      </c>
      <c r="D39" s="40" t="s">
        <v>192</v>
      </c>
      <c r="E39" s="48">
        <v>43410</v>
      </c>
      <c r="F39" s="42">
        <v>9789864893126</v>
      </c>
      <c r="G39" s="46"/>
      <c r="H39" s="46"/>
      <c r="I39" s="40">
        <v>380</v>
      </c>
      <c r="J39" s="79">
        <f t="shared" si="0"/>
        <v>296.39999999999998</v>
      </c>
      <c r="K39" s="86"/>
      <c r="L39" s="84">
        <f t="shared" si="1"/>
        <v>0</v>
      </c>
      <c r="M39" s="40" t="s">
        <v>142</v>
      </c>
      <c r="N39" s="50"/>
      <c r="O39" s="54" t="s">
        <v>181</v>
      </c>
      <c r="P39" s="47"/>
      <c r="Q39" s="17" t="s">
        <v>19</v>
      </c>
      <c r="R39" s="68">
        <f t="shared" si="2"/>
        <v>9789864893126</v>
      </c>
      <c r="S39" s="45" t="s">
        <v>193</v>
      </c>
      <c r="T39" s="44"/>
      <c r="U39" s="44" t="str">
        <f t="shared" si="3"/>
        <v>9789864893126</v>
      </c>
    </row>
    <row r="40" spans="1:21" hidden="1" x14ac:dyDescent="0.25">
      <c r="A40" s="1">
        <v>36</v>
      </c>
      <c r="B40" s="40" t="s">
        <v>194</v>
      </c>
      <c r="C40" s="40" t="s">
        <v>195</v>
      </c>
      <c r="D40" s="40" t="s">
        <v>196</v>
      </c>
      <c r="E40" s="48">
        <v>43411</v>
      </c>
      <c r="F40" s="42">
        <v>9789578654402</v>
      </c>
      <c r="G40" s="46"/>
      <c r="H40" s="46"/>
      <c r="I40" s="40">
        <v>460</v>
      </c>
      <c r="J40" s="79">
        <f t="shared" si="0"/>
        <v>358.8</v>
      </c>
      <c r="K40" s="86"/>
      <c r="L40" s="84">
        <f t="shared" si="1"/>
        <v>0</v>
      </c>
      <c r="M40" s="40" t="s">
        <v>168</v>
      </c>
      <c r="N40" s="50"/>
      <c r="O40" s="54" t="s">
        <v>181</v>
      </c>
      <c r="P40" s="47"/>
      <c r="Q40" s="17" t="s">
        <v>19</v>
      </c>
      <c r="R40" s="68">
        <f t="shared" si="2"/>
        <v>9789578654402</v>
      </c>
      <c r="S40" s="45" t="s">
        <v>197</v>
      </c>
      <c r="T40" s="44"/>
      <c r="U40" s="44" t="str">
        <f t="shared" si="3"/>
        <v>9789578654402</v>
      </c>
    </row>
    <row r="41" spans="1:21" hidden="1" x14ac:dyDescent="0.25">
      <c r="A41" s="1">
        <v>37</v>
      </c>
      <c r="B41" s="40" t="s">
        <v>198</v>
      </c>
      <c r="C41" s="40" t="s">
        <v>199</v>
      </c>
      <c r="D41" s="40" t="s">
        <v>200</v>
      </c>
      <c r="E41" s="48">
        <v>43427</v>
      </c>
      <c r="F41" s="42">
        <v>9789869533966</v>
      </c>
      <c r="G41" s="46"/>
      <c r="H41" s="46"/>
      <c r="I41" s="40">
        <v>420</v>
      </c>
      <c r="J41" s="79">
        <f t="shared" si="0"/>
        <v>327.60000000000002</v>
      </c>
      <c r="K41" s="86"/>
      <c r="L41" s="84">
        <f t="shared" si="1"/>
        <v>0</v>
      </c>
      <c r="M41" s="40" t="s">
        <v>120</v>
      </c>
      <c r="N41" s="50"/>
      <c r="O41" s="54" t="s">
        <v>181</v>
      </c>
      <c r="P41" s="47"/>
      <c r="Q41" s="17" t="s">
        <v>19</v>
      </c>
      <c r="R41" s="68">
        <f t="shared" si="2"/>
        <v>9789869533966</v>
      </c>
      <c r="S41" s="45" t="s">
        <v>201</v>
      </c>
      <c r="T41" s="44"/>
      <c r="U41" s="44" t="str">
        <f t="shared" si="3"/>
        <v>9789869533966</v>
      </c>
    </row>
    <row r="42" spans="1:21" hidden="1" x14ac:dyDescent="0.25">
      <c r="A42" s="1">
        <v>38</v>
      </c>
      <c r="B42" s="40" t="s">
        <v>202</v>
      </c>
      <c r="C42" s="40" t="s">
        <v>203</v>
      </c>
      <c r="D42" s="40" t="s">
        <v>204</v>
      </c>
      <c r="E42" s="48">
        <v>43407</v>
      </c>
      <c r="F42" s="42">
        <v>9789864591459</v>
      </c>
      <c r="G42" s="46"/>
      <c r="H42" s="46"/>
      <c r="I42" s="40">
        <v>480</v>
      </c>
      <c r="J42" s="79">
        <f t="shared" si="0"/>
        <v>374.4</v>
      </c>
      <c r="K42" s="86"/>
      <c r="L42" s="84">
        <f t="shared" si="1"/>
        <v>0</v>
      </c>
      <c r="M42" s="40" t="s">
        <v>168</v>
      </c>
      <c r="N42" s="50"/>
      <c r="O42" s="54" t="s">
        <v>181</v>
      </c>
      <c r="P42" s="47"/>
      <c r="Q42" s="17" t="s">
        <v>19</v>
      </c>
      <c r="R42" s="68">
        <f t="shared" si="2"/>
        <v>9789864591459</v>
      </c>
      <c r="S42" s="45" t="s">
        <v>205</v>
      </c>
      <c r="T42" s="44"/>
      <c r="U42" s="44" t="str">
        <f t="shared" si="3"/>
        <v>9789864591459</v>
      </c>
    </row>
    <row r="43" spans="1:21" hidden="1" x14ac:dyDescent="0.25">
      <c r="A43" s="1">
        <v>39</v>
      </c>
      <c r="B43" s="40" t="s">
        <v>206</v>
      </c>
      <c r="C43" s="40" t="s">
        <v>207</v>
      </c>
      <c r="D43" s="40" t="s">
        <v>208</v>
      </c>
      <c r="E43" s="48">
        <v>43399</v>
      </c>
      <c r="F43" s="42">
        <v>9789862139288</v>
      </c>
      <c r="G43" s="46"/>
      <c r="H43" s="46"/>
      <c r="I43" s="40">
        <v>300</v>
      </c>
      <c r="J43" s="79">
        <f t="shared" si="0"/>
        <v>234</v>
      </c>
      <c r="K43" s="86"/>
      <c r="L43" s="84">
        <f t="shared" si="1"/>
        <v>0</v>
      </c>
      <c r="M43" s="40" t="s">
        <v>120</v>
      </c>
      <c r="N43" s="50"/>
      <c r="O43" s="54" t="s">
        <v>181</v>
      </c>
      <c r="P43" s="47"/>
      <c r="Q43" s="17" t="s">
        <v>19</v>
      </c>
      <c r="R43" s="68">
        <f t="shared" si="2"/>
        <v>9789862139288</v>
      </c>
      <c r="S43" s="45" t="s">
        <v>209</v>
      </c>
      <c r="T43" s="44"/>
      <c r="U43" s="44" t="str">
        <f t="shared" si="3"/>
        <v>9789862139288</v>
      </c>
    </row>
    <row r="44" spans="1:21" hidden="1" x14ac:dyDescent="0.25">
      <c r="A44" s="1">
        <v>40</v>
      </c>
      <c r="B44" s="40" t="s">
        <v>210</v>
      </c>
      <c r="C44" s="40" t="s">
        <v>211</v>
      </c>
      <c r="D44" s="40" t="s">
        <v>212</v>
      </c>
      <c r="E44" s="48">
        <v>43430</v>
      </c>
      <c r="F44" s="42">
        <v>9789864061396</v>
      </c>
      <c r="G44" s="46"/>
      <c r="H44" s="46"/>
      <c r="I44" s="40">
        <v>260</v>
      </c>
      <c r="J44" s="79">
        <f t="shared" si="0"/>
        <v>202.8</v>
      </c>
      <c r="K44" s="86"/>
      <c r="L44" s="84">
        <f t="shared" si="1"/>
        <v>0</v>
      </c>
      <c r="M44" s="40" t="s">
        <v>74</v>
      </c>
      <c r="N44" s="50"/>
      <c r="O44" s="54" t="s">
        <v>213</v>
      </c>
      <c r="P44" s="47"/>
      <c r="Q44" s="17" t="s">
        <v>19</v>
      </c>
      <c r="R44" s="68">
        <f>HYPERLINK(S44,F44)</f>
        <v>9789864061396</v>
      </c>
      <c r="S44" s="45" t="s">
        <v>214</v>
      </c>
      <c r="T44" s="44"/>
      <c r="U44" s="44" t="str">
        <f>$T$5&amp;F44</f>
        <v>9789864061396</v>
      </c>
    </row>
    <row r="45" spans="1:21" hidden="1" x14ac:dyDescent="0.25">
      <c r="A45" s="1">
        <v>41</v>
      </c>
      <c r="B45" s="40" t="s">
        <v>215</v>
      </c>
      <c r="C45" s="40" t="s">
        <v>216</v>
      </c>
      <c r="D45" s="40" t="s">
        <v>217</v>
      </c>
      <c r="E45" s="48">
        <v>43405</v>
      </c>
      <c r="F45" s="42">
        <v>9789863445975</v>
      </c>
      <c r="G45" s="46"/>
      <c r="H45" s="46"/>
      <c r="I45" s="40">
        <v>360</v>
      </c>
      <c r="J45" s="79">
        <f t="shared" si="0"/>
        <v>280.8</v>
      </c>
      <c r="K45" s="86"/>
      <c r="L45" s="84">
        <f t="shared" si="1"/>
        <v>0</v>
      </c>
      <c r="M45" s="40" t="s">
        <v>74</v>
      </c>
      <c r="N45" s="50"/>
      <c r="O45" s="54" t="s">
        <v>213</v>
      </c>
      <c r="P45" s="47"/>
      <c r="Q45" s="17" t="s">
        <v>19</v>
      </c>
      <c r="R45" s="68">
        <f>HYPERLINK(S45,F45)</f>
        <v>9789863445975</v>
      </c>
      <c r="S45" s="45" t="s">
        <v>218</v>
      </c>
      <c r="T45" s="44"/>
      <c r="U45" s="44" t="str">
        <f>$T$5&amp;F45</f>
        <v>9789863445975</v>
      </c>
    </row>
    <row r="46" spans="1:21" hidden="1" x14ac:dyDescent="0.25">
      <c r="A46" s="1">
        <v>42</v>
      </c>
      <c r="B46" s="40" t="s">
        <v>219</v>
      </c>
      <c r="C46" s="40" t="s">
        <v>220</v>
      </c>
      <c r="D46" s="40" t="s">
        <v>221</v>
      </c>
      <c r="E46" s="48">
        <v>43374</v>
      </c>
      <c r="F46" s="42">
        <v>9789869465021</v>
      </c>
      <c r="G46" s="46"/>
      <c r="H46" s="46"/>
      <c r="I46" s="40">
        <v>540</v>
      </c>
      <c r="J46" s="79">
        <f t="shared" si="0"/>
        <v>421.2</v>
      </c>
      <c r="K46" s="86"/>
      <c r="L46" s="84">
        <f t="shared" si="1"/>
        <v>0</v>
      </c>
      <c r="M46" s="40" t="s">
        <v>222</v>
      </c>
      <c r="N46" s="50"/>
      <c r="O46" s="54" t="s">
        <v>213</v>
      </c>
      <c r="P46" s="47"/>
      <c r="Q46" s="17" t="s">
        <v>19</v>
      </c>
      <c r="R46" s="69" t="s">
        <v>223</v>
      </c>
      <c r="S46" s="45"/>
      <c r="T46" s="44"/>
      <c r="U46" s="44"/>
    </row>
    <row r="47" spans="1:21" hidden="1" x14ac:dyDescent="0.25">
      <c r="A47" s="1">
        <v>43</v>
      </c>
      <c r="B47" s="40" t="s">
        <v>224</v>
      </c>
      <c r="C47" s="40" t="s">
        <v>225</v>
      </c>
      <c r="D47" s="40" t="s">
        <v>226</v>
      </c>
      <c r="E47" s="48">
        <v>43431</v>
      </c>
      <c r="F47" s="42">
        <v>9789869541473</v>
      </c>
      <c r="G47" s="46"/>
      <c r="H47" s="46"/>
      <c r="I47" s="40">
        <v>420</v>
      </c>
      <c r="J47" s="79">
        <f t="shared" si="0"/>
        <v>327.60000000000002</v>
      </c>
      <c r="K47" s="86"/>
      <c r="L47" s="84">
        <f t="shared" si="1"/>
        <v>0</v>
      </c>
      <c r="M47" s="40" t="s">
        <v>142</v>
      </c>
      <c r="N47" s="50"/>
      <c r="O47" s="54" t="s">
        <v>213</v>
      </c>
      <c r="P47" s="47"/>
      <c r="Q47" s="17" t="s">
        <v>19</v>
      </c>
      <c r="R47" s="68">
        <f t="shared" ref="R47:R59" si="4">HYPERLINK(S47,F47)</f>
        <v>9789869541473</v>
      </c>
      <c r="S47" s="45" t="s">
        <v>227</v>
      </c>
      <c r="T47" s="44"/>
      <c r="U47" s="44" t="str">
        <f t="shared" ref="U47:U59" si="5">$T$5&amp;F47</f>
        <v>9789869541473</v>
      </c>
    </row>
    <row r="48" spans="1:21" hidden="1" x14ac:dyDescent="0.25">
      <c r="A48" s="1">
        <v>44</v>
      </c>
      <c r="B48" s="40" t="s">
        <v>228</v>
      </c>
      <c r="C48" s="40" t="s">
        <v>229</v>
      </c>
      <c r="D48" s="40" t="s">
        <v>23</v>
      </c>
      <c r="E48" s="48">
        <v>43431</v>
      </c>
      <c r="F48" s="42">
        <v>9789571376080</v>
      </c>
      <c r="G48" s="46"/>
      <c r="H48" s="46"/>
      <c r="I48" s="40">
        <v>360</v>
      </c>
      <c r="J48" s="79">
        <f t="shared" si="0"/>
        <v>280.8</v>
      </c>
      <c r="K48" s="86"/>
      <c r="L48" s="84">
        <f t="shared" si="1"/>
        <v>0</v>
      </c>
      <c r="M48" s="40" t="s">
        <v>74</v>
      </c>
      <c r="N48" s="50"/>
      <c r="O48" s="54" t="s">
        <v>213</v>
      </c>
      <c r="P48" s="47"/>
      <c r="Q48" s="17" t="s">
        <v>19</v>
      </c>
      <c r="R48" s="68">
        <f t="shared" si="4"/>
        <v>9789571376080</v>
      </c>
      <c r="S48" s="45" t="s">
        <v>230</v>
      </c>
      <c r="T48" s="44"/>
      <c r="U48" s="44" t="str">
        <f t="shared" si="5"/>
        <v>9789571376080</v>
      </c>
    </row>
    <row r="49" spans="1:21" hidden="1" x14ac:dyDescent="0.25">
      <c r="A49" s="1">
        <v>45</v>
      </c>
      <c r="B49" s="40" t="s">
        <v>231</v>
      </c>
      <c r="C49" s="40" t="s">
        <v>232</v>
      </c>
      <c r="D49" s="40" t="s">
        <v>233</v>
      </c>
      <c r="E49" s="48">
        <v>43425</v>
      </c>
      <c r="F49" s="42">
        <v>9789869645256</v>
      </c>
      <c r="G49" s="46"/>
      <c r="H49" s="46"/>
      <c r="I49" s="40">
        <v>550</v>
      </c>
      <c r="J49" s="79">
        <f t="shared" si="0"/>
        <v>429</v>
      </c>
      <c r="K49" s="86"/>
      <c r="L49" s="84">
        <f t="shared" si="1"/>
        <v>0</v>
      </c>
      <c r="M49" s="40" t="s">
        <v>116</v>
      </c>
      <c r="N49" s="50"/>
      <c r="O49" s="54" t="s">
        <v>213</v>
      </c>
      <c r="P49" s="47"/>
      <c r="Q49" s="17" t="s">
        <v>19</v>
      </c>
      <c r="R49" s="68">
        <f t="shared" si="4"/>
        <v>9789869645256</v>
      </c>
      <c r="S49" s="45" t="s">
        <v>234</v>
      </c>
      <c r="T49" s="44"/>
      <c r="U49" s="44" t="str">
        <f t="shared" si="5"/>
        <v>9789869645256</v>
      </c>
    </row>
    <row r="50" spans="1:21" hidden="1" x14ac:dyDescent="0.25">
      <c r="A50" s="1">
        <v>46</v>
      </c>
      <c r="B50" s="40" t="s">
        <v>235</v>
      </c>
      <c r="C50" s="40" t="s">
        <v>236</v>
      </c>
      <c r="D50" s="40" t="s">
        <v>237</v>
      </c>
      <c r="E50" s="48">
        <v>43285</v>
      </c>
      <c r="F50" s="42">
        <v>9789869620253</v>
      </c>
      <c r="G50" s="46"/>
      <c r="H50" s="46"/>
      <c r="I50" s="40">
        <v>380</v>
      </c>
      <c r="J50" s="79">
        <f t="shared" si="0"/>
        <v>296.39999999999998</v>
      </c>
      <c r="K50" s="86"/>
      <c r="L50" s="84">
        <f t="shared" si="1"/>
        <v>0</v>
      </c>
      <c r="M50" s="40" t="s">
        <v>142</v>
      </c>
      <c r="N50" s="50"/>
      <c r="O50" s="54" t="s">
        <v>213</v>
      </c>
      <c r="P50" s="47"/>
      <c r="Q50" s="17" t="s">
        <v>19</v>
      </c>
      <c r="R50" s="68">
        <f t="shared" si="4"/>
        <v>9789869620253</v>
      </c>
      <c r="S50" s="45" t="s">
        <v>238</v>
      </c>
      <c r="T50" s="44"/>
      <c r="U50" s="44" t="str">
        <f t="shared" si="5"/>
        <v>9789869620253</v>
      </c>
    </row>
    <row r="51" spans="1:21" hidden="1" x14ac:dyDescent="0.25">
      <c r="A51" s="1">
        <v>47</v>
      </c>
      <c r="B51" s="40" t="s">
        <v>239</v>
      </c>
      <c r="C51" s="40" t="s">
        <v>240</v>
      </c>
      <c r="D51" s="40" t="s">
        <v>192</v>
      </c>
      <c r="E51" s="48">
        <v>43410</v>
      </c>
      <c r="F51" s="42">
        <v>9789864893157</v>
      </c>
      <c r="G51" s="46"/>
      <c r="H51" s="46"/>
      <c r="I51" s="40">
        <v>799</v>
      </c>
      <c r="J51" s="79">
        <f t="shared" si="0"/>
        <v>623.22</v>
      </c>
      <c r="K51" s="86"/>
      <c r="L51" s="84">
        <f t="shared" si="1"/>
        <v>0</v>
      </c>
      <c r="M51" s="40" t="s">
        <v>355</v>
      </c>
      <c r="N51" s="50"/>
      <c r="O51" s="54" t="s">
        <v>213</v>
      </c>
      <c r="P51" s="47"/>
      <c r="Q51" s="17" t="s">
        <v>19</v>
      </c>
      <c r="R51" s="68">
        <f t="shared" si="4"/>
        <v>9789864893157</v>
      </c>
      <c r="S51" s="45" t="s">
        <v>241</v>
      </c>
      <c r="T51" s="44"/>
      <c r="U51" s="44" t="str">
        <f t="shared" si="5"/>
        <v>9789864893157</v>
      </c>
    </row>
    <row r="52" spans="1:21" hidden="1" x14ac:dyDescent="0.25">
      <c r="A52" s="1">
        <v>48</v>
      </c>
      <c r="B52" s="40" t="s">
        <v>242</v>
      </c>
      <c r="C52" s="40" t="s">
        <v>243</v>
      </c>
      <c r="D52" s="40" t="s">
        <v>244</v>
      </c>
      <c r="E52" s="48">
        <v>43439</v>
      </c>
      <c r="F52" s="42">
        <v>9789869689250</v>
      </c>
      <c r="G52" s="46"/>
      <c r="H52" s="46"/>
      <c r="I52" s="40">
        <v>380</v>
      </c>
      <c r="J52" s="79">
        <f t="shared" si="0"/>
        <v>296.39999999999998</v>
      </c>
      <c r="K52" s="86"/>
      <c r="L52" s="84">
        <f t="shared" si="1"/>
        <v>0</v>
      </c>
      <c r="M52" s="40" t="s">
        <v>32</v>
      </c>
      <c r="N52" s="50"/>
      <c r="O52" s="54" t="s">
        <v>245</v>
      </c>
      <c r="P52" s="47"/>
      <c r="Q52" s="17" t="s">
        <v>19</v>
      </c>
      <c r="R52" s="68">
        <f t="shared" si="4"/>
        <v>9789869689250</v>
      </c>
      <c r="S52" s="45" t="s">
        <v>246</v>
      </c>
      <c r="T52" s="44"/>
      <c r="U52" s="44" t="str">
        <f t="shared" si="5"/>
        <v>9789869689250</v>
      </c>
    </row>
    <row r="53" spans="1:21" hidden="1" x14ac:dyDescent="0.25">
      <c r="A53" s="1">
        <v>49</v>
      </c>
      <c r="B53" s="40" t="s">
        <v>247</v>
      </c>
      <c r="C53" s="40" t="s">
        <v>248</v>
      </c>
      <c r="D53" s="40" t="s">
        <v>237</v>
      </c>
      <c r="E53" s="48">
        <v>43250</v>
      </c>
      <c r="F53" s="42">
        <v>9789869620215</v>
      </c>
      <c r="G53" s="46"/>
      <c r="H53" s="46"/>
      <c r="I53" s="40">
        <v>460</v>
      </c>
      <c r="J53" s="79">
        <f t="shared" si="0"/>
        <v>358.8</v>
      </c>
      <c r="K53" s="86"/>
      <c r="L53" s="84">
        <f t="shared" si="1"/>
        <v>0</v>
      </c>
      <c r="M53" s="40" t="s">
        <v>142</v>
      </c>
      <c r="N53" s="50"/>
      <c r="O53" s="54" t="s">
        <v>245</v>
      </c>
      <c r="P53" s="47"/>
      <c r="Q53" s="17" t="s">
        <v>19</v>
      </c>
      <c r="R53" s="68">
        <f t="shared" si="4"/>
        <v>9789869620215</v>
      </c>
      <c r="S53" s="45" t="s">
        <v>249</v>
      </c>
      <c r="T53" s="44"/>
      <c r="U53" s="44" t="str">
        <f t="shared" si="5"/>
        <v>9789869620215</v>
      </c>
    </row>
    <row r="54" spans="1:21" hidden="1" x14ac:dyDescent="0.25">
      <c r="A54" s="1">
        <v>50</v>
      </c>
      <c r="B54" s="40" t="s">
        <v>250</v>
      </c>
      <c r="C54" s="40" t="s">
        <v>251</v>
      </c>
      <c r="D54" s="40" t="s">
        <v>252</v>
      </c>
      <c r="E54" s="48">
        <v>43419</v>
      </c>
      <c r="F54" s="42">
        <v>9789867778444</v>
      </c>
      <c r="G54" s="46"/>
      <c r="H54" s="46"/>
      <c r="I54" s="40">
        <v>560</v>
      </c>
      <c r="J54" s="79">
        <f t="shared" si="0"/>
        <v>436.8</v>
      </c>
      <c r="K54" s="86"/>
      <c r="L54" s="84">
        <f t="shared" si="1"/>
        <v>0</v>
      </c>
      <c r="M54" s="40" t="s">
        <v>142</v>
      </c>
      <c r="N54" s="50"/>
      <c r="O54" s="54" t="s">
        <v>245</v>
      </c>
      <c r="P54" s="47"/>
      <c r="Q54" s="17" t="s">
        <v>19</v>
      </c>
      <c r="R54" s="68">
        <f t="shared" si="4"/>
        <v>9789867778444</v>
      </c>
      <c r="S54" s="45" t="s">
        <v>253</v>
      </c>
      <c r="T54" s="44"/>
      <c r="U54" s="44" t="str">
        <f t="shared" si="5"/>
        <v>9789867778444</v>
      </c>
    </row>
    <row r="55" spans="1:21" hidden="1" x14ac:dyDescent="0.25">
      <c r="A55" s="1">
        <v>51</v>
      </c>
      <c r="B55" s="40" t="s">
        <v>254</v>
      </c>
      <c r="C55" s="40" t="s">
        <v>255</v>
      </c>
      <c r="D55" s="40" t="s">
        <v>164</v>
      </c>
      <c r="E55" s="48">
        <v>43432</v>
      </c>
      <c r="F55" s="42">
        <v>9789868319509</v>
      </c>
      <c r="G55" s="46"/>
      <c r="H55" s="46"/>
      <c r="I55" s="40">
        <v>450</v>
      </c>
      <c r="J55" s="79">
        <f t="shared" si="0"/>
        <v>351</v>
      </c>
      <c r="K55" s="86"/>
      <c r="L55" s="84">
        <f t="shared" si="1"/>
        <v>0</v>
      </c>
      <c r="M55" s="40" t="s">
        <v>142</v>
      </c>
      <c r="N55" s="50"/>
      <c r="O55" s="54" t="s">
        <v>245</v>
      </c>
      <c r="P55" s="47"/>
      <c r="Q55" s="17" t="s">
        <v>19</v>
      </c>
      <c r="R55" s="68">
        <f t="shared" si="4"/>
        <v>9789868319509</v>
      </c>
      <c r="S55" s="45" t="s">
        <v>256</v>
      </c>
      <c r="T55" s="44"/>
      <c r="U55" s="44" t="str">
        <f t="shared" si="5"/>
        <v>9789868319509</v>
      </c>
    </row>
    <row r="56" spans="1:21" hidden="1" x14ac:dyDescent="0.25">
      <c r="A56" s="1">
        <v>52</v>
      </c>
      <c r="B56" s="40" t="s">
        <v>257</v>
      </c>
      <c r="C56" s="40" t="s">
        <v>258</v>
      </c>
      <c r="D56" s="40" t="s">
        <v>259</v>
      </c>
      <c r="E56" s="48">
        <v>43446</v>
      </c>
      <c r="F56" s="42">
        <v>9789869706940</v>
      </c>
      <c r="G56" s="46"/>
      <c r="H56" s="46"/>
      <c r="I56" s="40">
        <v>600</v>
      </c>
      <c r="J56" s="79">
        <f t="shared" si="0"/>
        <v>468</v>
      </c>
      <c r="K56" s="86"/>
      <c r="L56" s="84">
        <f t="shared" si="1"/>
        <v>0</v>
      </c>
      <c r="M56" s="40" t="s">
        <v>142</v>
      </c>
      <c r="N56" s="50"/>
      <c r="O56" s="54" t="s">
        <v>245</v>
      </c>
      <c r="P56" s="47"/>
      <c r="Q56" s="17" t="s">
        <v>19</v>
      </c>
      <c r="R56" s="68">
        <f t="shared" si="4"/>
        <v>9789869706940</v>
      </c>
      <c r="S56" s="45" t="s">
        <v>260</v>
      </c>
      <c r="T56" s="44"/>
      <c r="U56" s="44" t="str">
        <f t="shared" si="5"/>
        <v>9789869706940</v>
      </c>
    </row>
    <row r="57" spans="1:21" hidden="1" x14ac:dyDescent="0.25">
      <c r="A57" s="1">
        <v>53</v>
      </c>
      <c r="B57" s="40" t="s">
        <v>261</v>
      </c>
      <c r="C57" s="40" t="s">
        <v>262</v>
      </c>
      <c r="D57" s="40" t="s">
        <v>192</v>
      </c>
      <c r="E57" s="48">
        <v>43405</v>
      </c>
      <c r="F57" s="42">
        <v>9789864893133</v>
      </c>
      <c r="G57" s="46"/>
      <c r="H57" s="46"/>
      <c r="I57" s="40">
        <v>450</v>
      </c>
      <c r="J57" s="79">
        <f t="shared" si="0"/>
        <v>351</v>
      </c>
      <c r="K57" s="86"/>
      <c r="L57" s="84">
        <f t="shared" si="1"/>
        <v>0</v>
      </c>
      <c r="M57" s="40" t="s">
        <v>351</v>
      </c>
      <c r="N57" s="50"/>
      <c r="O57" s="54" t="s">
        <v>245</v>
      </c>
      <c r="P57" s="47"/>
      <c r="Q57" s="17" t="s">
        <v>19</v>
      </c>
      <c r="R57" s="68">
        <f t="shared" si="4"/>
        <v>9789864893133</v>
      </c>
      <c r="S57" s="45" t="s">
        <v>263</v>
      </c>
      <c r="T57" s="44"/>
      <c r="U57" s="44" t="str">
        <f t="shared" si="5"/>
        <v>9789864893133</v>
      </c>
    </row>
    <row r="58" spans="1:21" hidden="1" x14ac:dyDescent="0.25">
      <c r="A58" s="1">
        <v>54</v>
      </c>
      <c r="B58" s="40" t="s">
        <v>264</v>
      </c>
      <c r="C58" s="40" t="s">
        <v>265</v>
      </c>
      <c r="D58" s="40" t="s">
        <v>266</v>
      </c>
      <c r="E58" s="48">
        <v>43411</v>
      </c>
      <c r="F58" s="42">
        <v>9789869706902</v>
      </c>
      <c r="G58" s="46"/>
      <c r="H58" s="46"/>
      <c r="I58" s="40">
        <v>350</v>
      </c>
      <c r="J58" s="79">
        <f t="shared" si="0"/>
        <v>273</v>
      </c>
      <c r="K58" s="86"/>
      <c r="L58" s="84">
        <f t="shared" si="1"/>
        <v>0</v>
      </c>
      <c r="M58" s="40" t="s">
        <v>267</v>
      </c>
      <c r="N58" s="50"/>
      <c r="O58" s="54" t="s">
        <v>245</v>
      </c>
      <c r="P58" s="47"/>
      <c r="Q58" s="17" t="s">
        <v>19</v>
      </c>
      <c r="R58" s="68">
        <f t="shared" si="4"/>
        <v>9789869706902</v>
      </c>
      <c r="S58" s="45" t="s">
        <v>268</v>
      </c>
      <c r="T58" s="44"/>
      <c r="U58" s="44" t="str">
        <f t="shared" si="5"/>
        <v>9789869706902</v>
      </c>
    </row>
    <row r="59" spans="1:21" hidden="1" x14ac:dyDescent="0.25">
      <c r="A59" s="1">
        <v>55</v>
      </c>
      <c r="B59" s="40" t="s">
        <v>269</v>
      </c>
      <c r="C59" s="40" t="s">
        <v>270</v>
      </c>
      <c r="D59" s="40" t="s">
        <v>271</v>
      </c>
      <c r="E59" s="48">
        <v>43417</v>
      </c>
      <c r="F59" s="42">
        <v>9789869622042</v>
      </c>
      <c r="G59" s="46"/>
      <c r="H59" s="46"/>
      <c r="I59" s="40">
        <v>450</v>
      </c>
      <c r="J59" s="79">
        <f t="shared" si="0"/>
        <v>351</v>
      </c>
      <c r="K59" s="86"/>
      <c r="L59" s="84">
        <f t="shared" si="1"/>
        <v>0</v>
      </c>
      <c r="M59" s="40" t="s">
        <v>142</v>
      </c>
      <c r="N59" s="50"/>
      <c r="O59" s="54" t="s">
        <v>346</v>
      </c>
      <c r="P59" s="47"/>
      <c r="Q59" s="17" t="s">
        <v>19</v>
      </c>
      <c r="R59" s="68">
        <f t="shared" si="4"/>
        <v>9789869622042</v>
      </c>
      <c r="S59" s="45" t="s">
        <v>272</v>
      </c>
      <c r="T59" s="44"/>
      <c r="U59" s="44" t="str">
        <f t="shared" si="5"/>
        <v>9789869622042</v>
      </c>
    </row>
    <row r="60" spans="1:21" x14ac:dyDescent="0.25">
      <c r="A60" s="1">
        <v>56</v>
      </c>
      <c r="B60" s="40" t="s">
        <v>273</v>
      </c>
      <c r="C60" s="40" t="s">
        <v>274</v>
      </c>
      <c r="D60" s="40" t="s">
        <v>275</v>
      </c>
      <c r="E60" s="41">
        <v>43397</v>
      </c>
      <c r="F60" s="42">
        <v>9789869629300</v>
      </c>
      <c r="G60" s="4" t="s">
        <v>3443</v>
      </c>
      <c r="H60" s="5"/>
      <c r="I60" s="40">
        <v>350</v>
      </c>
      <c r="J60" s="79">
        <f t="shared" si="0"/>
        <v>273</v>
      </c>
      <c r="K60" s="83">
        <v>1</v>
      </c>
      <c r="L60" s="84">
        <f t="shared" si="1"/>
        <v>273</v>
      </c>
      <c r="M60" s="40" t="s">
        <v>354</v>
      </c>
      <c r="N60" s="50"/>
      <c r="O60" s="54" t="s">
        <v>348</v>
      </c>
      <c r="P60" s="47"/>
      <c r="Q60" s="17" t="s">
        <v>19</v>
      </c>
      <c r="R60" s="68">
        <f t="shared" si="2"/>
        <v>9789869629300</v>
      </c>
      <c r="S60" s="45" t="s">
        <v>276</v>
      </c>
      <c r="T60" s="44"/>
      <c r="U60" s="44" t="str">
        <f t="shared" si="3"/>
        <v>9789869629300</v>
      </c>
    </row>
    <row r="61" spans="1:21" hidden="1" x14ac:dyDescent="0.25">
      <c r="A61" s="1">
        <v>57</v>
      </c>
      <c r="B61" s="40" t="s">
        <v>277</v>
      </c>
      <c r="C61" s="40" t="s">
        <v>278</v>
      </c>
      <c r="D61" s="40" t="s">
        <v>279</v>
      </c>
      <c r="E61" s="41">
        <v>43370</v>
      </c>
      <c r="F61" s="42">
        <v>9789578640542</v>
      </c>
      <c r="G61" s="4"/>
      <c r="H61" s="5"/>
      <c r="I61" s="40">
        <v>300</v>
      </c>
      <c r="J61" s="79">
        <f t="shared" si="0"/>
        <v>234</v>
      </c>
      <c r="K61" s="83"/>
      <c r="L61" s="84">
        <f t="shared" si="1"/>
        <v>0</v>
      </c>
      <c r="M61" s="40" t="s">
        <v>280</v>
      </c>
      <c r="N61" s="50"/>
      <c r="O61" s="54" t="s">
        <v>348</v>
      </c>
      <c r="P61" s="47"/>
      <c r="Q61" s="17" t="s">
        <v>19</v>
      </c>
      <c r="R61" s="68">
        <f t="shared" si="2"/>
        <v>9789578640542</v>
      </c>
      <c r="S61" s="45" t="s">
        <v>281</v>
      </c>
      <c r="T61" s="44"/>
      <c r="U61" s="44" t="str">
        <f t="shared" si="3"/>
        <v>9789578640542</v>
      </c>
    </row>
    <row r="62" spans="1:21" hidden="1" x14ac:dyDescent="0.25">
      <c r="A62" s="1">
        <v>58</v>
      </c>
      <c r="B62" s="40" t="s">
        <v>282</v>
      </c>
      <c r="C62" s="40" t="s">
        <v>283</v>
      </c>
      <c r="D62" s="40" t="s">
        <v>284</v>
      </c>
      <c r="E62" s="41">
        <v>43344</v>
      </c>
      <c r="F62" s="42">
        <v>9789862037706</v>
      </c>
      <c r="G62" s="4"/>
      <c r="H62" s="5"/>
      <c r="I62" s="40">
        <v>360</v>
      </c>
      <c r="J62" s="79">
        <f t="shared" si="0"/>
        <v>280.8</v>
      </c>
      <c r="K62" s="83"/>
      <c r="L62" s="84">
        <f t="shared" si="1"/>
        <v>0</v>
      </c>
      <c r="M62" s="40" t="s">
        <v>353</v>
      </c>
      <c r="N62" s="50"/>
      <c r="O62" s="54" t="s">
        <v>347</v>
      </c>
      <c r="P62" s="47"/>
      <c r="Q62" s="17" t="s">
        <v>19</v>
      </c>
      <c r="R62" s="68">
        <f t="shared" si="2"/>
        <v>9789862037706</v>
      </c>
      <c r="S62" s="45" t="s">
        <v>285</v>
      </c>
      <c r="T62" s="44"/>
      <c r="U62" s="44" t="str">
        <f t="shared" si="3"/>
        <v>9789862037706</v>
      </c>
    </row>
    <row r="63" spans="1:21" x14ac:dyDescent="0.25">
      <c r="A63" s="1">
        <v>59</v>
      </c>
      <c r="B63" s="40" t="s">
        <v>286</v>
      </c>
      <c r="C63" s="40" t="s">
        <v>287</v>
      </c>
      <c r="D63" s="40" t="s">
        <v>288</v>
      </c>
      <c r="E63" s="41">
        <v>43353</v>
      </c>
      <c r="F63" s="42">
        <v>9789577518217</v>
      </c>
      <c r="G63" s="4" t="s">
        <v>3443</v>
      </c>
      <c r="H63" s="5"/>
      <c r="I63" s="40">
        <v>280</v>
      </c>
      <c r="J63" s="79">
        <f t="shared" si="0"/>
        <v>218.4</v>
      </c>
      <c r="K63" s="83">
        <v>1</v>
      </c>
      <c r="L63" s="84">
        <f t="shared" si="1"/>
        <v>218.4</v>
      </c>
      <c r="M63" s="40" t="s">
        <v>289</v>
      </c>
      <c r="N63" s="50"/>
      <c r="O63" s="54" t="s">
        <v>347</v>
      </c>
      <c r="P63" s="47"/>
      <c r="Q63" s="17" t="s">
        <v>19</v>
      </c>
      <c r="R63" s="68">
        <f t="shared" si="2"/>
        <v>9789577518217</v>
      </c>
      <c r="S63" s="45" t="s">
        <v>290</v>
      </c>
      <c r="T63" s="44"/>
      <c r="U63" s="44" t="str">
        <f t="shared" si="3"/>
        <v>9789577518217</v>
      </c>
    </row>
    <row r="64" spans="1:21" x14ac:dyDescent="0.25">
      <c r="A64" s="1">
        <v>60</v>
      </c>
      <c r="B64" s="40" t="s">
        <v>291</v>
      </c>
      <c r="C64" s="40" t="s">
        <v>292</v>
      </c>
      <c r="D64" s="40" t="s">
        <v>293</v>
      </c>
      <c r="E64" s="41">
        <v>43105</v>
      </c>
      <c r="F64" s="42">
        <v>9789869501439</v>
      </c>
      <c r="G64" s="4" t="s">
        <v>3443</v>
      </c>
      <c r="H64" s="5"/>
      <c r="I64" s="40">
        <v>320</v>
      </c>
      <c r="J64" s="79">
        <f t="shared" si="0"/>
        <v>249.6</v>
      </c>
      <c r="K64" s="83">
        <v>1</v>
      </c>
      <c r="L64" s="84">
        <f t="shared" si="1"/>
        <v>249.6</v>
      </c>
      <c r="M64" s="40" t="s">
        <v>354</v>
      </c>
      <c r="N64" s="50"/>
      <c r="O64" s="54" t="s">
        <v>347</v>
      </c>
      <c r="P64" s="47"/>
      <c r="Q64" s="17" t="s">
        <v>19</v>
      </c>
      <c r="R64" s="68">
        <f t="shared" si="2"/>
        <v>9789869501439</v>
      </c>
      <c r="S64" s="45" t="s">
        <v>294</v>
      </c>
      <c r="T64" s="44"/>
      <c r="U64" s="44" t="str">
        <f t="shared" si="3"/>
        <v>9789869501439</v>
      </c>
    </row>
    <row r="65" spans="1:21" x14ac:dyDescent="0.25">
      <c r="A65" s="1">
        <v>61</v>
      </c>
      <c r="B65" s="40" t="s">
        <v>295</v>
      </c>
      <c r="C65" s="40" t="s">
        <v>296</v>
      </c>
      <c r="D65" s="40" t="s">
        <v>297</v>
      </c>
      <c r="E65" s="41">
        <v>43375</v>
      </c>
      <c r="F65" s="42">
        <v>9789577626479</v>
      </c>
      <c r="G65" s="4" t="s">
        <v>3443</v>
      </c>
      <c r="H65" s="5"/>
      <c r="I65" s="40">
        <v>280</v>
      </c>
      <c r="J65" s="79">
        <f t="shared" si="0"/>
        <v>218.4</v>
      </c>
      <c r="K65" s="83">
        <v>1</v>
      </c>
      <c r="L65" s="84">
        <f t="shared" si="1"/>
        <v>218.4</v>
      </c>
      <c r="M65" s="40" t="s">
        <v>354</v>
      </c>
      <c r="N65" s="50"/>
      <c r="O65" s="54" t="s">
        <v>347</v>
      </c>
      <c r="P65" s="47"/>
      <c r="Q65" s="17" t="s">
        <v>19</v>
      </c>
      <c r="R65" s="68">
        <f t="shared" si="2"/>
        <v>9789577626479</v>
      </c>
      <c r="S65" s="45" t="s">
        <v>298</v>
      </c>
      <c r="T65" s="44"/>
      <c r="U65" s="44" t="str">
        <f t="shared" si="3"/>
        <v>9789577626479</v>
      </c>
    </row>
    <row r="66" spans="1:21" x14ac:dyDescent="0.25">
      <c r="A66" s="1">
        <v>62</v>
      </c>
      <c r="B66" s="40" t="s">
        <v>299</v>
      </c>
      <c r="C66" s="40" t="s">
        <v>296</v>
      </c>
      <c r="D66" s="40" t="s">
        <v>297</v>
      </c>
      <c r="E66" s="41">
        <v>43376</v>
      </c>
      <c r="F66" s="42">
        <v>9789577626486</v>
      </c>
      <c r="G66" s="4" t="s">
        <v>3443</v>
      </c>
      <c r="H66" s="5"/>
      <c r="I66" s="40">
        <v>280</v>
      </c>
      <c r="J66" s="79">
        <f t="shared" si="0"/>
        <v>218.4</v>
      </c>
      <c r="K66" s="83">
        <v>1</v>
      </c>
      <c r="L66" s="84">
        <f t="shared" si="1"/>
        <v>218.4</v>
      </c>
      <c r="M66" s="40" t="s">
        <v>354</v>
      </c>
      <c r="N66" s="50"/>
      <c r="O66" s="54" t="s">
        <v>347</v>
      </c>
      <c r="P66" s="47"/>
      <c r="Q66" s="17" t="s">
        <v>19</v>
      </c>
      <c r="R66" s="68">
        <f t="shared" si="2"/>
        <v>9789577626486</v>
      </c>
      <c r="S66" s="45" t="s">
        <v>300</v>
      </c>
      <c r="T66" s="44"/>
      <c r="U66" s="44" t="str">
        <f t="shared" si="3"/>
        <v>9789577626486</v>
      </c>
    </row>
    <row r="67" spans="1:21" x14ac:dyDescent="0.25">
      <c r="A67" s="1">
        <v>63</v>
      </c>
      <c r="B67" s="40" t="s">
        <v>301</v>
      </c>
      <c r="C67" s="40" t="s">
        <v>302</v>
      </c>
      <c r="D67" s="40" t="s">
        <v>297</v>
      </c>
      <c r="E67" s="41">
        <v>43374</v>
      </c>
      <c r="F67" s="42">
        <v>9789577626431</v>
      </c>
      <c r="G67" s="4" t="s">
        <v>3443</v>
      </c>
      <c r="H67" s="5"/>
      <c r="I67" s="40">
        <v>280</v>
      </c>
      <c r="J67" s="79">
        <f t="shared" si="0"/>
        <v>218.4</v>
      </c>
      <c r="K67" s="85">
        <v>1</v>
      </c>
      <c r="L67" s="84">
        <f t="shared" si="1"/>
        <v>218.4</v>
      </c>
      <c r="M67" s="40" t="s">
        <v>354</v>
      </c>
      <c r="N67" s="50"/>
      <c r="O67" s="54" t="s">
        <v>347</v>
      </c>
      <c r="P67" s="47"/>
      <c r="Q67" s="17" t="s">
        <v>19</v>
      </c>
      <c r="R67" s="68">
        <f t="shared" si="2"/>
        <v>9789577626431</v>
      </c>
      <c r="S67" s="45" t="s">
        <v>303</v>
      </c>
      <c r="T67" s="44"/>
      <c r="U67" s="44" t="str">
        <f t="shared" si="3"/>
        <v>9789577626431</v>
      </c>
    </row>
    <row r="68" spans="1:21" x14ac:dyDescent="0.25">
      <c r="A68" s="1">
        <v>64</v>
      </c>
      <c r="B68" s="40" t="s">
        <v>304</v>
      </c>
      <c r="C68" s="40" t="s">
        <v>305</v>
      </c>
      <c r="D68" s="40" t="s">
        <v>293</v>
      </c>
      <c r="E68" s="41">
        <v>43353</v>
      </c>
      <c r="F68" s="42">
        <v>9789869501484</v>
      </c>
      <c r="G68" s="4" t="s">
        <v>3444</v>
      </c>
      <c r="H68" s="46"/>
      <c r="I68" s="40">
        <v>330</v>
      </c>
      <c r="J68" s="79">
        <f t="shared" si="0"/>
        <v>257.39999999999998</v>
      </c>
      <c r="K68" s="85">
        <v>1</v>
      </c>
      <c r="L68" s="84">
        <f t="shared" si="1"/>
        <v>257.39999999999998</v>
      </c>
      <c r="M68" s="40" t="s">
        <v>354</v>
      </c>
      <c r="N68" s="50"/>
      <c r="O68" s="54" t="s">
        <v>347</v>
      </c>
      <c r="P68" s="47"/>
      <c r="Q68" s="17" t="s">
        <v>19</v>
      </c>
      <c r="R68" s="68">
        <f t="shared" si="2"/>
        <v>9789869501484</v>
      </c>
      <c r="S68" s="45" t="s">
        <v>306</v>
      </c>
      <c r="T68" s="44"/>
      <c r="U68" s="44" t="str">
        <f t="shared" si="3"/>
        <v>9789869501484</v>
      </c>
    </row>
    <row r="69" spans="1:21" x14ac:dyDescent="0.25">
      <c r="A69" s="1">
        <v>65</v>
      </c>
      <c r="B69" s="40" t="s">
        <v>307</v>
      </c>
      <c r="C69" s="40" t="s">
        <v>308</v>
      </c>
      <c r="D69" s="40" t="s">
        <v>279</v>
      </c>
      <c r="E69" s="41">
        <v>43383</v>
      </c>
      <c r="F69" s="42">
        <v>9789578640573</v>
      </c>
      <c r="G69" s="4" t="s">
        <v>3444</v>
      </c>
      <c r="H69" s="46"/>
      <c r="I69" s="40">
        <v>350</v>
      </c>
      <c r="J69" s="79">
        <f t="shared" si="0"/>
        <v>273</v>
      </c>
      <c r="K69" s="85">
        <v>1</v>
      </c>
      <c r="L69" s="84">
        <f t="shared" si="1"/>
        <v>273</v>
      </c>
      <c r="M69" s="40" t="s">
        <v>354</v>
      </c>
      <c r="N69" s="50"/>
      <c r="O69" s="54" t="s">
        <v>347</v>
      </c>
      <c r="P69" s="47"/>
      <c r="Q69" s="17" t="s">
        <v>19</v>
      </c>
      <c r="R69" s="68">
        <f t="shared" si="2"/>
        <v>9789578640573</v>
      </c>
      <c r="S69" s="45" t="s">
        <v>309</v>
      </c>
      <c r="T69" s="44"/>
      <c r="U69" s="44" t="str">
        <f t="shared" si="3"/>
        <v>9789578640573</v>
      </c>
    </row>
    <row r="70" spans="1:21" x14ac:dyDescent="0.25">
      <c r="A70" s="1">
        <v>66</v>
      </c>
      <c r="B70" s="40" t="s">
        <v>310</v>
      </c>
      <c r="C70" s="40" t="s">
        <v>311</v>
      </c>
      <c r="D70" s="40" t="s">
        <v>312</v>
      </c>
      <c r="E70" s="48">
        <v>43339</v>
      </c>
      <c r="F70" s="42">
        <v>9789861898650</v>
      </c>
      <c r="G70" s="4" t="s">
        <v>3443</v>
      </c>
      <c r="H70" s="46"/>
      <c r="I70" s="40">
        <v>260</v>
      </c>
      <c r="J70" s="79">
        <f t="shared" ref="J70:J133" si="6">ROUND(I70*0.78,2)</f>
        <v>202.8</v>
      </c>
      <c r="K70" s="85">
        <v>1</v>
      </c>
      <c r="L70" s="84">
        <f t="shared" ref="L70:L133" si="7">K70*J70</f>
        <v>202.8</v>
      </c>
      <c r="M70" s="49" t="s">
        <v>354</v>
      </c>
      <c r="N70" s="50"/>
      <c r="O70" s="54" t="s">
        <v>350</v>
      </c>
      <c r="P70" s="47"/>
      <c r="Q70" s="17" t="s">
        <v>19</v>
      </c>
      <c r="R70" s="68">
        <f t="shared" si="2"/>
        <v>9789861898650</v>
      </c>
      <c r="S70" s="45" t="s">
        <v>313</v>
      </c>
      <c r="T70" s="44"/>
      <c r="U70" s="44" t="str">
        <f t="shared" si="3"/>
        <v>9789861898650</v>
      </c>
    </row>
    <row r="71" spans="1:21" x14ac:dyDescent="0.25">
      <c r="A71" s="1">
        <v>67</v>
      </c>
      <c r="B71" s="40" t="s">
        <v>314</v>
      </c>
      <c r="C71" s="40" t="s">
        <v>315</v>
      </c>
      <c r="D71" s="40" t="s">
        <v>316</v>
      </c>
      <c r="E71" s="48">
        <v>43200</v>
      </c>
      <c r="F71" s="42">
        <v>9789862927281</v>
      </c>
      <c r="G71" s="4" t="s">
        <v>3444</v>
      </c>
      <c r="H71" s="46"/>
      <c r="I71" s="40">
        <v>1200</v>
      </c>
      <c r="J71" s="79">
        <f t="shared" si="6"/>
        <v>936</v>
      </c>
      <c r="K71" s="85">
        <v>1</v>
      </c>
      <c r="L71" s="84">
        <f t="shared" si="7"/>
        <v>936</v>
      </c>
      <c r="M71" s="49" t="s">
        <v>354</v>
      </c>
      <c r="N71" s="50"/>
      <c r="O71" s="54" t="s">
        <v>350</v>
      </c>
      <c r="P71" s="47"/>
      <c r="Q71" s="17" t="s">
        <v>19</v>
      </c>
      <c r="R71" s="68">
        <f t="shared" si="2"/>
        <v>9789862927281</v>
      </c>
      <c r="S71" s="45" t="s">
        <v>317</v>
      </c>
      <c r="T71" s="44"/>
      <c r="U71" s="44" t="str">
        <f t="shared" si="3"/>
        <v>9789862927281</v>
      </c>
    </row>
    <row r="72" spans="1:21" x14ac:dyDescent="0.25">
      <c r="A72" s="1">
        <v>68</v>
      </c>
      <c r="B72" s="40" t="s">
        <v>318</v>
      </c>
      <c r="C72" s="40" t="s">
        <v>315</v>
      </c>
      <c r="D72" s="40" t="s">
        <v>316</v>
      </c>
      <c r="E72" s="48">
        <v>43087</v>
      </c>
      <c r="F72" s="42">
        <v>9789862926512</v>
      </c>
      <c r="G72" s="4" t="s">
        <v>3444</v>
      </c>
      <c r="H72" s="46"/>
      <c r="I72" s="40">
        <v>1200</v>
      </c>
      <c r="J72" s="79">
        <f t="shared" si="6"/>
        <v>936</v>
      </c>
      <c r="K72" s="85">
        <v>1</v>
      </c>
      <c r="L72" s="84">
        <f t="shared" si="7"/>
        <v>936</v>
      </c>
      <c r="M72" s="49" t="s">
        <v>354</v>
      </c>
      <c r="N72" s="50"/>
      <c r="O72" s="54" t="s">
        <v>349</v>
      </c>
      <c r="P72" s="47"/>
      <c r="Q72" s="17" t="s">
        <v>19</v>
      </c>
      <c r="R72" s="68">
        <f t="shared" si="2"/>
        <v>9789862926512</v>
      </c>
      <c r="S72" s="45" t="s">
        <v>319</v>
      </c>
      <c r="T72" s="44"/>
      <c r="U72" s="44" t="str">
        <f t="shared" si="3"/>
        <v>9789862926512</v>
      </c>
    </row>
    <row r="73" spans="1:21" hidden="1" x14ac:dyDescent="0.25">
      <c r="A73" s="1">
        <v>69</v>
      </c>
      <c r="B73" s="40" t="s">
        <v>320</v>
      </c>
      <c r="C73" s="40" t="s">
        <v>321</v>
      </c>
      <c r="D73" s="40" t="s">
        <v>322</v>
      </c>
      <c r="E73" s="48">
        <v>43344</v>
      </c>
      <c r="F73" s="42">
        <v>9789864402571</v>
      </c>
      <c r="G73" s="46"/>
      <c r="H73" s="46"/>
      <c r="I73" s="40">
        <v>300</v>
      </c>
      <c r="J73" s="79">
        <f t="shared" si="6"/>
        <v>234</v>
      </c>
      <c r="K73" s="86"/>
      <c r="L73" s="84">
        <f t="shared" si="7"/>
        <v>0</v>
      </c>
      <c r="M73" s="49" t="s">
        <v>323</v>
      </c>
      <c r="N73" s="50"/>
      <c r="O73" s="54" t="s">
        <v>349</v>
      </c>
      <c r="P73" s="47"/>
      <c r="Q73" s="17" t="s">
        <v>19</v>
      </c>
      <c r="R73" s="68">
        <f t="shared" si="2"/>
        <v>9789864402571</v>
      </c>
      <c r="S73" s="45" t="s">
        <v>324</v>
      </c>
      <c r="T73" s="44"/>
      <c r="U73" s="44" t="str">
        <f t="shared" si="3"/>
        <v>9789864402571</v>
      </c>
    </row>
    <row r="74" spans="1:21" x14ac:dyDescent="0.25">
      <c r="A74" s="1">
        <v>70</v>
      </c>
      <c r="B74" s="40" t="s">
        <v>325</v>
      </c>
      <c r="C74" s="40" t="s">
        <v>326</v>
      </c>
      <c r="D74" s="40" t="s">
        <v>327</v>
      </c>
      <c r="E74" s="48">
        <v>43353</v>
      </c>
      <c r="F74" s="42">
        <v>9789862927298</v>
      </c>
      <c r="G74" s="4" t="s">
        <v>3443</v>
      </c>
      <c r="H74" s="46"/>
      <c r="I74" s="40">
        <v>500</v>
      </c>
      <c r="J74" s="79">
        <f t="shared" si="6"/>
        <v>390</v>
      </c>
      <c r="K74" s="85">
        <v>1</v>
      </c>
      <c r="L74" s="84">
        <f t="shared" si="7"/>
        <v>390</v>
      </c>
      <c r="M74" s="49" t="s">
        <v>354</v>
      </c>
      <c r="N74" s="50"/>
      <c r="O74" s="54" t="s">
        <v>349</v>
      </c>
      <c r="P74" s="47"/>
      <c r="Q74" s="17" t="s">
        <v>19</v>
      </c>
      <c r="R74" s="68">
        <f t="shared" si="2"/>
        <v>9789862927298</v>
      </c>
      <c r="S74" s="45" t="s">
        <v>328</v>
      </c>
      <c r="T74" s="44"/>
      <c r="U74" s="44" t="str">
        <f t="shared" si="3"/>
        <v>9789862927298</v>
      </c>
    </row>
    <row r="75" spans="1:21" x14ac:dyDescent="0.25">
      <c r="A75" s="1">
        <v>71</v>
      </c>
      <c r="B75" s="40" t="s">
        <v>329</v>
      </c>
      <c r="C75" s="40" t="s">
        <v>330</v>
      </c>
      <c r="D75" s="40" t="s">
        <v>331</v>
      </c>
      <c r="E75" s="48">
        <v>43187</v>
      </c>
      <c r="F75" s="42">
        <v>9789862743713</v>
      </c>
      <c r="G75" s="4" t="s">
        <v>3443</v>
      </c>
      <c r="H75" s="46"/>
      <c r="I75" s="40">
        <v>280</v>
      </c>
      <c r="J75" s="79">
        <f t="shared" si="6"/>
        <v>218.4</v>
      </c>
      <c r="K75" s="85">
        <v>1</v>
      </c>
      <c r="L75" s="84">
        <f t="shared" si="7"/>
        <v>218.4</v>
      </c>
      <c r="M75" s="49" t="s">
        <v>354</v>
      </c>
      <c r="N75" s="50"/>
      <c r="O75" s="54" t="s">
        <v>349</v>
      </c>
      <c r="P75" s="47"/>
      <c r="Q75" s="17" t="s">
        <v>19</v>
      </c>
      <c r="R75" s="68">
        <f t="shared" si="2"/>
        <v>9789862743713</v>
      </c>
      <c r="S75" s="45" t="s">
        <v>332</v>
      </c>
      <c r="T75" s="44"/>
      <c r="U75" s="44" t="str">
        <f t="shared" si="3"/>
        <v>9789862743713</v>
      </c>
    </row>
    <row r="76" spans="1:21" x14ac:dyDescent="0.25">
      <c r="A76" s="1">
        <v>72</v>
      </c>
      <c r="B76" s="40" t="s">
        <v>333</v>
      </c>
      <c r="C76" s="40" t="s">
        <v>334</v>
      </c>
      <c r="D76" s="40" t="s">
        <v>312</v>
      </c>
      <c r="E76" s="48">
        <v>43339</v>
      </c>
      <c r="F76" s="42">
        <v>9789861898483</v>
      </c>
      <c r="G76" s="4" t="s">
        <v>3443</v>
      </c>
      <c r="H76" s="46"/>
      <c r="I76" s="40">
        <v>280</v>
      </c>
      <c r="J76" s="79">
        <f t="shared" si="6"/>
        <v>218.4</v>
      </c>
      <c r="K76" s="85">
        <v>1</v>
      </c>
      <c r="L76" s="84">
        <f t="shared" si="7"/>
        <v>218.4</v>
      </c>
      <c r="M76" s="49" t="s">
        <v>354</v>
      </c>
      <c r="N76" s="50"/>
      <c r="O76" s="54" t="s">
        <v>349</v>
      </c>
      <c r="P76" s="47"/>
      <c r="Q76" s="17" t="s">
        <v>19</v>
      </c>
      <c r="R76" s="68">
        <f t="shared" si="2"/>
        <v>9789861898483</v>
      </c>
      <c r="S76" s="45" t="s">
        <v>335</v>
      </c>
      <c r="T76" s="44"/>
      <c r="U76" s="44" t="str">
        <f t="shared" si="3"/>
        <v>9789861898483</v>
      </c>
    </row>
    <row r="77" spans="1:21" x14ac:dyDescent="0.25">
      <c r="A77" s="1">
        <v>73</v>
      </c>
      <c r="B77" s="40" t="s">
        <v>336</v>
      </c>
      <c r="C77" s="40" t="s">
        <v>337</v>
      </c>
      <c r="D77" s="40" t="s">
        <v>338</v>
      </c>
      <c r="E77" s="48">
        <v>43377</v>
      </c>
      <c r="F77" s="42">
        <v>9789573283737</v>
      </c>
      <c r="G77" s="4" t="s">
        <v>3443</v>
      </c>
      <c r="H77" s="46"/>
      <c r="I77" s="40">
        <v>380</v>
      </c>
      <c r="J77" s="79">
        <f t="shared" si="6"/>
        <v>296.39999999999998</v>
      </c>
      <c r="K77" s="85">
        <v>1</v>
      </c>
      <c r="L77" s="84">
        <f t="shared" si="7"/>
        <v>296.39999999999998</v>
      </c>
      <c r="M77" s="49" t="s">
        <v>354</v>
      </c>
      <c r="N77" s="50"/>
      <c r="O77" s="54" t="s">
        <v>349</v>
      </c>
      <c r="P77" s="47"/>
      <c r="Q77" s="17" t="s">
        <v>19</v>
      </c>
      <c r="R77" s="68">
        <f t="shared" si="2"/>
        <v>9789573283737</v>
      </c>
      <c r="S77" s="45" t="s">
        <v>339</v>
      </c>
      <c r="T77" s="44"/>
      <c r="U77" s="44" t="str">
        <f t="shared" si="3"/>
        <v>9789573283737</v>
      </c>
    </row>
    <row r="78" spans="1:21" x14ac:dyDescent="0.25">
      <c r="A78" s="1">
        <v>74</v>
      </c>
      <c r="B78" s="40" t="s">
        <v>340</v>
      </c>
      <c r="C78" s="40" t="s">
        <v>341</v>
      </c>
      <c r="D78" s="40" t="s">
        <v>312</v>
      </c>
      <c r="E78" s="48">
        <v>43344</v>
      </c>
      <c r="F78" s="42">
        <v>9789861898612</v>
      </c>
      <c r="G78" s="4" t="s">
        <v>3443</v>
      </c>
      <c r="H78" s="46"/>
      <c r="I78" s="40">
        <v>350</v>
      </c>
      <c r="J78" s="79">
        <f t="shared" si="6"/>
        <v>273</v>
      </c>
      <c r="K78" s="85">
        <v>1</v>
      </c>
      <c r="L78" s="84">
        <f t="shared" si="7"/>
        <v>273</v>
      </c>
      <c r="M78" s="49" t="s">
        <v>354</v>
      </c>
      <c r="N78" s="50"/>
      <c r="O78" s="54" t="s">
        <v>349</v>
      </c>
      <c r="P78" s="47"/>
      <c r="Q78" s="17" t="s">
        <v>19</v>
      </c>
      <c r="R78" s="68">
        <f t="shared" si="2"/>
        <v>9789861898612</v>
      </c>
      <c r="S78" s="45" t="s">
        <v>342</v>
      </c>
      <c r="T78" s="44"/>
      <c r="U78" s="44" t="str">
        <f t="shared" si="3"/>
        <v>9789861898612</v>
      </c>
    </row>
    <row r="79" spans="1:21" hidden="1" x14ac:dyDescent="0.25">
      <c r="A79" s="1">
        <v>75</v>
      </c>
      <c r="B79" s="40" t="s">
        <v>343</v>
      </c>
      <c r="C79" s="40" t="s">
        <v>344</v>
      </c>
      <c r="D79" s="40" t="s">
        <v>81</v>
      </c>
      <c r="E79" s="48">
        <v>43348</v>
      </c>
      <c r="F79" s="42">
        <v>9789575030124</v>
      </c>
      <c r="G79" s="46"/>
      <c r="H79" s="46"/>
      <c r="I79" s="40">
        <v>360</v>
      </c>
      <c r="J79" s="79">
        <f t="shared" si="6"/>
        <v>280.8</v>
      </c>
      <c r="K79" s="86"/>
      <c r="L79" s="84">
        <f t="shared" si="7"/>
        <v>0</v>
      </c>
      <c r="M79" s="40" t="s">
        <v>323</v>
      </c>
      <c r="N79" s="50"/>
      <c r="O79" s="54" t="s">
        <v>349</v>
      </c>
      <c r="P79" s="47"/>
      <c r="Q79" s="17" t="s">
        <v>19</v>
      </c>
      <c r="R79" s="68">
        <f t="shared" si="2"/>
        <v>9789575030124</v>
      </c>
      <c r="S79" s="45" t="s">
        <v>345</v>
      </c>
      <c r="T79" s="44"/>
      <c r="U79" s="44" t="str">
        <f t="shared" si="3"/>
        <v>9789575030124</v>
      </c>
    </row>
    <row r="80" spans="1:21" hidden="1" x14ac:dyDescent="0.25">
      <c r="A80" s="1">
        <v>76</v>
      </c>
      <c r="B80" s="56" t="s">
        <v>356</v>
      </c>
      <c r="C80" s="57" t="s">
        <v>357</v>
      </c>
      <c r="D80" s="57" t="s">
        <v>358</v>
      </c>
      <c r="E80" s="58" t="s">
        <v>359</v>
      </c>
      <c r="F80" s="58" t="s">
        <v>360</v>
      </c>
      <c r="G80" s="58"/>
      <c r="H80" s="58"/>
      <c r="I80" s="57">
        <v>199</v>
      </c>
      <c r="J80" s="79">
        <f t="shared" si="6"/>
        <v>155.22</v>
      </c>
      <c r="K80" s="85"/>
      <c r="L80" s="84">
        <f t="shared" si="7"/>
        <v>0</v>
      </c>
      <c r="M80" s="60" t="s">
        <v>361</v>
      </c>
      <c r="N80" s="57"/>
      <c r="O80" s="57"/>
      <c r="P80" s="57"/>
      <c r="Q80" s="17" t="s">
        <v>19</v>
      </c>
      <c r="R80" s="70" t="str">
        <f>HYPERLINK("http://search.books.com.tw/search/query/key/9789868160408/cat/all
","
9789868160408")</f>
        <v xml:space="preserve">
9789868160408</v>
      </c>
    </row>
    <row r="81" spans="1:18" hidden="1" x14ac:dyDescent="0.25">
      <c r="A81" s="1">
        <v>77</v>
      </c>
      <c r="B81" s="56" t="s">
        <v>362</v>
      </c>
      <c r="C81" s="57" t="s">
        <v>357</v>
      </c>
      <c r="D81" s="57" t="s">
        <v>358</v>
      </c>
      <c r="E81" s="58" t="s">
        <v>363</v>
      </c>
      <c r="F81" s="58" t="s">
        <v>364</v>
      </c>
      <c r="G81" s="58"/>
      <c r="H81" s="58"/>
      <c r="I81" s="57">
        <v>199</v>
      </c>
      <c r="J81" s="79">
        <f t="shared" si="6"/>
        <v>155.22</v>
      </c>
      <c r="K81" s="59"/>
      <c r="L81" s="84">
        <f t="shared" si="7"/>
        <v>0</v>
      </c>
      <c r="M81" s="60" t="s">
        <v>361</v>
      </c>
      <c r="N81" s="57"/>
      <c r="O81" s="57"/>
      <c r="P81" s="57"/>
      <c r="Q81" s="17" t="s">
        <v>19</v>
      </c>
      <c r="R81" s="70" t="str">
        <f>HYPERLINK("http://search.books.com.tw/search/query/key/9789572884683/cat/all
","
9789572884683")</f>
        <v xml:space="preserve">
9789572884683</v>
      </c>
    </row>
    <row r="82" spans="1:18" ht="33" hidden="1" x14ac:dyDescent="0.25">
      <c r="A82" s="1">
        <v>78</v>
      </c>
      <c r="B82" s="56" t="s">
        <v>365</v>
      </c>
      <c r="C82" s="57" t="s">
        <v>366</v>
      </c>
      <c r="D82" s="57" t="s">
        <v>367</v>
      </c>
      <c r="E82" s="58" t="s">
        <v>368</v>
      </c>
      <c r="F82" s="58" t="s">
        <v>369</v>
      </c>
      <c r="G82" s="58"/>
      <c r="H82" s="58"/>
      <c r="I82" s="57">
        <v>240</v>
      </c>
      <c r="J82" s="79">
        <f t="shared" si="6"/>
        <v>187.2</v>
      </c>
      <c r="K82" s="59"/>
      <c r="L82" s="84">
        <f t="shared" si="7"/>
        <v>0</v>
      </c>
      <c r="M82" s="60" t="s">
        <v>370</v>
      </c>
      <c r="N82" s="57"/>
      <c r="O82" s="57"/>
      <c r="P82" s="57"/>
      <c r="Q82" s="17" t="s">
        <v>19</v>
      </c>
      <c r="R82" s="70" t="str">
        <f>HYPERLINK("http://search.books.com.tw/search/query/key/9789578722132/cat/all
","
9789578722132")</f>
        <v xml:space="preserve">
9789578722132</v>
      </c>
    </row>
    <row r="83" spans="1:18" ht="33" hidden="1" x14ac:dyDescent="0.25">
      <c r="A83" s="1">
        <v>79</v>
      </c>
      <c r="B83" s="56" t="s">
        <v>371</v>
      </c>
      <c r="C83" s="57" t="s">
        <v>366</v>
      </c>
      <c r="D83" s="57" t="s">
        <v>367</v>
      </c>
      <c r="E83" s="58" t="s">
        <v>368</v>
      </c>
      <c r="F83" s="58" t="s">
        <v>372</v>
      </c>
      <c r="G83" s="58"/>
      <c r="H83" s="58"/>
      <c r="I83" s="57">
        <v>240</v>
      </c>
      <c r="J83" s="79">
        <f t="shared" si="6"/>
        <v>187.2</v>
      </c>
      <c r="K83" s="59"/>
      <c r="L83" s="84">
        <f t="shared" si="7"/>
        <v>0</v>
      </c>
      <c r="M83" s="60" t="s">
        <v>370</v>
      </c>
      <c r="N83" s="57"/>
      <c r="O83" s="57"/>
      <c r="P83" s="57"/>
      <c r="Q83" s="17" t="s">
        <v>19</v>
      </c>
      <c r="R83" s="70" t="str">
        <f>HYPERLINK("http://search.books.com.tw/search/query/key/9789578722118/cat/all
","
9789578722118")</f>
        <v xml:space="preserve">
9789578722118</v>
      </c>
    </row>
    <row r="84" spans="1:18" x14ac:dyDescent="0.25">
      <c r="A84" s="1">
        <v>80</v>
      </c>
      <c r="B84" s="56" t="s">
        <v>373</v>
      </c>
      <c r="C84" s="57" t="s">
        <v>374</v>
      </c>
      <c r="D84" s="57" t="s">
        <v>375</v>
      </c>
      <c r="E84" s="58" t="s">
        <v>368</v>
      </c>
      <c r="F84" s="58" t="s">
        <v>376</v>
      </c>
      <c r="G84" s="4" t="s">
        <v>3446</v>
      </c>
      <c r="H84" s="58" t="s">
        <v>3445</v>
      </c>
      <c r="I84" s="57">
        <v>350</v>
      </c>
      <c r="J84" s="79">
        <f t="shared" si="6"/>
        <v>273</v>
      </c>
      <c r="K84" s="59">
        <v>1</v>
      </c>
      <c r="L84" s="84">
        <f t="shared" si="7"/>
        <v>273</v>
      </c>
      <c r="M84" s="60" t="s">
        <v>370</v>
      </c>
      <c r="N84" s="57"/>
      <c r="O84" s="57"/>
      <c r="P84" s="57"/>
      <c r="Q84" s="17" t="s">
        <v>19</v>
      </c>
      <c r="R84" s="70" t="str">
        <f>HYPERLINK("http://search.books.com.tw/search/query/key/9789869452540/cat/all
","
9789869452540")</f>
        <v xml:space="preserve">
9789869452540</v>
      </c>
    </row>
    <row r="85" spans="1:18" x14ac:dyDescent="0.25">
      <c r="A85" s="1">
        <v>81</v>
      </c>
      <c r="B85" s="56" t="s">
        <v>377</v>
      </c>
      <c r="C85" s="57" t="s">
        <v>374</v>
      </c>
      <c r="D85" s="57" t="s">
        <v>375</v>
      </c>
      <c r="E85" s="58" t="s">
        <v>368</v>
      </c>
      <c r="F85" s="58" t="s">
        <v>378</v>
      </c>
      <c r="G85" s="4" t="s">
        <v>3446</v>
      </c>
      <c r="H85" s="58" t="s">
        <v>3445</v>
      </c>
      <c r="I85" s="57">
        <v>350</v>
      </c>
      <c r="J85" s="79">
        <f t="shared" si="6"/>
        <v>273</v>
      </c>
      <c r="K85" s="59">
        <v>1</v>
      </c>
      <c r="L85" s="84">
        <f t="shared" si="7"/>
        <v>273</v>
      </c>
      <c r="M85" s="60" t="s">
        <v>370</v>
      </c>
      <c r="N85" s="57"/>
      <c r="O85" s="57"/>
      <c r="P85" s="57"/>
      <c r="Q85" s="17" t="s">
        <v>19</v>
      </c>
      <c r="R85" s="70" t="str">
        <f>HYPERLINK("http://search.books.com.tw/search/query/key/9789869452571/cat/all
","
9789869452571")</f>
        <v xml:space="preserve">
9789869452571</v>
      </c>
    </row>
    <row r="86" spans="1:18" x14ac:dyDescent="0.25">
      <c r="A86" s="1">
        <v>82</v>
      </c>
      <c r="B86" s="56" t="s">
        <v>379</v>
      </c>
      <c r="C86" s="57" t="s">
        <v>374</v>
      </c>
      <c r="D86" s="57" t="s">
        <v>375</v>
      </c>
      <c r="E86" s="58" t="s">
        <v>368</v>
      </c>
      <c r="F86" s="58" t="s">
        <v>380</v>
      </c>
      <c r="G86" s="4" t="s">
        <v>3446</v>
      </c>
      <c r="H86" s="58" t="s">
        <v>3445</v>
      </c>
      <c r="I86" s="57">
        <v>350</v>
      </c>
      <c r="J86" s="79">
        <f t="shared" si="6"/>
        <v>273</v>
      </c>
      <c r="K86" s="59">
        <v>1</v>
      </c>
      <c r="L86" s="84">
        <f t="shared" si="7"/>
        <v>273</v>
      </c>
      <c r="M86" s="60" t="s">
        <v>370</v>
      </c>
      <c r="N86" s="57"/>
      <c r="O86" s="57"/>
      <c r="P86" s="57"/>
      <c r="Q86" s="17" t="s">
        <v>19</v>
      </c>
      <c r="R86" s="70" t="str">
        <f>HYPERLINK("http://search.books.com.tw/search/query/key/9789869452564/cat/all
","
9789869452564")</f>
        <v xml:space="preserve">
9789869452564</v>
      </c>
    </row>
    <row r="87" spans="1:18" x14ac:dyDescent="0.25">
      <c r="A87" s="1">
        <v>83</v>
      </c>
      <c r="B87" s="56" t="s">
        <v>381</v>
      </c>
      <c r="C87" s="57" t="s">
        <v>374</v>
      </c>
      <c r="D87" s="57" t="s">
        <v>375</v>
      </c>
      <c r="E87" s="58" t="s">
        <v>368</v>
      </c>
      <c r="F87" s="58" t="s">
        <v>382</v>
      </c>
      <c r="G87" s="4" t="s">
        <v>3446</v>
      </c>
      <c r="H87" s="58" t="s">
        <v>3445</v>
      </c>
      <c r="I87" s="57">
        <v>350</v>
      </c>
      <c r="J87" s="79">
        <f t="shared" si="6"/>
        <v>273</v>
      </c>
      <c r="K87" s="59">
        <v>1</v>
      </c>
      <c r="L87" s="84">
        <f t="shared" si="7"/>
        <v>273</v>
      </c>
      <c r="M87" s="60" t="s">
        <v>370</v>
      </c>
      <c r="N87" s="57"/>
      <c r="O87" s="57"/>
      <c r="P87" s="57"/>
      <c r="Q87" s="17" t="s">
        <v>19</v>
      </c>
      <c r="R87" s="70" t="str">
        <f>HYPERLINK("http://search.books.com.tw/search/query/key/9789869452557/cat/all
","
9789869452557")</f>
        <v xml:space="preserve">
9789869452557</v>
      </c>
    </row>
    <row r="88" spans="1:18" x14ac:dyDescent="0.25">
      <c r="A88" s="1">
        <v>84</v>
      </c>
      <c r="B88" s="56" t="s">
        <v>383</v>
      </c>
      <c r="C88" s="57" t="s">
        <v>384</v>
      </c>
      <c r="D88" s="57" t="s">
        <v>385</v>
      </c>
      <c r="E88" s="58" t="s">
        <v>363</v>
      </c>
      <c r="F88" s="58" t="s">
        <v>386</v>
      </c>
      <c r="G88" s="4" t="s">
        <v>3446</v>
      </c>
      <c r="H88" s="58" t="s">
        <v>3445</v>
      </c>
      <c r="I88" s="57">
        <v>380</v>
      </c>
      <c r="J88" s="79">
        <f t="shared" si="6"/>
        <v>296.39999999999998</v>
      </c>
      <c r="K88" s="59">
        <v>1</v>
      </c>
      <c r="L88" s="84">
        <f t="shared" si="7"/>
        <v>296.39999999999998</v>
      </c>
      <c r="M88" s="60" t="s">
        <v>370</v>
      </c>
      <c r="N88" s="57"/>
      <c r="O88" s="57"/>
      <c r="P88" s="57"/>
      <c r="Q88" s="17" t="s">
        <v>19</v>
      </c>
      <c r="R88" s="70" t="str">
        <f>HYPERLINK("http://search.books.com.tw/search/query/key/4719742147008/cat/all
","
4719742147008")</f>
        <v xml:space="preserve">
4719742147008</v>
      </c>
    </row>
    <row r="89" spans="1:18" hidden="1" x14ac:dyDescent="0.25">
      <c r="A89" s="1">
        <v>85</v>
      </c>
      <c r="B89" s="56" t="s">
        <v>387</v>
      </c>
      <c r="C89" s="57" t="s">
        <v>384</v>
      </c>
      <c r="D89" s="57" t="s">
        <v>385</v>
      </c>
      <c r="E89" s="58" t="s">
        <v>363</v>
      </c>
      <c r="F89" s="58" t="s">
        <v>388</v>
      </c>
      <c r="G89" s="58"/>
      <c r="H89" s="58"/>
      <c r="I89" s="57">
        <v>380</v>
      </c>
      <c r="J89" s="79">
        <f t="shared" si="6"/>
        <v>296.39999999999998</v>
      </c>
      <c r="K89" s="59"/>
      <c r="L89" s="84">
        <f t="shared" si="7"/>
        <v>0</v>
      </c>
      <c r="M89" s="60" t="s">
        <v>370</v>
      </c>
      <c r="N89" s="57"/>
      <c r="O89" s="57"/>
      <c r="P89" s="57"/>
      <c r="Q89" s="17" t="s">
        <v>19</v>
      </c>
      <c r="R89" s="70" t="str">
        <f>HYPERLINK("http://search.books.com.tw/search/query/key/4719742147015/cat/all
","
4719742147015")</f>
        <v xml:space="preserve">
4719742147015</v>
      </c>
    </row>
    <row r="90" spans="1:18" hidden="1" x14ac:dyDescent="0.25">
      <c r="A90" s="1">
        <v>86</v>
      </c>
      <c r="B90" s="56" t="s">
        <v>389</v>
      </c>
      <c r="C90" s="57" t="s">
        <v>384</v>
      </c>
      <c r="D90" s="57" t="s">
        <v>385</v>
      </c>
      <c r="E90" s="58" t="s">
        <v>363</v>
      </c>
      <c r="F90" s="58" t="s">
        <v>390</v>
      </c>
      <c r="G90" s="58"/>
      <c r="H90" s="58"/>
      <c r="I90" s="57">
        <v>380</v>
      </c>
      <c r="J90" s="79">
        <f t="shared" si="6"/>
        <v>296.39999999999998</v>
      </c>
      <c r="K90" s="59"/>
      <c r="L90" s="84">
        <f t="shared" si="7"/>
        <v>0</v>
      </c>
      <c r="M90" s="60" t="s">
        <v>370</v>
      </c>
      <c r="N90" s="57"/>
      <c r="O90" s="57"/>
      <c r="P90" s="57"/>
      <c r="Q90" s="17" t="s">
        <v>19</v>
      </c>
      <c r="R90" s="70" t="str">
        <f>HYPERLINK("http://search.books.com.tw/search/query/key/4719742149729/cat/all
","
4719742149729")</f>
        <v xml:space="preserve">
4719742149729</v>
      </c>
    </row>
    <row r="91" spans="1:18" hidden="1" x14ac:dyDescent="0.25">
      <c r="A91" s="1">
        <v>87</v>
      </c>
      <c r="B91" s="56" t="s">
        <v>391</v>
      </c>
      <c r="C91" s="57" t="s">
        <v>392</v>
      </c>
      <c r="D91" s="57" t="s">
        <v>385</v>
      </c>
      <c r="E91" s="58" t="s">
        <v>368</v>
      </c>
      <c r="F91" s="58" t="s">
        <v>393</v>
      </c>
      <c r="G91" s="58"/>
      <c r="H91" s="58"/>
      <c r="I91" s="57">
        <v>199</v>
      </c>
      <c r="J91" s="79">
        <f t="shared" si="6"/>
        <v>155.22</v>
      </c>
      <c r="K91" s="59"/>
      <c r="L91" s="84">
        <f t="shared" si="7"/>
        <v>0</v>
      </c>
      <c r="M91" s="60" t="s">
        <v>370</v>
      </c>
      <c r="N91" s="57"/>
      <c r="O91" s="57"/>
      <c r="P91" s="57"/>
      <c r="Q91" s="17" t="s">
        <v>19</v>
      </c>
      <c r="R91" s="70" t="str">
        <f>HYPERLINK("http://search.books.com.tw/search/query/key/4719742150305/cat/all
","
4719742150305")</f>
        <v xml:space="preserve">
4719742150305</v>
      </c>
    </row>
    <row r="92" spans="1:18" ht="33" hidden="1" x14ac:dyDescent="0.25">
      <c r="A92" s="1">
        <v>88</v>
      </c>
      <c r="B92" s="56" t="s">
        <v>394</v>
      </c>
      <c r="C92" s="57" t="s">
        <v>395</v>
      </c>
      <c r="D92" s="57" t="s">
        <v>396</v>
      </c>
      <c r="E92" s="58" t="s">
        <v>368</v>
      </c>
      <c r="F92" s="58" t="s">
        <v>397</v>
      </c>
      <c r="G92" s="58"/>
      <c r="H92" s="58"/>
      <c r="I92" s="57">
        <v>160</v>
      </c>
      <c r="J92" s="79">
        <f t="shared" si="6"/>
        <v>124.8</v>
      </c>
      <c r="K92" s="59"/>
      <c r="L92" s="84">
        <f t="shared" si="7"/>
        <v>0</v>
      </c>
      <c r="M92" s="60" t="s">
        <v>370</v>
      </c>
      <c r="N92" s="57"/>
      <c r="O92" s="57"/>
      <c r="P92" s="57"/>
      <c r="Q92" s="17" t="s">
        <v>19</v>
      </c>
      <c r="R92" s="70" t="str">
        <f>HYPERLINK("http://search.books.com.tw/search/query/key/4715006453274/cat/all
","
4715006453274")</f>
        <v xml:space="preserve">
4715006453274</v>
      </c>
    </row>
    <row r="93" spans="1:18" ht="33" hidden="1" x14ac:dyDescent="0.25">
      <c r="A93" s="1">
        <v>89</v>
      </c>
      <c r="B93" s="56" t="s">
        <v>398</v>
      </c>
      <c r="C93" s="57" t="s">
        <v>395</v>
      </c>
      <c r="D93" s="57" t="s">
        <v>396</v>
      </c>
      <c r="E93" s="58" t="s">
        <v>368</v>
      </c>
      <c r="F93" s="58" t="s">
        <v>399</v>
      </c>
      <c r="G93" s="58"/>
      <c r="H93" s="58"/>
      <c r="I93" s="57">
        <v>160</v>
      </c>
      <c r="J93" s="79">
        <f t="shared" si="6"/>
        <v>124.8</v>
      </c>
      <c r="K93" s="59"/>
      <c r="L93" s="84">
        <f t="shared" si="7"/>
        <v>0</v>
      </c>
      <c r="M93" s="60" t="s">
        <v>370</v>
      </c>
      <c r="N93" s="57"/>
      <c r="O93" s="57"/>
      <c r="P93" s="57"/>
      <c r="Q93" s="17" t="s">
        <v>19</v>
      </c>
      <c r="R93" s="70" t="str">
        <f>HYPERLINK("http://search.books.com.tw/search/query/key/4715006453267/cat/all
","
4715006453267")</f>
        <v xml:space="preserve">
4715006453267</v>
      </c>
    </row>
    <row r="94" spans="1:18" ht="33" hidden="1" x14ac:dyDescent="0.25">
      <c r="A94" s="1">
        <v>90</v>
      </c>
      <c r="B94" s="56" t="s">
        <v>400</v>
      </c>
      <c r="C94" s="57" t="s">
        <v>395</v>
      </c>
      <c r="D94" s="57" t="s">
        <v>396</v>
      </c>
      <c r="E94" s="58" t="s">
        <v>368</v>
      </c>
      <c r="F94" s="58" t="s">
        <v>401</v>
      </c>
      <c r="G94" s="58"/>
      <c r="H94" s="58"/>
      <c r="I94" s="57">
        <v>160</v>
      </c>
      <c r="J94" s="79">
        <f t="shared" si="6"/>
        <v>124.8</v>
      </c>
      <c r="K94" s="59"/>
      <c r="L94" s="84">
        <f t="shared" si="7"/>
        <v>0</v>
      </c>
      <c r="M94" s="60" t="s">
        <v>370</v>
      </c>
      <c r="N94" s="57"/>
      <c r="O94" s="57"/>
      <c r="P94" s="57"/>
      <c r="Q94" s="17" t="s">
        <v>19</v>
      </c>
      <c r="R94" s="70" t="str">
        <f>HYPERLINK("http://search.books.com.tw/search/query/key/4715006453281/cat/all
","
4715006453281")</f>
        <v xml:space="preserve">
4715006453281</v>
      </c>
    </row>
    <row r="95" spans="1:18" ht="33" hidden="1" x14ac:dyDescent="0.25">
      <c r="A95" s="1">
        <v>91</v>
      </c>
      <c r="B95" s="56" t="s">
        <v>402</v>
      </c>
      <c r="C95" s="57" t="s">
        <v>395</v>
      </c>
      <c r="D95" s="57" t="s">
        <v>396</v>
      </c>
      <c r="E95" s="58" t="s">
        <v>368</v>
      </c>
      <c r="F95" s="58" t="s">
        <v>403</v>
      </c>
      <c r="G95" s="58"/>
      <c r="H95" s="58"/>
      <c r="I95" s="57">
        <v>160</v>
      </c>
      <c r="J95" s="79">
        <f t="shared" si="6"/>
        <v>124.8</v>
      </c>
      <c r="K95" s="59"/>
      <c r="L95" s="84">
        <f t="shared" si="7"/>
        <v>0</v>
      </c>
      <c r="M95" s="60" t="s">
        <v>370</v>
      </c>
      <c r="N95" s="57"/>
      <c r="O95" s="57"/>
      <c r="P95" s="57"/>
      <c r="Q95" s="17" t="s">
        <v>19</v>
      </c>
      <c r="R95" s="70" t="str">
        <f>HYPERLINK("http://search.books.com.tw/search/query/key/4715006453298/cat/all
","
4715006453298")</f>
        <v xml:space="preserve">
4715006453298</v>
      </c>
    </row>
    <row r="96" spans="1:18" hidden="1" x14ac:dyDescent="0.25">
      <c r="A96" s="1">
        <v>92</v>
      </c>
      <c r="B96" s="56" t="s">
        <v>404</v>
      </c>
      <c r="C96" s="57" t="s">
        <v>405</v>
      </c>
      <c r="D96" s="57" t="s">
        <v>396</v>
      </c>
      <c r="E96" s="58" t="s">
        <v>363</v>
      </c>
      <c r="F96" s="58" t="s">
        <v>406</v>
      </c>
      <c r="G96" s="58"/>
      <c r="H96" s="58"/>
      <c r="I96" s="57">
        <v>550</v>
      </c>
      <c r="J96" s="79">
        <f t="shared" si="6"/>
        <v>429</v>
      </c>
      <c r="K96" s="59"/>
      <c r="L96" s="84">
        <f t="shared" si="7"/>
        <v>0</v>
      </c>
      <c r="M96" s="60" t="s">
        <v>370</v>
      </c>
      <c r="N96" s="57"/>
      <c r="O96" s="57"/>
      <c r="P96" s="57"/>
      <c r="Q96" s="17" t="s">
        <v>19</v>
      </c>
      <c r="R96" s="70" t="str">
        <f>HYPERLINK("http://search.books.com.tw/search/query/key/4715006453236/cat/all
","
4715006453236")</f>
        <v xml:space="preserve">
4715006453236</v>
      </c>
    </row>
    <row r="97" spans="1:18" hidden="1" x14ac:dyDescent="0.25">
      <c r="A97" s="1">
        <v>93</v>
      </c>
      <c r="B97" s="56" t="s">
        <v>407</v>
      </c>
      <c r="C97" s="57" t="s">
        <v>408</v>
      </c>
      <c r="D97" s="57" t="s">
        <v>409</v>
      </c>
      <c r="E97" s="58" t="s">
        <v>368</v>
      </c>
      <c r="F97" s="58" t="s">
        <v>410</v>
      </c>
      <c r="G97" s="58"/>
      <c r="H97" s="58"/>
      <c r="I97" s="57">
        <v>500</v>
      </c>
      <c r="J97" s="79">
        <f t="shared" si="6"/>
        <v>390</v>
      </c>
      <c r="K97" s="59"/>
      <c r="L97" s="84">
        <f t="shared" si="7"/>
        <v>0</v>
      </c>
      <c r="M97" s="60" t="s">
        <v>370</v>
      </c>
      <c r="N97" s="57"/>
      <c r="O97" s="57"/>
      <c r="P97" s="57"/>
      <c r="Q97" s="17" t="s">
        <v>19</v>
      </c>
      <c r="R97" s="70" t="str">
        <f>HYPERLINK("http://search.books.com.tw/search/query/key/9789578930223/cat/all
","
9789578930223")</f>
        <v xml:space="preserve">
9789578930223</v>
      </c>
    </row>
    <row r="98" spans="1:18" hidden="1" x14ac:dyDescent="0.25">
      <c r="A98" s="1">
        <v>94</v>
      </c>
      <c r="B98" s="56" t="s">
        <v>411</v>
      </c>
      <c r="C98" s="57" t="s">
        <v>408</v>
      </c>
      <c r="D98" s="57" t="s">
        <v>409</v>
      </c>
      <c r="E98" s="58" t="s">
        <v>368</v>
      </c>
      <c r="F98" s="58" t="s">
        <v>412</v>
      </c>
      <c r="G98" s="58"/>
      <c r="H98" s="58"/>
      <c r="I98" s="57">
        <v>500</v>
      </c>
      <c r="J98" s="79">
        <f t="shared" si="6"/>
        <v>390</v>
      </c>
      <c r="K98" s="59"/>
      <c r="L98" s="84">
        <f t="shared" si="7"/>
        <v>0</v>
      </c>
      <c r="M98" s="60" t="s">
        <v>370</v>
      </c>
      <c r="N98" s="57"/>
      <c r="O98" s="57"/>
      <c r="P98" s="57"/>
      <c r="Q98" s="17" t="s">
        <v>19</v>
      </c>
      <c r="R98" s="70" t="str">
        <f>HYPERLINK("http://search.books.com.tw/search/query/key/9789578930216/cat/all
","
9789578930216")</f>
        <v xml:space="preserve">
9789578930216</v>
      </c>
    </row>
    <row r="99" spans="1:18" hidden="1" x14ac:dyDescent="0.25">
      <c r="A99" s="1">
        <v>95</v>
      </c>
      <c r="B99" s="56" t="s">
        <v>413</v>
      </c>
      <c r="C99" s="57" t="s">
        <v>414</v>
      </c>
      <c r="D99" s="57" t="s">
        <v>415</v>
      </c>
      <c r="E99" s="58" t="s">
        <v>363</v>
      </c>
      <c r="F99" s="58" t="s">
        <v>416</v>
      </c>
      <c r="G99" s="58"/>
      <c r="H99" s="58"/>
      <c r="I99" s="57">
        <v>220</v>
      </c>
      <c r="J99" s="79">
        <f t="shared" si="6"/>
        <v>171.6</v>
      </c>
      <c r="K99" s="59"/>
      <c r="L99" s="84">
        <f t="shared" si="7"/>
        <v>0</v>
      </c>
      <c r="M99" s="60" t="s">
        <v>370</v>
      </c>
      <c r="N99" s="57"/>
      <c r="O99" s="57"/>
      <c r="P99" s="57"/>
      <c r="Q99" s="17" t="s">
        <v>19</v>
      </c>
      <c r="R99" s="70" t="str">
        <f>HYPERLINK("http://search.books.com.tw/search/query/key/4718005590186/cat/all
","
4718005590186")</f>
        <v xml:space="preserve">
4718005590186</v>
      </c>
    </row>
    <row r="100" spans="1:18" hidden="1" x14ac:dyDescent="0.25">
      <c r="A100" s="1">
        <v>96</v>
      </c>
      <c r="B100" s="56" t="s">
        <v>417</v>
      </c>
      <c r="C100" s="57" t="s">
        <v>414</v>
      </c>
      <c r="D100" s="57" t="s">
        <v>415</v>
      </c>
      <c r="E100" s="58" t="s">
        <v>363</v>
      </c>
      <c r="F100" s="58" t="s">
        <v>418</v>
      </c>
      <c r="G100" s="58"/>
      <c r="H100" s="58"/>
      <c r="I100" s="57">
        <v>220</v>
      </c>
      <c r="J100" s="79">
        <f t="shared" si="6"/>
        <v>171.6</v>
      </c>
      <c r="K100" s="59"/>
      <c r="L100" s="84">
        <f t="shared" si="7"/>
        <v>0</v>
      </c>
      <c r="M100" s="60" t="s">
        <v>370</v>
      </c>
      <c r="N100" s="57"/>
      <c r="O100" s="57"/>
      <c r="P100" s="57"/>
      <c r="Q100" s="17" t="s">
        <v>19</v>
      </c>
      <c r="R100" s="70" t="str">
        <f>HYPERLINK("http://search.books.com.tw/search/query/key/4718005590230/cat/all
","
4718005590230")</f>
        <v xml:space="preserve">
4718005590230</v>
      </c>
    </row>
    <row r="101" spans="1:18" hidden="1" x14ac:dyDescent="0.25">
      <c r="A101" s="1">
        <v>97</v>
      </c>
      <c r="B101" s="56" t="s">
        <v>419</v>
      </c>
      <c r="C101" s="57" t="s">
        <v>414</v>
      </c>
      <c r="D101" s="57" t="s">
        <v>415</v>
      </c>
      <c r="E101" s="58" t="s">
        <v>363</v>
      </c>
      <c r="F101" s="58" t="s">
        <v>420</v>
      </c>
      <c r="G101" s="58"/>
      <c r="H101" s="58"/>
      <c r="I101" s="57">
        <v>220</v>
      </c>
      <c r="J101" s="79">
        <f t="shared" si="6"/>
        <v>171.6</v>
      </c>
      <c r="K101" s="59"/>
      <c r="L101" s="84">
        <f t="shared" si="7"/>
        <v>0</v>
      </c>
      <c r="M101" s="60" t="s">
        <v>370</v>
      </c>
      <c r="N101" s="57"/>
      <c r="O101" s="57"/>
      <c r="P101" s="57"/>
      <c r="Q101" s="17" t="s">
        <v>19</v>
      </c>
      <c r="R101" s="70" t="str">
        <f>HYPERLINK("http://search.books.com.tw/search/query/key/4718005590216/cat/all
","
4718005590216")</f>
        <v xml:space="preserve">
4718005590216</v>
      </c>
    </row>
    <row r="102" spans="1:18" x14ac:dyDescent="0.25">
      <c r="A102" s="1">
        <v>98</v>
      </c>
      <c r="B102" s="56" t="s">
        <v>421</v>
      </c>
      <c r="C102" s="57" t="s">
        <v>422</v>
      </c>
      <c r="D102" s="57" t="s">
        <v>423</v>
      </c>
      <c r="E102" s="58" t="s">
        <v>363</v>
      </c>
      <c r="F102" s="58" t="s">
        <v>424</v>
      </c>
      <c r="G102" s="4" t="s">
        <v>3443</v>
      </c>
      <c r="H102" s="58"/>
      <c r="I102" s="57">
        <v>320</v>
      </c>
      <c r="J102" s="79">
        <f t="shared" si="6"/>
        <v>249.6</v>
      </c>
      <c r="K102" s="59">
        <v>1</v>
      </c>
      <c r="L102" s="84">
        <f t="shared" si="7"/>
        <v>249.6</v>
      </c>
      <c r="M102" s="60" t="s">
        <v>370</v>
      </c>
      <c r="N102" s="57"/>
      <c r="O102" s="57"/>
      <c r="P102" s="57"/>
      <c r="Q102" s="17" t="s">
        <v>19</v>
      </c>
      <c r="R102" s="70" t="str">
        <f>HYPERLINK("http://search.books.com.tw/search/query/key/9789862744093/cat/all
","
9789862744093")</f>
        <v xml:space="preserve">
9789862744093</v>
      </c>
    </row>
    <row r="103" spans="1:18" ht="33" hidden="1" x14ac:dyDescent="0.25">
      <c r="A103" s="1">
        <v>99</v>
      </c>
      <c r="B103" s="56" t="s">
        <v>425</v>
      </c>
      <c r="C103" s="57" t="s">
        <v>426</v>
      </c>
      <c r="D103" s="57" t="s">
        <v>427</v>
      </c>
      <c r="E103" s="58" t="s">
        <v>368</v>
      </c>
      <c r="F103" s="58" t="s">
        <v>428</v>
      </c>
      <c r="G103" s="58"/>
      <c r="H103" s="58"/>
      <c r="I103" s="57">
        <v>750</v>
      </c>
      <c r="J103" s="79">
        <f t="shared" si="6"/>
        <v>585</v>
      </c>
      <c r="K103" s="59"/>
      <c r="L103" s="84">
        <f t="shared" si="7"/>
        <v>0</v>
      </c>
      <c r="M103" s="60" t="s">
        <v>370</v>
      </c>
      <c r="N103" s="57"/>
      <c r="O103" s="57"/>
      <c r="P103" s="57"/>
      <c r="Q103" s="17" t="s">
        <v>19</v>
      </c>
      <c r="R103" s="70" t="str">
        <f>HYPERLINK("http://search.books.com.tw/search/query/key/9789571375885/cat/all
","
9789571375885")</f>
        <v xml:space="preserve">
9789571375885</v>
      </c>
    </row>
    <row r="104" spans="1:18" x14ac:dyDescent="0.25">
      <c r="A104" s="1">
        <v>100</v>
      </c>
      <c r="B104" s="56" t="s">
        <v>429</v>
      </c>
      <c r="C104" s="57" t="s">
        <v>430</v>
      </c>
      <c r="D104" s="57" t="s">
        <v>431</v>
      </c>
      <c r="E104" s="58" t="s">
        <v>363</v>
      </c>
      <c r="F104" s="58" t="s">
        <v>432</v>
      </c>
      <c r="G104" s="4" t="s">
        <v>3443</v>
      </c>
      <c r="H104" s="58"/>
      <c r="I104" s="57">
        <v>280</v>
      </c>
      <c r="J104" s="79">
        <f t="shared" si="6"/>
        <v>218.4</v>
      </c>
      <c r="K104" s="59">
        <v>1</v>
      </c>
      <c r="L104" s="84">
        <f t="shared" si="7"/>
        <v>218.4</v>
      </c>
      <c r="M104" s="60" t="s">
        <v>370</v>
      </c>
      <c r="N104" s="57"/>
      <c r="O104" s="57"/>
      <c r="P104" s="57"/>
      <c r="Q104" s="17" t="s">
        <v>19</v>
      </c>
      <c r="R104" s="70" t="str">
        <f>HYPERLINK("http://search.books.com.tw/search/query/key/9789869674737/cat/all
","
9789869674737")</f>
        <v xml:space="preserve">
9789869674737</v>
      </c>
    </row>
    <row r="105" spans="1:18" x14ac:dyDescent="0.25">
      <c r="A105" s="1">
        <v>101</v>
      </c>
      <c r="B105" s="56" t="s">
        <v>433</v>
      </c>
      <c r="C105" s="57" t="s">
        <v>430</v>
      </c>
      <c r="D105" s="57" t="s">
        <v>431</v>
      </c>
      <c r="E105" s="58" t="s">
        <v>363</v>
      </c>
      <c r="F105" s="58" t="s">
        <v>434</v>
      </c>
      <c r="G105" s="4" t="s">
        <v>3443</v>
      </c>
      <c r="H105" s="58"/>
      <c r="I105" s="57">
        <v>280</v>
      </c>
      <c r="J105" s="79">
        <f t="shared" si="6"/>
        <v>218.4</v>
      </c>
      <c r="K105" s="59">
        <v>1</v>
      </c>
      <c r="L105" s="84">
        <f t="shared" si="7"/>
        <v>218.4</v>
      </c>
      <c r="M105" s="60" t="s">
        <v>370</v>
      </c>
      <c r="N105" s="57"/>
      <c r="O105" s="57"/>
      <c r="P105" s="57"/>
      <c r="Q105" s="17" t="s">
        <v>19</v>
      </c>
      <c r="R105" s="70" t="str">
        <f>HYPERLINK("http://search.books.com.tw/search/query/key/9789869674713/cat/all
","
9789869674713")</f>
        <v xml:space="preserve">
9789869674713</v>
      </c>
    </row>
    <row r="106" spans="1:18" x14ac:dyDescent="0.25">
      <c r="A106" s="1">
        <v>102</v>
      </c>
      <c r="B106" s="56" t="s">
        <v>435</v>
      </c>
      <c r="C106" s="57" t="s">
        <v>430</v>
      </c>
      <c r="D106" s="57" t="s">
        <v>431</v>
      </c>
      <c r="E106" s="58" t="s">
        <v>363</v>
      </c>
      <c r="F106" s="58" t="s">
        <v>436</v>
      </c>
      <c r="G106" s="4" t="s">
        <v>3443</v>
      </c>
      <c r="H106" s="58"/>
      <c r="I106" s="57">
        <v>280</v>
      </c>
      <c r="J106" s="79">
        <f t="shared" si="6"/>
        <v>218.4</v>
      </c>
      <c r="K106" s="59">
        <v>1</v>
      </c>
      <c r="L106" s="84">
        <f t="shared" si="7"/>
        <v>218.4</v>
      </c>
      <c r="M106" s="60" t="s">
        <v>370</v>
      </c>
      <c r="N106" s="57"/>
      <c r="O106" s="57"/>
      <c r="P106" s="57"/>
      <c r="Q106" s="17" t="s">
        <v>19</v>
      </c>
      <c r="R106" s="70" t="str">
        <f>HYPERLINK("http://search.books.com.tw/search/query/key/9789869674720/cat/all
","
9789869674720")</f>
        <v xml:space="preserve">
9789869674720</v>
      </c>
    </row>
    <row r="107" spans="1:18" hidden="1" x14ac:dyDescent="0.25">
      <c r="A107" s="1">
        <v>103</v>
      </c>
      <c r="B107" s="56" t="s">
        <v>437</v>
      </c>
      <c r="C107" s="57" t="s">
        <v>438</v>
      </c>
      <c r="D107" s="57" t="s">
        <v>439</v>
      </c>
      <c r="E107" s="58" t="s">
        <v>368</v>
      </c>
      <c r="F107" s="58" t="s">
        <v>440</v>
      </c>
      <c r="G107" s="58"/>
      <c r="H107" s="58"/>
      <c r="I107" s="57">
        <v>280</v>
      </c>
      <c r="J107" s="79">
        <f t="shared" si="6"/>
        <v>218.4</v>
      </c>
      <c r="K107" s="59"/>
      <c r="L107" s="84">
        <f t="shared" si="7"/>
        <v>0</v>
      </c>
      <c r="M107" s="60" t="s">
        <v>370</v>
      </c>
      <c r="N107" s="57"/>
      <c r="O107" s="57"/>
      <c r="P107" s="57"/>
      <c r="Q107" s="17" t="s">
        <v>19</v>
      </c>
      <c r="R107" s="70" t="str">
        <f>HYPERLINK("http://search.books.com.tw/search/query/key/9789861898872/cat/all
","
9789861898872")</f>
        <v xml:space="preserve">
9789861898872</v>
      </c>
    </row>
    <row r="108" spans="1:18" x14ac:dyDescent="0.25">
      <c r="A108" s="1">
        <v>104</v>
      </c>
      <c r="B108" s="56" t="s">
        <v>441</v>
      </c>
      <c r="C108" s="57" t="s">
        <v>442</v>
      </c>
      <c r="D108" s="57" t="s">
        <v>316</v>
      </c>
      <c r="E108" s="58" t="s">
        <v>368</v>
      </c>
      <c r="F108" s="58" t="s">
        <v>443</v>
      </c>
      <c r="G108" s="4" t="s">
        <v>3443</v>
      </c>
      <c r="H108" s="58"/>
      <c r="I108" s="57">
        <v>499</v>
      </c>
      <c r="J108" s="79">
        <f t="shared" si="6"/>
        <v>389.22</v>
      </c>
      <c r="K108" s="59">
        <v>1</v>
      </c>
      <c r="L108" s="84">
        <f t="shared" si="7"/>
        <v>389.22</v>
      </c>
      <c r="M108" s="60" t="s">
        <v>370</v>
      </c>
      <c r="N108" s="57"/>
      <c r="O108" s="57"/>
      <c r="P108" s="57"/>
      <c r="Q108" s="17" t="s">
        <v>19</v>
      </c>
      <c r="R108" s="70" t="str">
        <f>HYPERLINK("http://search.books.com.tw/search/query/key/9789862927724/cat/all
","
9789862927724")</f>
        <v xml:space="preserve">
9789862927724</v>
      </c>
    </row>
    <row r="109" spans="1:18" hidden="1" x14ac:dyDescent="0.25">
      <c r="A109" s="1">
        <v>105</v>
      </c>
      <c r="B109" s="56" t="s">
        <v>444</v>
      </c>
      <c r="C109" s="57" t="s">
        <v>442</v>
      </c>
      <c r="D109" s="57" t="s">
        <v>316</v>
      </c>
      <c r="E109" s="58" t="s">
        <v>368</v>
      </c>
      <c r="F109" s="58" t="s">
        <v>445</v>
      </c>
      <c r="G109" s="58"/>
      <c r="H109" s="58"/>
      <c r="I109" s="57">
        <v>499</v>
      </c>
      <c r="J109" s="79">
        <f t="shared" si="6"/>
        <v>389.22</v>
      </c>
      <c r="K109" s="59"/>
      <c r="L109" s="84">
        <f t="shared" si="7"/>
        <v>0</v>
      </c>
      <c r="M109" s="60" t="s">
        <v>370</v>
      </c>
      <c r="N109" s="57"/>
      <c r="O109" s="57"/>
      <c r="P109" s="57"/>
      <c r="Q109" s="17" t="s">
        <v>19</v>
      </c>
      <c r="R109" s="70" t="str">
        <f>HYPERLINK("http://search.books.com.tw/search/query/key/9789862927748/cat/all
","
9789862927748")</f>
        <v xml:space="preserve">
9789862927748</v>
      </c>
    </row>
    <row r="110" spans="1:18" hidden="1" x14ac:dyDescent="0.25">
      <c r="A110" s="1">
        <v>106</v>
      </c>
      <c r="B110" s="56" t="s">
        <v>446</v>
      </c>
      <c r="C110" s="57" t="s">
        <v>447</v>
      </c>
      <c r="D110" s="57" t="s">
        <v>448</v>
      </c>
      <c r="E110" s="58" t="s">
        <v>363</v>
      </c>
      <c r="F110" s="58" t="s">
        <v>449</v>
      </c>
      <c r="G110" s="58"/>
      <c r="H110" s="58"/>
      <c r="I110" s="57">
        <v>60</v>
      </c>
      <c r="J110" s="79">
        <f t="shared" si="6"/>
        <v>46.8</v>
      </c>
      <c r="K110" s="59"/>
      <c r="L110" s="84">
        <f t="shared" si="7"/>
        <v>0</v>
      </c>
      <c r="M110" s="60" t="s">
        <v>450</v>
      </c>
      <c r="N110" s="57"/>
      <c r="O110" s="57"/>
      <c r="P110" s="57"/>
      <c r="Q110" s="17" t="s">
        <v>19</v>
      </c>
      <c r="R110" s="70" t="str">
        <f>HYPERLINK("http://search.books.com.tw/search/query/key/9789888304899/cat/all
","
9789888304899")</f>
        <v xml:space="preserve">
9789888304899</v>
      </c>
    </row>
    <row r="111" spans="1:18" x14ac:dyDescent="0.25">
      <c r="A111" s="1">
        <v>107</v>
      </c>
      <c r="B111" s="56" t="s">
        <v>451</v>
      </c>
      <c r="C111" s="57" t="s">
        <v>452</v>
      </c>
      <c r="D111" s="57" t="s">
        <v>453</v>
      </c>
      <c r="E111" s="58" t="s">
        <v>368</v>
      </c>
      <c r="F111" s="58" t="s">
        <v>454</v>
      </c>
      <c r="G111" s="4" t="s">
        <v>3443</v>
      </c>
      <c r="H111" s="58"/>
      <c r="I111" s="57">
        <v>270</v>
      </c>
      <c r="J111" s="79">
        <f t="shared" si="6"/>
        <v>210.6</v>
      </c>
      <c r="K111" s="59">
        <v>1</v>
      </c>
      <c r="L111" s="84">
        <f t="shared" si="7"/>
        <v>210.6</v>
      </c>
      <c r="M111" s="60" t="s">
        <v>450</v>
      </c>
      <c r="N111" s="57"/>
      <c r="O111" s="57"/>
      <c r="P111" s="57"/>
      <c r="Q111" s="17" t="s">
        <v>19</v>
      </c>
      <c r="R111" s="70" t="str">
        <f>HYPERLINK("http://search.books.com.tw/search/query/key/9789865664398/cat/all
","
9789865664398")</f>
        <v xml:space="preserve">
9789865664398</v>
      </c>
    </row>
    <row r="112" spans="1:18" x14ac:dyDescent="0.25">
      <c r="A112" s="1">
        <v>108</v>
      </c>
      <c r="B112" s="56" t="s">
        <v>455</v>
      </c>
      <c r="C112" s="57" t="s">
        <v>456</v>
      </c>
      <c r="D112" s="57" t="s">
        <v>457</v>
      </c>
      <c r="E112" s="58" t="s">
        <v>363</v>
      </c>
      <c r="F112" s="58" t="s">
        <v>458</v>
      </c>
      <c r="G112" s="4" t="s">
        <v>3443</v>
      </c>
      <c r="H112" s="58"/>
      <c r="I112" s="57">
        <v>329</v>
      </c>
      <c r="J112" s="79">
        <f t="shared" si="6"/>
        <v>256.62</v>
      </c>
      <c r="K112" s="59">
        <v>1</v>
      </c>
      <c r="L112" s="84">
        <f t="shared" si="7"/>
        <v>256.62</v>
      </c>
      <c r="M112" s="60" t="s">
        <v>450</v>
      </c>
      <c r="N112" s="57"/>
      <c r="O112" s="57"/>
      <c r="P112" s="57"/>
      <c r="Q112" s="17" t="s">
        <v>19</v>
      </c>
      <c r="R112" s="70" t="str">
        <f>HYPERLINK("http://search.books.com.tw/search/query/key/9789571464930/cat/all
","
9789571464930")</f>
        <v xml:space="preserve">
9789571464930</v>
      </c>
    </row>
    <row r="113" spans="1:18" x14ac:dyDescent="0.25">
      <c r="A113" s="1">
        <v>109</v>
      </c>
      <c r="B113" s="56" t="s">
        <v>459</v>
      </c>
      <c r="C113" s="57" t="s">
        <v>460</v>
      </c>
      <c r="D113" s="57" t="s">
        <v>457</v>
      </c>
      <c r="E113" s="58" t="s">
        <v>363</v>
      </c>
      <c r="F113" s="58" t="s">
        <v>461</v>
      </c>
      <c r="G113" s="4" t="s">
        <v>3443</v>
      </c>
      <c r="H113" s="58"/>
      <c r="I113" s="57">
        <v>299</v>
      </c>
      <c r="J113" s="79">
        <f t="shared" si="6"/>
        <v>233.22</v>
      </c>
      <c r="K113" s="59">
        <v>1</v>
      </c>
      <c r="L113" s="84">
        <f t="shared" si="7"/>
        <v>233.22</v>
      </c>
      <c r="M113" s="60" t="s">
        <v>450</v>
      </c>
      <c r="N113" s="57"/>
      <c r="O113" s="57"/>
      <c r="P113" s="57"/>
      <c r="Q113" s="17" t="s">
        <v>19</v>
      </c>
      <c r="R113" s="70" t="str">
        <f>HYPERLINK("http://search.books.com.tw/search/query/key/9789571464640/cat/all
","
9789571464640")</f>
        <v xml:space="preserve">
9789571464640</v>
      </c>
    </row>
    <row r="114" spans="1:18" x14ac:dyDescent="0.25">
      <c r="A114" s="1">
        <v>110</v>
      </c>
      <c r="B114" s="56" t="s">
        <v>462</v>
      </c>
      <c r="C114" s="57" t="s">
        <v>463</v>
      </c>
      <c r="D114" s="57" t="s">
        <v>457</v>
      </c>
      <c r="E114" s="58" t="s">
        <v>363</v>
      </c>
      <c r="F114" s="58" t="s">
        <v>464</v>
      </c>
      <c r="G114" s="4" t="s">
        <v>3443</v>
      </c>
      <c r="H114" s="58"/>
      <c r="I114" s="57">
        <v>299</v>
      </c>
      <c r="J114" s="79">
        <f t="shared" si="6"/>
        <v>233.22</v>
      </c>
      <c r="K114" s="59">
        <v>1</v>
      </c>
      <c r="L114" s="84">
        <f t="shared" si="7"/>
        <v>233.22</v>
      </c>
      <c r="M114" s="60" t="s">
        <v>450</v>
      </c>
      <c r="N114" s="57"/>
      <c r="O114" s="57"/>
      <c r="P114" s="57"/>
      <c r="Q114" s="17" t="s">
        <v>19</v>
      </c>
      <c r="R114" s="70" t="str">
        <f>HYPERLINK("http://search.books.com.tw/search/query/key/9789571464879/cat/all
","
9789571464879")</f>
        <v xml:space="preserve">
9789571464879</v>
      </c>
    </row>
    <row r="115" spans="1:18" ht="33" hidden="1" x14ac:dyDescent="0.25">
      <c r="A115" s="1">
        <v>111</v>
      </c>
      <c r="B115" s="56" t="s">
        <v>465</v>
      </c>
      <c r="C115" s="57" t="s">
        <v>466</v>
      </c>
      <c r="D115" s="57" t="s">
        <v>457</v>
      </c>
      <c r="E115" s="58" t="s">
        <v>359</v>
      </c>
      <c r="F115" s="58" t="s">
        <v>467</v>
      </c>
      <c r="G115" s="58"/>
      <c r="H115" s="58"/>
      <c r="I115" s="57">
        <v>329</v>
      </c>
      <c r="J115" s="79">
        <f t="shared" si="6"/>
        <v>256.62</v>
      </c>
      <c r="K115" s="59"/>
      <c r="L115" s="84">
        <f t="shared" si="7"/>
        <v>0</v>
      </c>
      <c r="M115" s="60" t="s">
        <v>450</v>
      </c>
      <c r="N115" s="57"/>
      <c r="O115" s="57"/>
      <c r="P115" s="57"/>
      <c r="Q115" s="17" t="s">
        <v>19</v>
      </c>
      <c r="R115" s="70" t="str">
        <f>HYPERLINK("http://search.books.com.tw/search/query/key/9789571464862/cat/all
","
9789571464862")</f>
        <v xml:space="preserve">
9789571464862</v>
      </c>
    </row>
    <row r="116" spans="1:18" ht="33" x14ac:dyDescent="0.25">
      <c r="A116" s="1">
        <v>112</v>
      </c>
      <c r="B116" s="56" t="s">
        <v>468</v>
      </c>
      <c r="C116" s="57" t="s">
        <v>469</v>
      </c>
      <c r="D116" s="57" t="s">
        <v>470</v>
      </c>
      <c r="E116" s="58" t="s">
        <v>368</v>
      </c>
      <c r="F116" s="58" t="s">
        <v>471</v>
      </c>
      <c r="G116" s="4" t="s">
        <v>3444</v>
      </c>
      <c r="H116" s="58"/>
      <c r="I116" s="57">
        <v>320</v>
      </c>
      <c r="J116" s="79">
        <f t="shared" si="6"/>
        <v>249.6</v>
      </c>
      <c r="K116" s="59">
        <v>1</v>
      </c>
      <c r="L116" s="84">
        <f t="shared" si="7"/>
        <v>249.6</v>
      </c>
      <c r="M116" s="60" t="s">
        <v>450</v>
      </c>
      <c r="N116" s="57"/>
      <c r="O116" s="57"/>
      <c r="P116" s="57"/>
      <c r="Q116" s="17" t="s">
        <v>19</v>
      </c>
      <c r="R116" s="70" t="str">
        <f>HYPERLINK("http://search.books.com.tw/search/query/key/9789576580888/cat/all
","
9789576580888")</f>
        <v xml:space="preserve">
9789576580888</v>
      </c>
    </row>
    <row r="117" spans="1:18" hidden="1" x14ac:dyDescent="0.25">
      <c r="A117" s="1">
        <v>113</v>
      </c>
      <c r="B117" s="56" t="s">
        <v>472</v>
      </c>
      <c r="C117" s="57" t="s">
        <v>473</v>
      </c>
      <c r="D117" s="57" t="s">
        <v>474</v>
      </c>
      <c r="E117" s="58" t="s">
        <v>368</v>
      </c>
      <c r="F117" s="58" t="s">
        <v>475</v>
      </c>
      <c r="G117" s="58"/>
      <c r="H117" s="58"/>
      <c r="I117" s="57">
        <v>350</v>
      </c>
      <c r="J117" s="79">
        <f t="shared" si="6"/>
        <v>273</v>
      </c>
      <c r="K117" s="59"/>
      <c r="L117" s="84">
        <f t="shared" si="7"/>
        <v>0</v>
      </c>
      <c r="M117" s="60" t="s">
        <v>450</v>
      </c>
      <c r="N117" s="57"/>
      <c r="O117" s="57"/>
      <c r="P117" s="57"/>
      <c r="Q117" s="17" t="s">
        <v>19</v>
      </c>
      <c r="R117" s="70" t="str">
        <f>HYPERLINK("http://search.books.com.tw/search/query/key/9789577626462/cat/all
","
9789577626462")</f>
        <v xml:space="preserve">
9789577626462</v>
      </c>
    </row>
    <row r="118" spans="1:18" hidden="1" x14ac:dyDescent="0.25">
      <c r="A118" s="1">
        <v>114</v>
      </c>
      <c r="B118" s="56" t="s">
        <v>476</v>
      </c>
      <c r="C118" s="57" t="s">
        <v>477</v>
      </c>
      <c r="D118" s="57" t="s">
        <v>474</v>
      </c>
      <c r="E118" s="58" t="s">
        <v>359</v>
      </c>
      <c r="F118" s="58" t="s">
        <v>478</v>
      </c>
      <c r="G118" s="58"/>
      <c r="H118" s="58"/>
      <c r="I118" s="57">
        <v>280</v>
      </c>
      <c r="J118" s="79">
        <f t="shared" si="6"/>
        <v>218.4</v>
      </c>
      <c r="K118" s="59"/>
      <c r="L118" s="84">
        <f t="shared" si="7"/>
        <v>0</v>
      </c>
      <c r="M118" s="60" t="s">
        <v>450</v>
      </c>
      <c r="N118" s="57"/>
      <c r="O118" s="57"/>
      <c r="P118" s="57"/>
      <c r="Q118" s="17" t="s">
        <v>19</v>
      </c>
      <c r="R118" s="70" t="str">
        <f>HYPERLINK("http://search.books.com.tw/search/query/key/9789577626325/cat/all
","
9789577626325")</f>
        <v xml:space="preserve">
9789577626325</v>
      </c>
    </row>
    <row r="119" spans="1:18" hidden="1" x14ac:dyDescent="0.25">
      <c r="A119" s="1">
        <v>115</v>
      </c>
      <c r="B119" s="56" t="s">
        <v>479</v>
      </c>
      <c r="C119" s="57" t="s">
        <v>480</v>
      </c>
      <c r="D119" s="57" t="s">
        <v>481</v>
      </c>
      <c r="E119" s="58" t="s">
        <v>363</v>
      </c>
      <c r="F119" s="58" t="s">
        <v>482</v>
      </c>
      <c r="G119" s="58"/>
      <c r="H119" s="58"/>
      <c r="I119" s="57">
        <v>290</v>
      </c>
      <c r="J119" s="79">
        <f t="shared" si="6"/>
        <v>226.2</v>
      </c>
      <c r="K119" s="59"/>
      <c r="L119" s="84">
        <f t="shared" si="7"/>
        <v>0</v>
      </c>
      <c r="M119" s="60" t="s">
        <v>450</v>
      </c>
      <c r="N119" s="57"/>
      <c r="O119" s="57"/>
      <c r="P119" s="57"/>
      <c r="Q119" s="17" t="s">
        <v>19</v>
      </c>
      <c r="R119" s="70" t="str">
        <f>HYPERLINK("http://search.books.com.tw/search/query/key/9789579125239/cat/all
","
9789579125239")</f>
        <v xml:space="preserve">
9789579125239</v>
      </c>
    </row>
    <row r="120" spans="1:18" x14ac:dyDescent="0.25">
      <c r="A120" s="1">
        <v>116</v>
      </c>
      <c r="B120" s="56" t="s">
        <v>483</v>
      </c>
      <c r="C120" s="57" t="s">
        <v>484</v>
      </c>
      <c r="D120" s="57" t="s">
        <v>481</v>
      </c>
      <c r="E120" s="58" t="s">
        <v>368</v>
      </c>
      <c r="F120" s="58" t="s">
        <v>485</v>
      </c>
      <c r="G120" s="4" t="s">
        <v>3443</v>
      </c>
      <c r="H120" s="58"/>
      <c r="I120" s="57">
        <v>290</v>
      </c>
      <c r="J120" s="79">
        <f t="shared" si="6"/>
        <v>226.2</v>
      </c>
      <c r="K120" s="59">
        <v>1</v>
      </c>
      <c r="L120" s="84">
        <f t="shared" si="7"/>
        <v>226.2</v>
      </c>
      <c r="M120" s="60" t="s">
        <v>450</v>
      </c>
      <c r="N120" s="57"/>
      <c r="O120" s="57"/>
      <c r="P120" s="57"/>
      <c r="Q120" s="17" t="s">
        <v>19</v>
      </c>
      <c r="R120" s="70" t="str">
        <f>HYPERLINK("http://search.books.com.tw/search/query/key/9789579125253/cat/all
","
9789579125253")</f>
        <v xml:space="preserve">
9789579125253</v>
      </c>
    </row>
    <row r="121" spans="1:18" x14ac:dyDescent="0.25">
      <c r="A121" s="1">
        <v>117</v>
      </c>
      <c r="B121" s="56" t="s">
        <v>486</v>
      </c>
      <c r="C121" s="57" t="s">
        <v>487</v>
      </c>
      <c r="D121" s="57" t="s">
        <v>481</v>
      </c>
      <c r="E121" s="58" t="s">
        <v>368</v>
      </c>
      <c r="F121" s="58" t="s">
        <v>488</v>
      </c>
      <c r="G121" s="4" t="s">
        <v>3443</v>
      </c>
      <c r="H121" s="58"/>
      <c r="I121" s="57">
        <v>300</v>
      </c>
      <c r="J121" s="79">
        <f t="shared" si="6"/>
        <v>234</v>
      </c>
      <c r="K121" s="59">
        <v>1</v>
      </c>
      <c r="L121" s="84">
        <f t="shared" si="7"/>
        <v>234</v>
      </c>
      <c r="M121" s="60" t="s">
        <v>450</v>
      </c>
      <c r="N121" s="57"/>
      <c r="O121" s="57"/>
      <c r="P121" s="57"/>
      <c r="Q121" s="17" t="s">
        <v>19</v>
      </c>
      <c r="R121" s="70" t="str">
        <f>HYPERLINK("http://search.books.com.tw/search/query/key/9789579125260/cat/all
","
9789579125260")</f>
        <v xml:space="preserve">
9789579125260</v>
      </c>
    </row>
    <row r="122" spans="1:18" x14ac:dyDescent="0.25">
      <c r="A122" s="1">
        <v>118</v>
      </c>
      <c r="B122" s="56" t="s">
        <v>489</v>
      </c>
      <c r="C122" s="57" t="s">
        <v>490</v>
      </c>
      <c r="D122" s="57" t="s">
        <v>481</v>
      </c>
      <c r="E122" s="58" t="s">
        <v>363</v>
      </c>
      <c r="F122" s="58" t="s">
        <v>491</v>
      </c>
      <c r="G122" s="4" t="s">
        <v>3443</v>
      </c>
      <c r="H122" s="58"/>
      <c r="I122" s="57">
        <v>300</v>
      </c>
      <c r="J122" s="79">
        <f t="shared" si="6"/>
        <v>234</v>
      </c>
      <c r="K122" s="59">
        <v>1</v>
      </c>
      <c r="L122" s="84">
        <f t="shared" si="7"/>
        <v>234</v>
      </c>
      <c r="M122" s="60" t="s">
        <v>450</v>
      </c>
      <c r="N122" s="57"/>
      <c r="O122" s="57"/>
      <c r="P122" s="57"/>
      <c r="Q122" s="17" t="s">
        <v>19</v>
      </c>
      <c r="R122" s="70" t="str">
        <f>HYPERLINK("http://search.books.com.tw/search/query/key/9789579125246/cat/all
","
9789579125246")</f>
        <v xml:space="preserve">
9789579125246</v>
      </c>
    </row>
    <row r="123" spans="1:18" x14ac:dyDescent="0.25">
      <c r="A123" s="1">
        <v>119</v>
      </c>
      <c r="B123" s="56" t="s">
        <v>492</v>
      </c>
      <c r="C123" s="57" t="s">
        <v>493</v>
      </c>
      <c r="D123" s="57" t="s">
        <v>481</v>
      </c>
      <c r="E123" s="58" t="s">
        <v>368</v>
      </c>
      <c r="F123" s="58" t="s">
        <v>494</v>
      </c>
      <c r="G123" s="4" t="s">
        <v>3443</v>
      </c>
      <c r="H123" s="58"/>
      <c r="I123" s="57">
        <v>300</v>
      </c>
      <c r="J123" s="79">
        <f t="shared" si="6"/>
        <v>234</v>
      </c>
      <c r="K123" s="59">
        <v>1</v>
      </c>
      <c r="L123" s="84">
        <f t="shared" si="7"/>
        <v>234</v>
      </c>
      <c r="M123" s="60" t="s">
        <v>450</v>
      </c>
      <c r="N123" s="57"/>
      <c r="O123" s="57"/>
      <c r="P123" s="57"/>
      <c r="Q123" s="17" t="s">
        <v>19</v>
      </c>
      <c r="R123" s="70" t="str">
        <f>HYPERLINK("http://search.books.com.tw/search/query/key/9789579125277/cat/all
","
9789579125277")</f>
        <v xml:space="preserve">
9789579125277</v>
      </c>
    </row>
    <row r="124" spans="1:18" hidden="1" x14ac:dyDescent="0.25">
      <c r="A124" s="1">
        <v>120</v>
      </c>
      <c r="B124" s="56" t="s">
        <v>495</v>
      </c>
      <c r="C124" s="57" t="s">
        <v>496</v>
      </c>
      <c r="D124" s="57" t="s">
        <v>481</v>
      </c>
      <c r="E124" s="58" t="s">
        <v>363</v>
      </c>
      <c r="F124" s="58" t="s">
        <v>497</v>
      </c>
      <c r="G124" s="58"/>
      <c r="H124" s="58"/>
      <c r="I124" s="57">
        <v>290</v>
      </c>
      <c r="J124" s="79">
        <f t="shared" si="6"/>
        <v>226.2</v>
      </c>
      <c r="K124" s="59"/>
      <c r="L124" s="84">
        <f t="shared" si="7"/>
        <v>0</v>
      </c>
      <c r="M124" s="60" t="s">
        <v>450</v>
      </c>
      <c r="N124" s="57"/>
      <c r="O124" s="57"/>
      <c r="P124" s="57"/>
      <c r="Q124" s="17" t="s">
        <v>19</v>
      </c>
      <c r="R124" s="70" t="str">
        <f>HYPERLINK("http://search.books.com.tw/search/query/key/9789579125222/cat/all
","
9789579125222")</f>
        <v xml:space="preserve">
9789579125222</v>
      </c>
    </row>
    <row r="125" spans="1:18" x14ac:dyDescent="0.25">
      <c r="A125" s="1">
        <v>121</v>
      </c>
      <c r="B125" s="56" t="s">
        <v>498</v>
      </c>
      <c r="C125" s="57" t="s">
        <v>499</v>
      </c>
      <c r="D125" s="57" t="s">
        <v>500</v>
      </c>
      <c r="E125" s="58" t="s">
        <v>368</v>
      </c>
      <c r="F125" s="58" t="s">
        <v>501</v>
      </c>
      <c r="G125" s="4" t="s">
        <v>3444</v>
      </c>
      <c r="H125" s="58"/>
      <c r="I125" s="57">
        <v>230</v>
      </c>
      <c r="J125" s="79">
        <f t="shared" si="6"/>
        <v>179.4</v>
      </c>
      <c r="K125" s="59">
        <v>1</v>
      </c>
      <c r="L125" s="84">
        <f t="shared" si="7"/>
        <v>179.4</v>
      </c>
      <c r="M125" s="60" t="s">
        <v>450</v>
      </c>
      <c r="N125" s="57"/>
      <c r="O125" s="57"/>
      <c r="P125" s="57"/>
      <c r="Q125" s="17" t="s">
        <v>19</v>
      </c>
      <c r="R125" s="70" t="str">
        <f>HYPERLINK("http://search.books.com.tw/search/query/key/9789864435319/cat/all
","
9789864435319")</f>
        <v xml:space="preserve">
9789864435319</v>
      </c>
    </row>
    <row r="126" spans="1:18" ht="33" hidden="1" x14ac:dyDescent="0.25">
      <c r="A126" s="1">
        <v>122</v>
      </c>
      <c r="B126" s="56" t="s">
        <v>502</v>
      </c>
      <c r="C126" s="57" t="s">
        <v>503</v>
      </c>
      <c r="D126" s="57" t="s">
        <v>504</v>
      </c>
      <c r="E126" s="58" t="s">
        <v>368</v>
      </c>
      <c r="F126" s="58" t="s">
        <v>505</v>
      </c>
      <c r="G126" s="58"/>
      <c r="H126" s="58"/>
      <c r="I126" s="57">
        <v>420</v>
      </c>
      <c r="J126" s="79">
        <f t="shared" si="6"/>
        <v>327.60000000000002</v>
      </c>
      <c r="K126" s="59"/>
      <c r="L126" s="84">
        <f t="shared" si="7"/>
        <v>0</v>
      </c>
      <c r="M126" s="60" t="s">
        <v>450</v>
      </c>
      <c r="N126" s="57"/>
      <c r="O126" s="57"/>
      <c r="P126" s="57"/>
      <c r="Q126" s="17" t="s">
        <v>19</v>
      </c>
      <c r="R126" s="70" t="str">
        <f>HYPERLINK("http://search.books.com.tw/search/query/key/9789864795536/cat/all
","
9789864795536")</f>
        <v xml:space="preserve">
9789864795536</v>
      </c>
    </row>
    <row r="127" spans="1:18" x14ac:dyDescent="0.25">
      <c r="A127" s="1">
        <v>123</v>
      </c>
      <c r="B127" s="56" t="s">
        <v>506</v>
      </c>
      <c r="C127" s="57" t="s">
        <v>507</v>
      </c>
      <c r="D127" s="57" t="s">
        <v>504</v>
      </c>
      <c r="E127" s="58" t="s">
        <v>363</v>
      </c>
      <c r="F127" s="58" t="s">
        <v>508</v>
      </c>
      <c r="G127" s="4" t="s">
        <v>3443</v>
      </c>
      <c r="H127" s="58"/>
      <c r="I127" s="57">
        <v>320</v>
      </c>
      <c r="J127" s="79">
        <f t="shared" si="6"/>
        <v>249.6</v>
      </c>
      <c r="K127" s="59">
        <v>1</v>
      </c>
      <c r="L127" s="84">
        <f t="shared" si="7"/>
        <v>249.6</v>
      </c>
      <c r="M127" s="60" t="s">
        <v>450</v>
      </c>
      <c r="N127" s="57"/>
      <c r="O127" s="57"/>
      <c r="P127" s="57"/>
      <c r="Q127" s="17" t="s">
        <v>19</v>
      </c>
      <c r="R127" s="70" t="str">
        <f>HYPERLINK("http://search.books.com.tw/search/query/key/9789864795710/cat/all
","
9789864795710")</f>
        <v xml:space="preserve">
9789864795710</v>
      </c>
    </row>
    <row r="128" spans="1:18" hidden="1" x14ac:dyDescent="0.25">
      <c r="A128" s="1">
        <v>124</v>
      </c>
      <c r="B128" s="56" t="s">
        <v>509</v>
      </c>
      <c r="C128" s="57" t="s">
        <v>510</v>
      </c>
      <c r="D128" s="57" t="s">
        <v>504</v>
      </c>
      <c r="E128" s="58" t="s">
        <v>363</v>
      </c>
      <c r="F128" s="58" t="s">
        <v>511</v>
      </c>
      <c r="G128" s="58"/>
      <c r="H128" s="58"/>
      <c r="I128" s="57">
        <v>320</v>
      </c>
      <c r="J128" s="79">
        <f t="shared" si="6"/>
        <v>249.6</v>
      </c>
      <c r="K128" s="59"/>
      <c r="L128" s="84">
        <f t="shared" si="7"/>
        <v>0</v>
      </c>
      <c r="M128" s="60" t="s">
        <v>450</v>
      </c>
      <c r="N128" s="57"/>
      <c r="O128" s="57"/>
      <c r="P128" s="57"/>
      <c r="Q128" s="17" t="s">
        <v>19</v>
      </c>
      <c r="R128" s="70" t="str">
        <f>HYPERLINK("http://search.books.com.tw/search/query/key/9789864795628/cat/all
","
9789864795628")</f>
        <v xml:space="preserve">
9789864795628</v>
      </c>
    </row>
    <row r="129" spans="1:18" x14ac:dyDescent="0.25">
      <c r="A129" s="1">
        <v>125</v>
      </c>
      <c r="B129" s="56" t="s">
        <v>512</v>
      </c>
      <c r="C129" s="57" t="s">
        <v>513</v>
      </c>
      <c r="D129" s="57" t="s">
        <v>504</v>
      </c>
      <c r="E129" s="58" t="s">
        <v>368</v>
      </c>
      <c r="F129" s="58" t="s">
        <v>514</v>
      </c>
      <c r="G129" s="4" t="s">
        <v>3447</v>
      </c>
      <c r="H129" s="58"/>
      <c r="I129" s="57">
        <v>280</v>
      </c>
      <c r="J129" s="79">
        <f t="shared" si="6"/>
        <v>218.4</v>
      </c>
      <c r="K129" s="59">
        <v>1</v>
      </c>
      <c r="L129" s="84">
        <f t="shared" si="7"/>
        <v>218.4</v>
      </c>
      <c r="M129" s="60" t="s">
        <v>450</v>
      </c>
      <c r="N129" s="57"/>
      <c r="O129" s="57"/>
      <c r="P129" s="57"/>
      <c r="Q129" s="17" t="s">
        <v>19</v>
      </c>
      <c r="R129" s="70" t="str">
        <f>HYPERLINK("http://search.books.com.tw/search/query/key/9789864795871/cat/all
","
9789864795871")</f>
        <v xml:space="preserve">
9789864795871</v>
      </c>
    </row>
    <row r="130" spans="1:18" x14ac:dyDescent="0.25">
      <c r="A130" s="1">
        <v>126</v>
      </c>
      <c r="B130" s="56" t="s">
        <v>515</v>
      </c>
      <c r="C130" s="57" t="s">
        <v>516</v>
      </c>
      <c r="D130" s="57" t="s">
        <v>517</v>
      </c>
      <c r="E130" s="58" t="s">
        <v>363</v>
      </c>
      <c r="F130" s="58" t="s">
        <v>518</v>
      </c>
      <c r="G130" s="4" t="s">
        <v>3447</v>
      </c>
      <c r="H130" s="58"/>
      <c r="I130" s="57">
        <v>330</v>
      </c>
      <c r="J130" s="79">
        <f t="shared" si="6"/>
        <v>257.39999999999998</v>
      </c>
      <c r="K130" s="59">
        <v>1</v>
      </c>
      <c r="L130" s="84">
        <f t="shared" si="7"/>
        <v>257.39999999999998</v>
      </c>
      <c r="M130" s="60" t="s">
        <v>450</v>
      </c>
      <c r="N130" s="57"/>
      <c r="O130" s="57"/>
      <c r="P130" s="57"/>
      <c r="Q130" s="17" t="s">
        <v>19</v>
      </c>
      <c r="R130" s="70" t="str">
        <f>HYPERLINK("http://search.books.com.tw/search/query/key/9789571197760/cat/all
","
9789571197760")</f>
        <v xml:space="preserve">
9789571197760</v>
      </c>
    </row>
    <row r="131" spans="1:18" ht="33" hidden="1" x14ac:dyDescent="0.25">
      <c r="A131" s="1">
        <v>127</v>
      </c>
      <c r="B131" s="56" t="s">
        <v>519</v>
      </c>
      <c r="C131" s="57" t="s">
        <v>520</v>
      </c>
      <c r="D131" s="57" t="s">
        <v>517</v>
      </c>
      <c r="E131" s="58" t="s">
        <v>363</v>
      </c>
      <c r="F131" s="58" t="s">
        <v>521</v>
      </c>
      <c r="G131" s="58"/>
      <c r="H131" s="58"/>
      <c r="I131" s="57">
        <v>350</v>
      </c>
      <c r="J131" s="79">
        <f t="shared" si="6"/>
        <v>273</v>
      </c>
      <c r="K131" s="59"/>
      <c r="L131" s="84">
        <f t="shared" si="7"/>
        <v>0</v>
      </c>
      <c r="M131" s="60" t="s">
        <v>450</v>
      </c>
      <c r="N131" s="57"/>
      <c r="O131" s="57"/>
      <c r="P131" s="57"/>
      <c r="Q131" s="17" t="s">
        <v>19</v>
      </c>
      <c r="R131" s="70" t="str">
        <f>HYPERLINK("http://search.books.com.tw/search/query/key/9789571199665/cat/all
","
9789571199665")</f>
        <v xml:space="preserve">
9789571199665</v>
      </c>
    </row>
    <row r="132" spans="1:18" x14ac:dyDescent="0.25">
      <c r="A132" s="1">
        <v>128</v>
      </c>
      <c r="B132" s="56" t="s">
        <v>522</v>
      </c>
      <c r="C132" s="57" t="s">
        <v>523</v>
      </c>
      <c r="D132" s="57" t="s">
        <v>524</v>
      </c>
      <c r="E132" s="58" t="s">
        <v>363</v>
      </c>
      <c r="F132" s="58" t="s">
        <v>525</v>
      </c>
      <c r="G132" s="4" t="s">
        <v>3443</v>
      </c>
      <c r="H132" s="58"/>
      <c r="I132" s="57">
        <v>320</v>
      </c>
      <c r="J132" s="79">
        <f t="shared" si="6"/>
        <v>249.6</v>
      </c>
      <c r="K132" s="59">
        <v>1</v>
      </c>
      <c r="L132" s="84">
        <f t="shared" si="7"/>
        <v>249.6</v>
      </c>
      <c r="M132" s="60" t="s">
        <v>450</v>
      </c>
      <c r="N132" s="57"/>
      <c r="O132" s="57"/>
      <c r="P132" s="57"/>
      <c r="Q132" s="17" t="s">
        <v>19</v>
      </c>
      <c r="R132" s="70" t="str">
        <f>HYPERLINK("http://search.books.com.tw/search/query/key/9789860568271/cat/all
","
9789860568271")</f>
        <v xml:space="preserve">
9789860568271</v>
      </c>
    </row>
    <row r="133" spans="1:18" x14ac:dyDescent="0.25">
      <c r="A133" s="1">
        <v>129</v>
      </c>
      <c r="B133" s="56" t="s">
        <v>526</v>
      </c>
      <c r="C133" s="57" t="s">
        <v>527</v>
      </c>
      <c r="D133" s="57" t="s">
        <v>524</v>
      </c>
      <c r="E133" s="58" t="s">
        <v>368</v>
      </c>
      <c r="F133" s="58" t="s">
        <v>528</v>
      </c>
      <c r="G133" s="4" t="s">
        <v>3443</v>
      </c>
      <c r="H133" s="58"/>
      <c r="I133" s="57">
        <v>320</v>
      </c>
      <c r="J133" s="79">
        <f t="shared" si="6"/>
        <v>249.6</v>
      </c>
      <c r="K133" s="59">
        <v>1</v>
      </c>
      <c r="L133" s="84">
        <f t="shared" si="7"/>
        <v>249.6</v>
      </c>
      <c r="M133" s="60" t="s">
        <v>450</v>
      </c>
      <c r="N133" s="57"/>
      <c r="O133" s="57"/>
      <c r="P133" s="57"/>
      <c r="Q133" s="17" t="s">
        <v>19</v>
      </c>
      <c r="R133" s="70" t="str">
        <f>HYPERLINK("http://search.books.com.tw/search/query/key/9789862118672/cat/all
","
9789862118672")</f>
        <v xml:space="preserve">
9789862118672</v>
      </c>
    </row>
    <row r="134" spans="1:18" x14ac:dyDescent="0.25">
      <c r="A134" s="1">
        <v>130</v>
      </c>
      <c r="B134" s="56" t="s">
        <v>529</v>
      </c>
      <c r="C134" s="57" t="s">
        <v>530</v>
      </c>
      <c r="D134" s="57" t="s">
        <v>531</v>
      </c>
      <c r="E134" s="58" t="s">
        <v>363</v>
      </c>
      <c r="F134" s="58" t="s">
        <v>532</v>
      </c>
      <c r="G134" s="4" t="s">
        <v>3443</v>
      </c>
      <c r="H134" s="58"/>
      <c r="I134" s="57">
        <v>280</v>
      </c>
      <c r="J134" s="79">
        <f t="shared" ref="J134:J197" si="8">ROUND(I134*0.78,2)</f>
        <v>218.4</v>
      </c>
      <c r="K134" s="59">
        <v>1</v>
      </c>
      <c r="L134" s="84">
        <f t="shared" ref="L134:L197" si="9">K134*J134</f>
        <v>218.4</v>
      </c>
      <c r="M134" s="60" t="s">
        <v>450</v>
      </c>
      <c r="N134" s="57"/>
      <c r="O134" s="57"/>
      <c r="P134" s="57"/>
      <c r="Q134" s="17" t="s">
        <v>19</v>
      </c>
      <c r="R134" s="70" t="str">
        <f>HYPERLINK("http://search.books.com.tw/search/query/key/9789869706926/cat/all
","
9789869706926")</f>
        <v xml:space="preserve">
9789869706926</v>
      </c>
    </row>
    <row r="135" spans="1:18" ht="33" x14ac:dyDescent="0.25">
      <c r="A135" s="1">
        <v>131</v>
      </c>
      <c r="B135" s="56" t="s">
        <v>533</v>
      </c>
      <c r="C135" s="57" t="s">
        <v>534</v>
      </c>
      <c r="D135" s="57" t="s">
        <v>535</v>
      </c>
      <c r="E135" s="58" t="s">
        <v>368</v>
      </c>
      <c r="F135" s="58" t="s">
        <v>536</v>
      </c>
      <c r="G135" s="58"/>
      <c r="H135" s="58"/>
      <c r="I135" s="57">
        <v>320</v>
      </c>
      <c r="J135" s="79">
        <f t="shared" si="8"/>
        <v>249.6</v>
      </c>
      <c r="K135" s="59">
        <v>1</v>
      </c>
      <c r="L135" s="84">
        <f t="shared" si="9"/>
        <v>249.6</v>
      </c>
      <c r="M135" s="60" t="s">
        <v>450</v>
      </c>
      <c r="N135" s="57"/>
      <c r="O135" s="57"/>
      <c r="P135" s="57"/>
      <c r="Q135" s="17" t="s">
        <v>19</v>
      </c>
      <c r="R135" s="70" t="str">
        <f>HYPERLINK("http://search.books.com.tw/search/query/key/9789578640672/cat/all
","
9789578640672")</f>
        <v xml:space="preserve">
9789578640672</v>
      </c>
    </row>
    <row r="136" spans="1:18" x14ac:dyDescent="0.25">
      <c r="A136" s="1">
        <v>132</v>
      </c>
      <c r="B136" s="56" t="s">
        <v>537</v>
      </c>
      <c r="C136" s="57" t="s">
        <v>538</v>
      </c>
      <c r="D136" s="57" t="s">
        <v>535</v>
      </c>
      <c r="E136" s="58" t="s">
        <v>363</v>
      </c>
      <c r="F136" s="58" t="s">
        <v>539</v>
      </c>
      <c r="G136" s="4" t="s">
        <v>3443</v>
      </c>
      <c r="H136" s="58"/>
      <c r="I136" s="57">
        <v>300</v>
      </c>
      <c r="J136" s="79">
        <f t="shared" si="8"/>
        <v>234</v>
      </c>
      <c r="K136" s="59">
        <v>1</v>
      </c>
      <c r="L136" s="84">
        <f t="shared" si="9"/>
        <v>234</v>
      </c>
      <c r="M136" s="60" t="s">
        <v>450</v>
      </c>
      <c r="N136" s="57"/>
      <c r="O136" s="57"/>
      <c r="P136" s="57"/>
      <c r="Q136" s="17" t="s">
        <v>19</v>
      </c>
      <c r="R136" s="70" t="str">
        <f>HYPERLINK("http://search.books.com.tw/search/query/key/9789578640610/cat/all
","
9789578640610")</f>
        <v xml:space="preserve">
9789578640610</v>
      </c>
    </row>
    <row r="137" spans="1:18" ht="33" hidden="1" x14ac:dyDescent="0.25">
      <c r="A137" s="1">
        <v>133</v>
      </c>
      <c r="B137" s="56" t="s">
        <v>540</v>
      </c>
      <c r="C137" s="57" t="s">
        <v>541</v>
      </c>
      <c r="D137" s="57" t="s">
        <v>542</v>
      </c>
      <c r="E137" s="58" t="s">
        <v>363</v>
      </c>
      <c r="F137" s="58" t="s">
        <v>543</v>
      </c>
      <c r="G137" s="58"/>
      <c r="H137" s="58"/>
      <c r="I137" s="57">
        <v>380</v>
      </c>
      <c r="J137" s="79">
        <f t="shared" si="8"/>
        <v>296.39999999999998</v>
      </c>
      <c r="K137" s="59"/>
      <c r="L137" s="84">
        <f t="shared" si="9"/>
        <v>0</v>
      </c>
      <c r="M137" s="60" t="s">
        <v>450</v>
      </c>
      <c r="N137" s="57"/>
      <c r="O137" s="57"/>
      <c r="P137" s="57"/>
      <c r="Q137" s="17" t="s">
        <v>19</v>
      </c>
      <c r="R137" s="70" t="str">
        <f>HYPERLINK("http://search.books.com.tw/search/query/key/9789578423633/cat/all
","
9789578423633")</f>
        <v xml:space="preserve">
9789578423633</v>
      </c>
    </row>
    <row r="138" spans="1:18" x14ac:dyDescent="0.25">
      <c r="A138" s="1">
        <v>134</v>
      </c>
      <c r="B138" s="56" t="s">
        <v>544</v>
      </c>
      <c r="C138" s="57" t="s">
        <v>545</v>
      </c>
      <c r="D138" s="57" t="s">
        <v>542</v>
      </c>
      <c r="E138" s="58" t="s">
        <v>368</v>
      </c>
      <c r="F138" s="58" t="s">
        <v>546</v>
      </c>
      <c r="G138" s="4" t="s">
        <v>3443</v>
      </c>
      <c r="H138" s="58"/>
      <c r="I138" s="57">
        <v>320</v>
      </c>
      <c r="J138" s="79">
        <f t="shared" si="8"/>
        <v>249.6</v>
      </c>
      <c r="K138" s="59">
        <v>1</v>
      </c>
      <c r="L138" s="84">
        <f t="shared" si="9"/>
        <v>249.6</v>
      </c>
      <c r="M138" s="60" t="s">
        <v>450</v>
      </c>
      <c r="N138" s="57"/>
      <c r="O138" s="57"/>
      <c r="P138" s="57"/>
      <c r="Q138" s="17" t="s">
        <v>19</v>
      </c>
      <c r="R138" s="70" t="str">
        <f>HYPERLINK("http://search.books.com.tw/search/query/key/9789578423657/cat/all
","
9789578423657")</f>
        <v xml:space="preserve">
9789578423657</v>
      </c>
    </row>
    <row r="139" spans="1:18" x14ac:dyDescent="0.25">
      <c r="A139" s="1">
        <v>135</v>
      </c>
      <c r="B139" s="56" t="s">
        <v>547</v>
      </c>
      <c r="C139" s="57" t="s">
        <v>548</v>
      </c>
      <c r="D139" s="57" t="s">
        <v>549</v>
      </c>
      <c r="E139" s="58" t="s">
        <v>363</v>
      </c>
      <c r="F139" s="58" t="s">
        <v>550</v>
      </c>
      <c r="G139" s="4" t="s">
        <v>3443</v>
      </c>
      <c r="H139" s="58"/>
      <c r="I139" s="57">
        <v>320</v>
      </c>
      <c r="J139" s="79">
        <f t="shared" si="8"/>
        <v>249.6</v>
      </c>
      <c r="K139" s="59">
        <v>1</v>
      </c>
      <c r="L139" s="84">
        <f t="shared" si="9"/>
        <v>249.6</v>
      </c>
      <c r="M139" s="60" t="s">
        <v>450</v>
      </c>
      <c r="N139" s="57"/>
      <c r="O139" s="57"/>
      <c r="P139" s="57"/>
      <c r="Q139" s="17" t="s">
        <v>19</v>
      </c>
      <c r="R139" s="70" t="str">
        <f>HYPERLINK("http://search.books.com.tw/search/query/key/9789869677851/cat/all
","
9789869677851")</f>
        <v xml:space="preserve">
9789869677851</v>
      </c>
    </row>
    <row r="140" spans="1:18" x14ac:dyDescent="0.25">
      <c r="A140" s="1">
        <v>136</v>
      </c>
      <c r="B140" s="56" t="s">
        <v>551</v>
      </c>
      <c r="C140" s="57" t="s">
        <v>548</v>
      </c>
      <c r="D140" s="57" t="s">
        <v>549</v>
      </c>
      <c r="E140" s="58" t="s">
        <v>363</v>
      </c>
      <c r="F140" s="58" t="s">
        <v>552</v>
      </c>
      <c r="G140" s="4" t="s">
        <v>3443</v>
      </c>
      <c r="H140" s="58"/>
      <c r="I140" s="57">
        <v>320</v>
      </c>
      <c r="J140" s="79">
        <f t="shared" si="8"/>
        <v>249.6</v>
      </c>
      <c r="K140" s="59">
        <v>1</v>
      </c>
      <c r="L140" s="84">
        <f t="shared" si="9"/>
        <v>249.6</v>
      </c>
      <c r="M140" s="60" t="s">
        <v>450</v>
      </c>
      <c r="N140" s="57"/>
      <c r="O140" s="57"/>
      <c r="P140" s="57"/>
      <c r="Q140" s="17" t="s">
        <v>19</v>
      </c>
      <c r="R140" s="70" t="str">
        <f>HYPERLINK("http://search.books.com.tw/search/query/key/9789869677868/cat/all
","
9789869677868")</f>
        <v xml:space="preserve">
9789869677868</v>
      </c>
    </row>
    <row r="141" spans="1:18" x14ac:dyDescent="0.25">
      <c r="A141" s="1">
        <v>137</v>
      </c>
      <c r="B141" s="56" t="s">
        <v>553</v>
      </c>
      <c r="C141" s="57" t="s">
        <v>554</v>
      </c>
      <c r="D141" s="57" t="s">
        <v>549</v>
      </c>
      <c r="E141" s="58" t="s">
        <v>368</v>
      </c>
      <c r="F141" s="58" t="s">
        <v>555</v>
      </c>
      <c r="G141" s="4" t="s">
        <v>3443</v>
      </c>
      <c r="H141" s="58"/>
      <c r="I141" s="57">
        <v>350</v>
      </c>
      <c r="J141" s="79">
        <f t="shared" si="8"/>
        <v>273</v>
      </c>
      <c r="K141" s="59">
        <v>1</v>
      </c>
      <c r="L141" s="84">
        <f t="shared" si="9"/>
        <v>273</v>
      </c>
      <c r="M141" s="60" t="s">
        <v>450</v>
      </c>
      <c r="N141" s="57"/>
      <c r="O141" s="57"/>
      <c r="P141" s="57"/>
      <c r="Q141" s="17" t="s">
        <v>19</v>
      </c>
      <c r="R141" s="70" t="str">
        <f>HYPERLINK("http://search.books.com.tw/search/query/key/9789869677844/cat/all
","
9789869677844")</f>
        <v xml:space="preserve">
9789869677844</v>
      </c>
    </row>
    <row r="142" spans="1:18" x14ac:dyDescent="0.25">
      <c r="A142" s="1">
        <v>138</v>
      </c>
      <c r="B142" s="56" t="s">
        <v>556</v>
      </c>
      <c r="C142" s="57" t="s">
        <v>557</v>
      </c>
      <c r="D142" s="57" t="s">
        <v>549</v>
      </c>
      <c r="E142" s="58" t="s">
        <v>368</v>
      </c>
      <c r="F142" s="58" t="s">
        <v>558</v>
      </c>
      <c r="G142" s="4" t="s">
        <v>3443</v>
      </c>
      <c r="H142" s="58"/>
      <c r="I142" s="57">
        <v>320</v>
      </c>
      <c r="J142" s="79">
        <f t="shared" si="8"/>
        <v>249.6</v>
      </c>
      <c r="K142" s="59">
        <v>1</v>
      </c>
      <c r="L142" s="84">
        <f t="shared" si="9"/>
        <v>249.6</v>
      </c>
      <c r="M142" s="60" t="s">
        <v>450</v>
      </c>
      <c r="N142" s="57"/>
      <c r="O142" s="57"/>
      <c r="P142" s="57"/>
      <c r="Q142" s="17" t="s">
        <v>19</v>
      </c>
      <c r="R142" s="70" t="str">
        <f>HYPERLINK("http://search.books.com.tw/search/query/key/9789869677882/cat/all
","
9789869677882")</f>
        <v xml:space="preserve">
9789869677882</v>
      </c>
    </row>
    <row r="143" spans="1:18" ht="33" x14ac:dyDescent="0.25">
      <c r="A143" s="1">
        <v>139</v>
      </c>
      <c r="B143" s="56" t="s">
        <v>559</v>
      </c>
      <c r="C143" s="57" t="s">
        <v>560</v>
      </c>
      <c r="D143" s="57" t="s">
        <v>561</v>
      </c>
      <c r="E143" s="58" t="s">
        <v>363</v>
      </c>
      <c r="F143" s="58" t="s">
        <v>562</v>
      </c>
      <c r="G143" s="4" t="s">
        <v>3443</v>
      </c>
      <c r="H143" s="58"/>
      <c r="I143" s="57">
        <v>350</v>
      </c>
      <c r="J143" s="79">
        <f t="shared" si="8"/>
        <v>273</v>
      </c>
      <c r="K143" s="59">
        <v>1</v>
      </c>
      <c r="L143" s="84">
        <f t="shared" si="9"/>
        <v>273</v>
      </c>
      <c r="M143" s="60" t="s">
        <v>450</v>
      </c>
      <c r="N143" s="57"/>
      <c r="O143" s="57"/>
      <c r="P143" s="57"/>
      <c r="Q143" s="17" t="s">
        <v>19</v>
      </c>
      <c r="R143" s="70" t="str">
        <f>HYPERLINK("http://search.books.com.tw/search/query/key/9789863843276/cat/all
","
9789863843276")</f>
        <v xml:space="preserve">
9789863843276</v>
      </c>
    </row>
    <row r="144" spans="1:18" hidden="1" x14ac:dyDescent="0.25">
      <c r="A144" s="1">
        <v>140</v>
      </c>
      <c r="B144" s="56" t="s">
        <v>563</v>
      </c>
      <c r="C144" s="57" t="s">
        <v>564</v>
      </c>
      <c r="D144" s="57" t="s">
        <v>565</v>
      </c>
      <c r="E144" s="58" t="s">
        <v>363</v>
      </c>
      <c r="F144" s="58" t="s">
        <v>566</v>
      </c>
      <c r="G144" s="58"/>
      <c r="H144" s="58"/>
      <c r="I144" s="57">
        <v>280</v>
      </c>
      <c r="J144" s="79">
        <f t="shared" si="8"/>
        <v>218.4</v>
      </c>
      <c r="K144" s="59"/>
      <c r="L144" s="84">
        <f t="shared" si="9"/>
        <v>0</v>
      </c>
      <c r="M144" s="60" t="s">
        <v>450</v>
      </c>
      <c r="N144" s="57"/>
      <c r="O144" s="57"/>
      <c r="P144" s="57"/>
      <c r="Q144" s="17" t="s">
        <v>19</v>
      </c>
      <c r="R144" s="70" t="str">
        <f>HYPERLINK("http://search.books.com.tw/search/query/key/9789869684620/cat/all
","
9789869684620")</f>
        <v xml:space="preserve">
9789869684620</v>
      </c>
    </row>
    <row r="145" spans="1:18" x14ac:dyDescent="0.25">
      <c r="A145" s="1">
        <v>141</v>
      </c>
      <c r="B145" s="56" t="s">
        <v>567</v>
      </c>
      <c r="C145" s="57" t="s">
        <v>568</v>
      </c>
      <c r="D145" s="57" t="s">
        <v>569</v>
      </c>
      <c r="E145" s="58" t="s">
        <v>363</v>
      </c>
      <c r="F145" s="58" t="s">
        <v>570</v>
      </c>
      <c r="G145" s="4" t="s">
        <v>3443</v>
      </c>
      <c r="H145" s="58"/>
      <c r="I145" s="57">
        <v>420</v>
      </c>
      <c r="J145" s="79">
        <f t="shared" si="8"/>
        <v>327.60000000000002</v>
      </c>
      <c r="K145" s="59">
        <v>1</v>
      </c>
      <c r="L145" s="84">
        <f t="shared" si="9"/>
        <v>327.60000000000002</v>
      </c>
      <c r="M145" s="60" t="s">
        <v>450</v>
      </c>
      <c r="N145" s="57"/>
      <c r="O145" s="57"/>
      <c r="P145" s="57"/>
      <c r="Q145" s="17" t="s">
        <v>19</v>
      </c>
      <c r="R145" s="70" t="str">
        <f>HYPERLINK("http://search.books.com.tw/search/query/key/9789864756445/cat/all
","
9789864756445")</f>
        <v xml:space="preserve">
9789864756445</v>
      </c>
    </row>
    <row r="146" spans="1:18" ht="33" hidden="1" x14ac:dyDescent="0.25">
      <c r="A146" s="1">
        <v>142</v>
      </c>
      <c r="B146" s="56" t="s">
        <v>571</v>
      </c>
      <c r="C146" s="57" t="s">
        <v>572</v>
      </c>
      <c r="D146" s="57" t="s">
        <v>573</v>
      </c>
      <c r="E146" s="58" t="s">
        <v>363</v>
      </c>
      <c r="F146" s="58" t="s">
        <v>574</v>
      </c>
      <c r="G146" s="58"/>
      <c r="H146" s="58"/>
      <c r="I146" s="57">
        <v>599</v>
      </c>
      <c r="J146" s="79">
        <f t="shared" si="8"/>
        <v>467.22</v>
      </c>
      <c r="K146" s="59"/>
      <c r="L146" s="84">
        <f t="shared" si="9"/>
        <v>0</v>
      </c>
      <c r="M146" s="60" t="s">
        <v>575</v>
      </c>
      <c r="N146" s="57"/>
      <c r="O146" s="57"/>
      <c r="P146" s="57"/>
      <c r="Q146" s="17" t="s">
        <v>19</v>
      </c>
      <c r="R146" s="70" t="str">
        <f>HYPERLINK("http://search.books.com.tw/search/query/key/9789862037676/cat/all
","
9789862037676")</f>
        <v xml:space="preserve">
9789862037676</v>
      </c>
    </row>
    <row r="147" spans="1:18" ht="33" hidden="1" x14ac:dyDescent="0.25">
      <c r="A147" s="1">
        <v>143</v>
      </c>
      <c r="B147" s="56" t="s">
        <v>576</v>
      </c>
      <c r="C147" s="57" t="s">
        <v>572</v>
      </c>
      <c r="D147" s="57" t="s">
        <v>573</v>
      </c>
      <c r="E147" s="58" t="s">
        <v>363</v>
      </c>
      <c r="F147" s="58" t="s">
        <v>577</v>
      </c>
      <c r="G147" s="58"/>
      <c r="H147" s="58"/>
      <c r="I147" s="57">
        <v>599</v>
      </c>
      <c r="J147" s="79">
        <f t="shared" si="8"/>
        <v>467.22</v>
      </c>
      <c r="K147" s="59"/>
      <c r="L147" s="84">
        <f t="shared" si="9"/>
        <v>0</v>
      </c>
      <c r="M147" s="60" t="s">
        <v>575</v>
      </c>
      <c r="N147" s="57"/>
      <c r="O147" s="57"/>
      <c r="P147" s="57"/>
      <c r="Q147" s="17" t="s">
        <v>19</v>
      </c>
      <c r="R147" s="70" t="str">
        <f>HYPERLINK("http://search.books.com.tw/search/query/key/9789862037669/cat/all
","
9789862037669")</f>
        <v xml:space="preserve">
9789862037669</v>
      </c>
    </row>
    <row r="148" spans="1:18" x14ac:dyDescent="0.25">
      <c r="A148" s="1">
        <v>144</v>
      </c>
      <c r="B148" s="56" t="s">
        <v>578</v>
      </c>
      <c r="C148" s="57" t="s">
        <v>579</v>
      </c>
      <c r="D148" s="57" t="s">
        <v>580</v>
      </c>
      <c r="E148" s="58" t="s">
        <v>368</v>
      </c>
      <c r="F148" s="58" t="s">
        <v>581</v>
      </c>
      <c r="G148" s="4" t="s">
        <v>3444</v>
      </c>
      <c r="H148" s="58"/>
      <c r="I148" s="57">
        <v>300</v>
      </c>
      <c r="J148" s="79">
        <f t="shared" si="8"/>
        <v>234</v>
      </c>
      <c r="K148" s="59">
        <v>1</v>
      </c>
      <c r="L148" s="84">
        <f t="shared" si="9"/>
        <v>234</v>
      </c>
      <c r="M148" s="60" t="s">
        <v>450</v>
      </c>
      <c r="N148" s="57"/>
      <c r="O148" s="57"/>
      <c r="P148" s="57"/>
      <c r="Q148" s="17" t="s">
        <v>19</v>
      </c>
      <c r="R148" s="70" t="str">
        <f>HYPERLINK("http://search.books.com.tw/search/query/key/9789864402502/cat/all
","
9789864402502")</f>
        <v xml:space="preserve">
9789864402502</v>
      </c>
    </row>
    <row r="149" spans="1:18" x14ac:dyDescent="0.25">
      <c r="A149" s="1">
        <v>145</v>
      </c>
      <c r="B149" s="56" t="s">
        <v>582</v>
      </c>
      <c r="C149" s="57" t="s">
        <v>583</v>
      </c>
      <c r="D149" s="57" t="s">
        <v>580</v>
      </c>
      <c r="E149" s="58" t="s">
        <v>368</v>
      </c>
      <c r="F149" s="58" t="s">
        <v>584</v>
      </c>
      <c r="G149" s="4" t="s">
        <v>3443</v>
      </c>
      <c r="H149" s="58"/>
      <c r="I149" s="57">
        <v>300</v>
      </c>
      <c r="J149" s="79">
        <f t="shared" si="8"/>
        <v>234</v>
      </c>
      <c r="K149" s="59">
        <v>1</v>
      </c>
      <c r="L149" s="84">
        <f t="shared" si="9"/>
        <v>234</v>
      </c>
      <c r="M149" s="60" t="s">
        <v>450</v>
      </c>
      <c r="N149" s="57"/>
      <c r="O149" s="57"/>
      <c r="P149" s="57"/>
      <c r="Q149" s="17" t="s">
        <v>19</v>
      </c>
      <c r="R149" s="70" t="str">
        <f>HYPERLINK("http://search.books.com.tw/search/query/key/9789864402380/cat/all
","
9789864402380")</f>
        <v xml:space="preserve">
9789864402380</v>
      </c>
    </row>
    <row r="150" spans="1:18" x14ac:dyDescent="0.25">
      <c r="A150" s="1">
        <v>146</v>
      </c>
      <c r="B150" s="56" t="s">
        <v>585</v>
      </c>
      <c r="C150" s="57" t="s">
        <v>586</v>
      </c>
      <c r="D150" s="57" t="s">
        <v>580</v>
      </c>
      <c r="E150" s="58" t="s">
        <v>368</v>
      </c>
      <c r="F150" s="58" t="s">
        <v>587</v>
      </c>
      <c r="G150" s="4" t="s">
        <v>3443</v>
      </c>
      <c r="H150" s="58"/>
      <c r="I150" s="57">
        <v>280</v>
      </c>
      <c r="J150" s="79">
        <f t="shared" si="8"/>
        <v>218.4</v>
      </c>
      <c r="K150" s="59">
        <v>1</v>
      </c>
      <c r="L150" s="84">
        <f t="shared" si="9"/>
        <v>218.4</v>
      </c>
      <c r="M150" s="60" t="s">
        <v>450</v>
      </c>
      <c r="N150" s="57"/>
      <c r="O150" s="57"/>
      <c r="P150" s="57"/>
      <c r="Q150" s="17" t="s">
        <v>19</v>
      </c>
      <c r="R150" s="70" t="str">
        <f>HYPERLINK("http://search.books.com.tw/search/query/key/9789864401420/cat/all
","
9789864401420")</f>
        <v xml:space="preserve">
9789864401420</v>
      </c>
    </row>
    <row r="151" spans="1:18" x14ac:dyDescent="0.25">
      <c r="A151" s="1">
        <v>147</v>
      </c>
      <c r="B151" s="56" t="s">
        <v>588</v>
      </c>
      <c r="C151" s="57" t="s">
        <v>589</v>
      </c>
      <c r="D151" s="57" t="s">
        <v>580</v>
      </c>
      <c r="E151" s="58" t="s">
        <v>368</v>
      </c>
      <c r="F151" s="58" t="s">
        <v>590</v>
      </c>
      <c r="G151" s="4" t="s">
        <v>3443</v>
      </c>
      <c r="H151" s="58"/>
      <c r="I151" s="57">
        <v>300</v>
      </c>
      <c r="J151" s="79">
        <f t="shared" si="8"/>
        <v>234</v>
      </c>
      <c r="K151" s="59">
        <v>1</v>
      </c>
      <c r="L151" s="84">
        <f t="shared" si="9"/>
        <v>234</v>
      </c>
      <c r="M151" s="60" t="s">
        <v>450</v>
      </c>
      <c r="N151" s="57"/>
      <c r="O151" s="57"/>
      <c r="P151" s="57"/>
      <c r="Q151" s="17" t="s">
        <v>19</v>
      </c>
      <c r="R151" s="70" t="str">
        <f>HYPERLINK("http://search.books.com.tw/search/query/key/9789864402519/cat/all
","
9789864402519")</f>
        <v xml:space="preserve">
9789864402519</v>
      </c>
    </row>
    <row r="152" spans="1:18" hidden="1" x14ac:dyDescent="0.25">
      <c r="A152" s="1">
        <v>148</v>
      </c>
      <c r="B152" s="56" t="s">
        <v>591</v>
      </c>
      <c r="C152" s="57" t="s">
        <v>592</v>
      </c>
      <c r="D152" s="57" t="s">
        <v>580</v>
      </c>
      <c r="E152" s="58" t="s">
        <v>368</v>
      </c>
      <c r="F152" s="58" t="s">
        <v>593</v>
      </c>
      <c r="G152" s="58"/>
      <c r="H152" s="58"/>
      <c r="I152" s="57">
        <v>260</v>
      </c>
      <c r="J152" s="79">
        <f t="shared" si="8"/>
        <v>202.8</v>
      </c>
      <c r="K152" s="59"/>
      <c r="L152" s="84">
        <f t="shared" si="9"/>
        <v>0</v>
      </c>
      <c r="M152" s="60" t="s">
        <v>450</v>
      </c>
      <c r="N152" s="57"/>
      <c r="O152" s="57"/>
      <c r="P152" s="57"/>
      <c r="Q152" s="17" t="s">
        <v>19</v>
      </c>
      <c r="R152" s="70" t="str">
        <f>HYPERLINK("http://search.books.com.tw/search/query/key/9789864401451/cat/all
","
9789864401451")</f>
        <v xml:space="preserve">
9789864401451</v>
      </c>
    </row>
    <row r="153" spans="1:18" x14ac:dyDescent="0.25">
      <c r="A153" s="1">
        <v>149</v>
      </c>
      <c r="B153" s="56" t="s">
        <v>594</v>
      </c>
      <c r="C153" s="57" t="s">
        <v>595</v>
      </c>
      <c r="D153" s="57" t="s">
        <v>596</v>
      </c>
      <c r="E153" s="58" t="s">
        <v>363</v>
      </c>
      <c r="F153" s="58" t="s">
        <v>597</v>
      </c>
      <c r="G153" s="4" t="s">
        <v>3443</v>
      </c>
      <c r="H153" s="58"/>
      <c r="I153" s="57">
        <v>300</v>
      </c>
      <c r="J153" s="79">
        <f t="shared" si="8"/>
        <v>234</v>
      </c>
      <c r="K153" s="59">
        <v>1</v>
      </c>
      <c r="L153" s="84">
        <f t="shared" si="9"/>
        <v>234</v>
      </c>
      <c r="M153" s="60" t="s">
        <v>450</v>
      </c>
      <c r="N153" s="57"/>
      <c r="O153" s="57"/>
      <c r="P153" s="57"/>
      <c r="Q153" s="17" t="s">
        <v>19</v>
      </c>
      <c r="R153" s="70" t="str">
        <f>HYPERLINK("http://search.books.com.tw/search/query/key/9789864491315/cat/all
","
9789864491315")</f>
        <v xml:space="preserve">
9789864491315</v>
      </c>
    </row>
    <row r="154" spans="1:18" hidden="1" x14ac:dyDescent="0.25">
      <c r="A154" s="1">
        <v>150</v>
      </c>
      <c r="B154" s="56" t="s">
        <v>598</v>
      </c>
      <c r="C154" s="57" t="s">
        <v>595</v>
      </c>
      <c r="D154" s="57" t="s">
        <v>596</v>
      </c>
      <c r="E154" s="58" t="s">
        <v>368</v>
      </c>
      <c r="F154" s="58" t="s">
        <v>599</v>
      </c>
      <c r="G154" s="58"/>
      <c r="H154" s="58"/>
      <c r="I154" s="57">
        <v>300</v>
      </c>
      <c r="J154" s="79">
        <f t="shared" si="8"/>
        <v>234</v>
      </c>
      <c r="K154" s="59"/>
      <c r="L154" s="84">
        <f t="shared" si="9"/>
        <v>0</v>
      </c>
      <c r="M154" s="60" t="s">
        <v>450</v>
      </c>
      <c r="N154" s="57"/>
      <c r="O154" s="57"/>
      <c r="P154" s="57"/>
      <c r="Q154" s="17" t="s">
        <v>19</v>
      </c>
      <c r="R154" s="70" t="str">
        <f>HYPERLINK("http://search.books.com.tw/search/query/key/9789864491346/cat/all
","
9789864491346")</f>
        <v xml:space="preserve">
9789864491346</v>
      </c>
    </row>
    <row r="155" spans="1:18" hidden="1" x14ac:dyDescent="0.25">
      <c r="A155" s="1">
        <v>151</v>
      </c>
      <c r="B155" s="56" t="s">
        <v>600</v>
      </c>
      <c r="C155" s="57" t="s">
        <v>601</v>
      </c>
      <c r="D155" s="57" t="s">
        <v>602</v>
      </c>
      <c r="E155" s="58" t="s">
        <v>363</v>
      </c>
      <c r="F155" s="58" t="s">
        <v>603</v>
      </c>
      <c r="G155" s="58"/>
      <c r="H155" s="58"/>
      <c r="I155" s="57">
        <v>200</v>
      </c>
      <c r="J155" s="79">
        <f t="shared" si="8"/>
        <v>156</v>
      </c>
      <c r="K155" s="59"/>
      <c r="L155" s="84">
        <f t="shared" si="9"/>
        <v>0</v>
      </c>
      <c r="M155" s="60" t="s">
        <v>450</v>
      </c>
      <c r="N155" s="57"/>
      <c r="O155" s="57"/>
      <c r="P155" s="57"/>
      <c r="Q155" s="17" t="s">
        <v>19</v>
      </c>
      <c r="R155" s="70" t="str">
        <f>HYPERLINK("http://search.books.com.tw/search/query/key/9789575213398/cat/all
","
9789575213398")</f>
        <v xml:space="preserve">
9789575213398</v>
      </c>
    </row>
    <row r="156" spans="1:18" ht="33" x14ac:dyDescent="0.25">
      <c r="A156" s="1">
        <v>152</v>
      </c>
      <c r="B156" s="56" t="s">
        <v>604</v>
      </c>
      <c r="C156" s="57" t="s">
        <v>605</v>
      </c>
      <c r="D156" s="57" t="s">
        <v>602</v>
      </c>
      <c r="E156" s="58" t="s">
        <v>368</v>
      </c>
      <c r="F156" s="58" t="s">
        <v>606</v>
      </c>
      <c r="G156" s="4" t="s">
        <v>3443</v>
      </c>
      <c r="H156" s="58"/>
      <c r="I156" s="57">
        <v>280</v>
      </c>
      <c r="J156" s="79">
        <f t="shared" si="8"/>
        <v>218.4</v>
      </c>
      <c r="K156" s="59">
        <v>1</v>
      </c>
      <c r="L156" s="84">
        <f t="shared" si="9"/>
        <v>218.4</v>
      </c>
      <c r="M156" s="60" t="s">
        <v>450</v>
      </c>
      <c r="N156" s="57"/>
      <c r="O156" s="57"/>
      <c r="P156" s="57"/>
      <c r="Q156" s="17" t="s">
        <v>19</v>
      </c>
      <c r="R156" s="70" t="str">
        <f>HYPERLINK("http://search.books.com.tw/search/query/key/9789575213459/cat/all
","
9789575213459")</f>
        <v xml:space="preserve">
9789575213459</v>
      </c>
    </row>
    <row r="157" spans="1:18" ht="33" x14ac:dyDescent="0.25">
      <c r="A157" s="1">
        <v>153</v>
      </c>
      <c r="B157" s="56" t="s">
        <v>607</v>
      </c>
      <c r="C157" s="57" t="s">
        <v>608</v>
      </c>
      <c r="D157" s="57" t="s">
        <v>602</v>
      </c>
      <c r="E157" s="58" t="s">
        <v>363</v>
      </c>
      <c r="F157" s="58" t="s">
        <v>609</v>
      </c>
      <c r="G157" s="4" t="s">
        <v>3443</v>
      </c>
      <c r="H157" s="58"/>
      <c r="I157" s="57">
        <v>280</v>
      </c>
      <c r="J157" s="79">
        <f t="shared" si="8"/>
        <v>218.4</v>
      </c>
      <c r="K157" s="59">
        <v>1</v>
      </c>
      <c r="L157" s="84">
        <f t="shared" si="9"/>
        <v>218.4</v>
      </c>
      <c r="M157" s="60" t="s">
        <v>450</v>
      </c>
      <c r="N157" s="57"/>
      <c r="O157" s="57"/>
      <c r="P157" s="57"/>
      <c r="Q157" s="17" t="s">
        <v>19</v>
      </c>
      <c r="R157" s="70" t="str">
        <f>HYPERLINK("http://search.books.com.tw/search/query/key/9789575213428/cat/all
","
9789575213428")</f>
        <v xml:space="preserve">
9789575213428</v>
      </c>
    </row>
    <row r="158" spans="1:18" hidden="1" x14ac:dyDescent="0.25">
      <c r="A158" s="1">
        <v>154</v>
      </c>
      <c r="B158" s="56" t="s">
        <v>610</v>
      </c>
      <c r="C158" s="57" t="s">
        <v>611</v>
      </c>
      <c r="D158" s="57" t="s">
        <v>602</v>
      </c>
      <c r="E158" s="58" t="s">
        <v>368</v>
      </c>
      <c r="F158" s="58" t="s">
        <v>612</v>
      </c>
      <c r="G158" s="58"/>
      <c r="H158" s="58"/>
      <c r="I158" s="57">
        <v>220</v>
      </c>
      <c r="J158" s="79">
        <f t="shared" si="8"/>
        <v>171.6</v>
      </c>
      <c r="K158" s="59"/>
      <c r="L158" s="84">
        <f t="shared" si="9"/>
        <v>0</v>
      </c>
      <c r="M158" s="60" t="s">
        <v>450</v>
      </c>
      <c r="N158" s="57"/>
      <c r="O158" s="57"/>
      <c r="P158" s="57"/>
      <c r="Q158" s="17" t="s">
        <v>19</v>
      </c>
      <c r="R158" s="70" t="str">
        <f>HYPERLINK("http://search.books.com.tw/search/query/key/9789575213466/cat/all
","
9789575213466")</f>
        <v xml:space="preserve">
9789575213466</v>
      </c>
    </row>
    <row r="159" spans="1:18" x14ac:dyDescent="0.25">
      <c r="A159" s="1">
        <v>155</v>
      </c>
      <c r="B159" s="56" t="s">
        <v>613</v>
      </c>
      <c r="C159" s="57" t="s">
        <v>614</v>
      </c>
      <c r="D159" s="57" t="s">
        <v>615</v>
      </c>
      <c r="E159" s="58" t="s">
        <v>363</v>
      </c>
      <c r="F159" s="58" t="s">
        <v>616</v>
      </c>
      <c r="G159" s="4" t="s">
        <v>3443</v>
      </c>
      <c r="H159" s="58"/>
      <c r="I159" s="57">
        <v>350</v>
      </c>
      <c r="J159" s="79">
        <f t="shared" si="8"/>
        <v>273</v>
      </c>
      <c r="K159" s="59">
        <v>1</v>
      </c>
      <c r="L159" s="84">
        <f t="shared" si="9"/>
        <v>273</v>
      </c>
      <c r="M159" s="60" t="s">
        <v>450</v>
      </c>
      <c r="N159" s="57"/>
      <c r="O159" s="57"/>
      <c r="P159" s="57"/>
      <c r="Q159" s="17" t="s">
        <v>19</v>
      </c>
      <c r="R159" s="70" t="str">
        <f>HYPERLINK("http://search.books.com.tw/search/query/key/9789579077453/cat/all
","
9789579077453")</f>
        <v xml:space="preserve">
9789579077453</v>
      </c>
    </row>
    <row r="160" spans="1:18" hidden="1" x14ac:dyDescent="0.25">
      <c r="A160" s="1">
        <v>156</v>
      </c>
      <c r="B160" s="56" t="s">
        <v>617</v>
      </c>
      <c r="C160" s="57" t="s">
        <v>618</v>
      </c>
      <c r="D160" s="57" t="s">
        <v>615</v>
      </c>
      <c r="E160" s="58" t="s">
        <v>368</v>
      </c>
      <c r="F160" s="58" t="s">
        <v>619</v>
      </c>
      <c r="G160" s="58"/>
      <c r="H160" s="58"/>
      <c r="I160" s="57">
        <v>350</v>
      </c>
      <c r="J160" s="79">
        <f t="shared" si="8"/>
        <v>273</v>
      </c>
      <c r="K160" s="59"/>
      <c r="L160" s="84">
        <f t="shared" si="9"/>
        <v>0</v>
      </c>
      <c r="M160" s="60" t="s">
        <v>450</v>
      </c>
      <c r="N160" s="57"/>
      <c r="O160" s="57"/>
      <c r="P160" s="57"/>
      <c r="Q160" s="17" t="s">
        <v>19</v>
      </c>
      <c r="R160" s="70" t="str">
        <f>HYPERLINK("http://search.books.com.tw/search/query/key/9789579077361/cat/all
","
9789579077361")</f>
        <v xml:space="preserve">
9789579077361</v>
      </c>
    </row>
    <row r="161" spans="1:18" x14ac:dyDescent="0.25">
      <c r="A161" s="1">
        <v>157</v>
      </c>
      <c r="B161" s="56" t="s">
        <v>620</v>
      </c>
      <c r="C161" s="57" t="s">
        <v>621</v>
      </c>
      <c r="D161" s="57" t="s">
        <v>622</v>
      </c>
      <c r="E161" s="58" t="s">
        <v>368</v>
      </c>
      <c r="F161" s="58" t="s">
        <v>623</v>
      </c>
      <c r="G161" s="4" t="s">
        <v>3443</v>
      </c>
      <c r="H161" s="58"/>
      <c r="I161" s="57">
        <v>290</v>
      </c>
      <c r="J161" s="79">
        <f t="shared" si="8"/>
        <v>226.2</v>
      </c>
      <c r="K161" s="59">
        <v>1</v>
      </c>
      <c r="L161" s="84">
        <f t="shared" si="9"/>
        <v>226.2</v>
      </c>
      <c r="M161" s="60" t="s">
        <v>450</v>
      </c>
      <c r="N161" s="57"/>
      <c r="O161" s="57"/>
      <c r="P161" s="57"/>
      <c r="Q161" s="17" t="s">
        <v>19</v>
      </c>
      <c r="R161" s="70" t="str">
        <f>HYPERLINK("http://search.books.com.tw/search/query/key/9789579502177/cat/all
","
9789579502177")</f>
        <v xml:space="preserve">
9789579502177</v>
      </c>
    </row>
    <row r="162" spans="1:18" x14ac:dyDescent="0.25">
      <c r="A162" s="1">
        <v>158</v>
      </c>
      <c r="B162" s="56" t="s">
        <v>624</v>
      </c>
      <c r="C162" s="57" t="s">
        <v>625</v>
      </c>
      <c r="D162" s="57" t="s">
        <v>622</v>
      </c>
      <c r="E162" s="58" t="s">
        <v>368</v>
      </c>
      <c r="F162" s="58" t="s">
        <v>626</v>
      </c>
      <c r="G162" s="4" t="s">
        <v>3443</v>
      </c>
      <c r="H162" s="58"/>
      <c r="I162" s="57">
        <v>280</v>
      </c>
      <c r="J162" s="79">
        <f t="shared" si="8"/>
        <v>218.4</v>
      </c>
      <c r="K162" s="59">
        <v>1</v>
      </c>
      <c r="L162" s="84">
        <f t="shared" si="9"/>
        <v>218.4</v>
      </c>
      <c r="M162" s="60" t="s">
        <v>450</v>
      </c>
      <c r="N162" s="57"/>
      <c r="O162" s="57"/>
      <c r="P162" s="57"/>
      <c r="Q162" s="17" t="s">
        <v>19</v>
      </c>
      <c r="R162" s="70" t="str">
        <f>HYPERLINK("http://search.books.com.tw/search/query/key/9789579502061/cat/all
","
9789579502061")</f>
        <v xml:space="preserve">
9789579502061</v>
      </c>
    </row>
    <row r="163" spans="1:18" x14ac:dyDescent="0.25">
      <c r="A163" s="1">
        <v>159</v>
      </c>
      <c r="B163" s="56" t="s">
        <v>627</v>
      </c>
      <c r="C163" s="57" t="s">
        <v>628</v>
      </c>
      <c r="D163" s="57" t="s">
        <v>629</v>
      </c>
      <c r="E163" s="58" t="s">
        <v>368</v>
      </c>
      <c r="F163" s="58" t="s">
        <v>630</v>
      </c>
      <c r="G163" s="4" t="s">
        <v>3443</v>
      </c>
      <c r="H163" s="58"/>
      <c r="I163" s="57">
        <v>300</v>
      </c>
      <c r="J163" s="79">
        <f t="shared" si="8"/>
        <v>234</v>
      </c>
      <c r="K163" s="59">
        <v>1</v>
      </c>
      <c r="L163" s="84">
        <f t="shared" si="9"/>
        <v>234</v>
      </c>
      <c r="M163" s="60" t="s">
        <v>450</v>
      </c>
      <c r="N163" s="57"/>
      <c r="O163" s="57"/>
      <c r="P163" s="57"/>
      <c r="Q163" s="17" t="s">
        <v>19</v>
      </c>
      <c r="R163" s="70" t="str">
        <f>HYPERLINK("http://search.books.com.tw/search/query/key/9789869690041/cat/all
","
9789869690041")</f>
        <v xml:space="preserve">
9789869690041</v>
      </c>
    </row>
    <row r="164" spans="1:18" hidden="1" x14ac:dyDescent="0.25">
      <c r="A164" s="1">
        <v>160</v>
      </c>
      <c r="B164" s="56" t="s">
        <v>631</v>
      </c>
      <c r="C164" s="57" t="s">
        <v>632</v>
      </c>
      <c r="D164" s="57" t="s">
        <v>633</v>
      </c>
      <c r="E164" s="58" t="s">
        <v>363</v>
      </c>
      <c r="F164" s="58" t="s">
        <v>634</v>
      </c>
      <c r="G164" s="58"/>
      <c r="H164" s="58"/>
      <c r="I164" s="57">
        <v>299</v>
      </c>
      <c r="J164" s="79">
        <f t="shared" si="8"/>
        <v>233.22</v>
      </c>
      <c r="K164" s="59"/>
      <c r="L164" s="84">
        <f t="shared" si="9"/>
        <v>0</v>
      </c>
      <c r="M164" s="60" t="s">
        <v>450</v>
      </c>
      <c r="N164" s="57"/>
      <c r="O164" s="57"/>
      <c r="P164" s="57"/>
      <c r="Q164" s="17" t="s">
        <v>19</v>
      </c>
      <c r="R164" s="70" t="str">
        <f>HYPERLINK("http://search.books.com.tw/search/query/key/9789869439282/cat/all
","
9789869439282")</f>
        <v xml:space="preserve">
9789869439282</v>
      </c>
    </row>
    <row r="165" spans="1:18" hidden="1" x14ac:dyDescent="0.25">
      <c r="A165" s="1">
        <v>161</v>
      </c>
      <c r="B165" s="56" t="s">
        <v>635</v>
      </c>
      <c r="C165" s="57" t="s">
        <v>636</v>
      </c>
      <c r="D165" s="57" t="s">
        <v>637</v>
      </c>
      <c r="E165" s="58" t="s">
        <v>368</v>
      </c>
      <c r="F165" s="58" t="s">
        <v>638</v>
      </c>
      <c r="G165" s="58"/>
      <c r="H165" s="58"/>
      <c r="I165" s="57">
        <v>300</v>
      </c>
      <c r="J165" s="79">
        <f t="shared" si="8"/>
        <v>234</v>
      </c>
      <c r="K165" s="59"/>
      <c r="L165" s="84">
        <f t="shared" si="9"/>
        <v>0</v>
      </c>
      <c r="M165" s="60" t="s">
        <v>450</v>
      </c>
      <c r="N165" s="57"/>
      <c r="O165" s="57"/>
      <c r="P165" s="57"/>
      <c r="Q165" s="17" t="s">
        <v>19</v>
      </c>
      <c r="R165" s="70" t="str">
        <f>HYPERLINK("http://search.books.com.tw/search/query/key/9789869629379/cat/all
","
9789869629379")</f>
        <v xml:space="preserve">
9789869629379</v>
      </c>
    </row>
    <row r="166" spans="1:18" hidden="1" x14ac:dyDescent="0.25">
      <c r="A166" s="1">
        <v>162</v>
      </c>
      <c r="B166" s="56" t="s">
        <v>639</v>
      </c>
      <c r="C166" s="57" t="s">
        <v>640</v>
      </c>
      <c r="D166" s="57" t="s">
        <v>637</v>
      </c>
      <c r="E166" s="58" t="s">
        <v>359</v>
      </c>
      <c r="F166" s="58" t="s">
        <v>641</v>
      </c>
      <c r="G166" s="58"/>
      <c r="H166" s="58"/>
      <c r="I166" s="57">
        <v>450</v>
      </c>
      <c r="J166" s="79">
        <f t="shared" si="8"/>
        <v>351</v>
      </c>
      <c r="K166" s="59"/>
      <c r="L166" s="84">
        <f t="shared" si="9"/>
        <v>0</v>
      </c>
      <c r="M166" s="60" t="s">
        <v>450</v>
      </c>
      <c r="N166" s="57"/>
      <c r="O166" s="57"/>
      <c r="P166" s="57"/>
      <c r="Q166" s="17" t="s">
        <v>19</v>
      </c>
      <c r="R166" s="70" t="str">
        <f>HYPERLINK("http://search.books.com.tw/search/query/key/9789869629362/cat/all
","
9789869629362")</f>
        <v xml:space="preserve">
9789869629362</v>
      </c>
    </row>
    <row r="167" spans="1:18" hidden="1" x14ac:dyDescent="0.25">
      <c r="A167" s="1">
        <v>163</v>
      </c>
      <c r="B167" s="56" t="s">
        <v>642</v>
      </c>
      <c r="C167" s="57" t="s">
        <v>643</v>
      </c>
      <c r="D167" s="57" t="s">
        <v>644</v>
      </c>
      <c r="E167" s="58" t="s">
        <v>368</v>
      </c>
      <c r="F167" s="58" t="s">
        <v>645</v>
      </c>
      <c r="G167" s="58"/>
      <c r="H167" s="58"/>
      <c r="I167" s="57">
        <v>280</v>
      </c>
      <c r="J167" s="79">
        <f t="shared" si="8"/>
        <v>218.4</v>
      </c>
      <c r="K167" s="59"/>
      <c r="L167" s="84">
        <f t="shared" si="9"/>
        <v>0</v>
      </c>
      <c r="M167" s="60" t="s">
        <v>450</v>
      </c>
      <c r="N167" s="57"/>
      <c r="O167" s="57"/>
      <c r="P167" s="57"/>
      <c r="Q167" s="17" t="s">
        <v>19</v>
      </c>
      <c r="R167" s="70" t="str">
        <f>HYPERLINK("http://search.books.com.tw/search/query/key/9789863382287/cat/all
","
9789863382287")</f>
        <v xml:space="preserve">
9789863382287</v>
      </c>
    </row>
    <row r="168" spans="1:18" hidden="1" x14ac:dyDescent="0.25">
      <c r="A168" s="1">
        <v>164</v>
      </c>
      <c r="B168" s="56" t="s">
        <v>646</v>
      </c>
      <c r="C168" s="57" t="s">
        <v>647</v>
      </c>
      <c r="D168" s="57" t="s">
        <v>648</v>
      </c>
      <c r="E168" s="58" t="s">
        <v>368</v>
      </c>
      <c r="F168" s="58" t="s">
        <v>649</v>
      </c>
      <c r="G168" s="58"/>
      <c r="H168" s="58"/>
      <c r="I168" s="57">
        <v>300</v>
      </c>
      <c r="J168" s="79">
        <f t="shared" si="8"/>
        <v>234</v>
      </c>
      <c r="K168" s="59"/>
      <c r="L168" s="84">
        <f t="shared" si="9"/>
        <v>0</v>
      </c>
      <c r="M168" s="60" t="s">
        <v>450</v>
      </c>
      <c r="N168" s="57"/>
      <c r="O168" s="57"/>
      <c r="P168" s="57"/>
      <c r="Q168" s="17" t="s">
        <v>19</v>
      </c>
      <c r="R168" s="70" t="str">
        <f>HYPERLINK("http://search.books.com.tw/search/query/key/9789864272686/cat/all
","
9789864272686")</f>
        <v xml:space="preserve">
9789864272686</v>
      </c>
    </row>
    <row r="169" spans="1:18" hidden="1" x14ac:dyDescent="0.25">
      <c r="A169" s="1">
        <v>165</v>
      </c>
      <c r="B169" s="56" t="s">
        <v>650</v>
      </c>
      <c r="C169" s="57" t="s">
        <v>651</v>
      </c>
      <c r="D169" s="57" t="s">
        <v>648</v>
      </c>
      <c r="E169" s="58" t="s">
        <v>363</v>
      </c>
      <c r="F169" s="58" t="s">
        <v>652</v>
      </c>
      <c r="G169" s="58"/>
      <c r="H169" s="58"/>
      <c r="I169" s="57">
        <v>290</v>
      </c>
      <c r="J169" s="79">
        <f t="shared" si="8"/>
        <v>226.2</v>
      </c>
      <c r="K169" s="59"/>
      <c r="L169" s="84">
        <f t="shared" si="9"/>
        <v>0</v>
      </c>
      <c r="M169" s="60" t="s">
        <v>450</v>
      </c>
      <c r="N169" s="57"/>
      <c r="O169" s="57"/>
      <c r="P169" s="57"/>
      <c r="Q169" s="17" t="s">
        <v>19</v>
      </c>
      <c r="R169" s="70" t="str">
        <f>HYPERLINK("http://search.books.com.tw/search/query/key/9789864272518/cat/all
","
9789864272518")</f>
        <v xml:space="preserve">
9789864272518</v>
      </c>
    </row>
    <row r="170" spans="1:18" hidden="1" x14ac:dyDescent="0.25">
      <c r="A170" s="1">
        <v>166</v>
      </c>
      <c r="B170" s="56" t="s">
        <v>653</v>
      </c>
      <c r="C170" s="57" t="s">
        <v>654</v>
      </c>
      <c r="D170" s="57" t="s">
        <v>648</v>
      </c>
      <c r="E170" s="58" t="s">
        <v>363</v>
      </c>
      <c r="F170" s="58" t="s">
        <v>655</v>
      </c>
      <c r="G170" s="58"/>
      <c r="H170" s="58"/>
      <c r="I170" s="57">
        <v>290</v>
      </c>
      <c r="J170" s="79">
        <f t="shared" si="8"/>
        <v>226.2</v>
      </c>
      <c r="K170" s="59"/>
      <c r="L170" s="84">
        <f t="shared" si="9"/>
        <v>0</v>
      </c>
      <c r="M170" s="60" t="s">
        <v>450</v>
      </c>
      <c r="N170" s="57"/>
      <c r="O170" s="57"/>
      <c r="P170" s="57"/>
      <c r="Q170" s="17" t="s">
        <v>19</v>
      </c>
      <c r="R170" s="70" t="str">
        <f>HYPERLINK("http://search.books.com.tw/search/query/key/9789864272495/cat/all
","
9789864272495")</f>
        <v xml:space="preserve">
9789864272495</v>
      </c>
    </row>
    <row r="171" spans="1:18" x14ac:dyDescent="0.25">
      <c r="A171" s="1">
        <v>167</v>
      </c>
      <c r="B171" s="56" t="s">
        <v>656</v>
      </c>
      <c r="C171" s="57" t="s">
        <v>657</v>
      </c>
      <c r="D171" s="57" t="s">
        <v>648</v>
      </c>
      <c r="E171" s="58" t="s">
        <v>368</v>
      </c>
      <c r="F171" s="58" t="s">
        <v>658</v>
      </c>
      <c r="G171" s="4" t="s">
        <v>3444</v>
      </c>
      <c r="H171" s="58"/>
      <c r="I171" s="57">
        <v>300</v>
      </c>
      <c r="J171" s="79">
        <f t="shared" si="8"/>
        <v>234</v>
      </c>
      <c r="K171" s="59">
        <v>1</v>
      </c>
      <c r="L171" s="84">
        <f t="shared" si="9"/>
        <v>234</v>
      </c>
      <c r="M171" s="60" t="s">
        <v>450</v>
      </c>
      <c r="N171" s="57"/>
      <c r="O171" s="57"/>
      <c r="P171" s="57"/>
      <c r="Q171" s="17" t="s">
        <v>19</v>
      </c>
      <c r="R171" s="70" t="str">
        <f>HYPERLINK("http://search.books.com.tw/search/query/key/9789864272716/cat/all
","
9789864272716")</f>
        <v xml:space="preserve">
9789864272716</v>
      </c>
    </row>
    <row r="172" spans="1:18" hidden="1" x14ac:dyDescent="0.25">
      <c r="A172" s="1">
        <v>168</v>
      </c>
      <c r="B172" s="56" t="s">
        <v>659</v>
      </c>
      <c r="C172" s="57" t="s">
        <v>654</v>
      </c>
      <c r="D172" s="57" t="s">
        <v>648</v>
      </c>
      <c r="E172" s="58" t="s">
        <v>363</v>
      </c>
      <c r="F172" s="58" t="s">
        <v>660</v>
      </c>
      <c r="G172" s="58"/>
      <c r="H172" s="58"/>
      <c r="I172" s="57">
        <v>290</v>
      </c>
      <c r="J172" s="79">
        <f t="shared" si="8"/>
        <v>226.2</v>
      </c>
      <c r="K172" s="59"/>
      <c r="L172" s="84">
        <f t="shared" si="9"/>
        <v>0</v>
      </c>
      <c r="M172" s="60" t="s">
        <v>450</v>
      </c>
      <c r="N172" s="57"/>
      <c r="O172" s="57"/>
      <c r="P172" s="57"/>
      <c r="Q172" s="17" t="s">
        <v>19</v>
      </c>
      <c r="R172" s="70" t="str">
        <f>HYPERLINK("http://search.books.com.tw/search/query/key/9789864272488/cat/all
","
9789864272488")</f>
        <v xml:space="preserve">
9789864272488</v>
      </c>
    </row>
    <row r="173" spans="1:18" hidden="1" x14ac:dyDescent="0.25">
      <c r="A173" s="1">
        <v>169</v>
      </c>
      <c r="B173" s="56" t="s">
        <v>661</v>
      </c>
      <c r="C173" s="57" t="s">
        <v>662</v>
      </c>
      <c r="D173" s="57" t="s">
        <v>648</v>
      </c>
      <c r="E173" s="58" t="s">
        <v>368</v>
      </c>
      <c r="F173" s="58" t="s">
        <v>663</v>
      </c>
      <c r="G173" s="58"/>
      <c r="H173" s="58"/>
      <c r="I173" s="57">
        <v>300</v>
      </c>
      <c r="J173" s="79">
        <f t="shared" si="8"/>
        <v>234</v>
      </c>
      <c r="K173" s="59"/>
      <c r="L173" s="84">
        <f t="shared" si="9"/>
        <v>0</v>
      </c>
      <c r="M173" s="60" t="s">
        <v>450</v>
      </c>
      <c r="N173" s="57"/>
      <c r="O173" s="57"/>
      <c r="P173" s="57"/>
      <c r="Q173" s="17" t="s">
        <v>19</v>
      </c>
      <c r="R173" s="70" t="str">
        <f>HYPERLINK("http://search.books.com.tw/search/query/key/9789864272709/cat/all
","
9789864272709")</f>
        <v xml:space="preserve">
9789864272709</v>
      </c>
    </row>
    <row r="174" spans="1:18" x14ac:dyDescent="0.25">
      <c r="A174" s="1">
        <v>170</v>
      </c>
      <c r="B174" s="56" t="s">
        <v>664</v>
      </c>
      <c r="C174" s="57" t="s">
        <v>665</v>
      </c>
      <c r="D174" s="57" t="s">
        <v>648</v>
      </c>
      <c r="E174" s="58" t="s">
        <v>368</v>
      </c>
      <c r="F174" s="58" t="s">
        <v>666</v>
      </c>
      <c r="G174" s="4" t="s">
        <v>3444</v>
      </c>
      <c r="H174" s="58"/>
      <c r="I174" s="57">
        <v>300</v>
      </c>
      <c r="J174" s="79">
        <f t="shared" si="8"/>
        <v>234</v>
      </c>
      <c r="K174" s="59">
        <v>1</v>
      </c>
      <c r="L174" s="84">
        <f t="shared" si="9"/>
        <v>234</v>
      </c>
      <c r="M174" s="60" t="s">
        <v>450</v>
      </c>
      <c r="N174" s="57"/>
      <c r="O174" s="57"/>
      <c r="P174" s="57"/>
      <c r="Q174" s="17" t="s">
        <v>19</v>
      </c>
      <c r="R174" s="70" t="str">
        <f>HYPERLINK("http://search.books.com.tw/search/query/key/9789864272693/cat/all
","
9789864272693")</f>
        <v xml:space="preserve">
9789864272693</v>
      </c>
    </row>
    <row r="175" spans="1:18" hidden="1" x14ac:dyDescent="0.25">
      <c r="A175" s="1">
        <v>171</v>
      </c>
      <c r="B175" s="56" t="s">
        <v>667</v>
      </c>
      <c r="C175" s="57" t="s">
        <v>654</v>
      </c>
      <c r="D175" s="57" t="s">
        <v>648</v>
      </c>
      <c r="E175" s="58" t="s">
        <v>363</v>
      </c>
      <c r="F175" s="58" t="s">
        <v>668</v>
      </c>
      <c r="G175" s="58"/>
      <c r="H175" s="58"/>
      <c r="I175" s="57">
        <v>290</v>
      </c>
      <c r="J175" s="79">
        <f t="shared" si="8"/>
        <v>226.2</v>
      </c>
      <c r="K175" s="59"/>
      <c r="L175" s="84">
        <f t="shared" si="9"/>
        <v>0</v>
      </c>
      <c r="M175" s="60" t="s">
        <v>450</v>
      </c>
      <c r="N175" s="57"/>
      <c r="O175" s="57"/>
      <c r="P175" s="57"/>
      <c r="Q175" s="17" t="s">
        <v>19</v>
      </c>
      <c r="R175" s="70" t="str">
        <f>HYPERLINK("http://search.books.com.tw/search/query/key/9789864272525/cat/all
","
9789864272525")</f>
        <v xml:space="preserve">
9789864272525</v>
      </c>
    </row>
    <row r="176" spans="1:18" ht="33" hidden="1" x14ac:dyDescent="0.25">
      <c r="A176" s="1">
        <v>172</v>
      </c>
      <c r="B176" s="56" t="s">
        <v>669</v>
      </c>
      <c r="C176" s="57" t="s">
        <v>670</v>
      </c>
      <c r="D176" s="57" t="s">
        <v>427</v>
      </c>
      <c r="E176" s="58" t="s">
        <v>368</v>
      </c>
      <c r="F176" s="58" t="s">
        <v>671</v>
      </c>
      <c r="G176" s="58"/>
      <c r="H176" s="58"/>
      <c r="I176" s="57">
        <v>320</v>
      </c>
      <c r="J176" s="79">
        <f t="shared" si="8"/>
        <v>249.6</v>
      </c>
      <c r="K176" s="59"/>
      <c r="L176" s="84">
        <f t="shared" si="9"/>
        <v>0</v>
      </c>
      <c r="M176" s="60" t="s">
        <v>450</v>
      </c>
      <c r="N176" s="57"/>
      <c r="O176" s="57"/>
      <c r="P176" s="57"/>
      <c r="Q176" s="17" t="s">
        <v>19</v>
      </c>
      <c r="R176" s="70" t="str">
        <f>HYPERLINK("http://search.books.com.tw/search/query/key/9789571376219/cat/all
","
9789571376219")</f>
        <v xml:space="preserve">
9789571376219</v>
      </c>
    </row>
    <row r="177" spans="1:18" hidden="1" x14ac:dyDescent="0.25">
      <c r="A177" s="1">
        <v>173</v>
      </c>
      <c r="B177" s="56" t="s">
        <v>672</v>
      </c>
      <c r="C177" s="57" t="s">
        <v>673</v>
      </c>
      <c r="D177" s="57" t="s">
        <v>427</v>
      </c>
      <c r="E177" s="58" t="s">
        <v>363</v>
      </c>
      <c r="F177" s="58" t="s">
        <v>674</v>
      </c>
      <c r="G177" s="58"/>
      <c r="H177" s="58"/>
      <c r="I177" s="57">
        <v>360</v>
      </c>
      <c r="J177" s="79">
        <f t="shared" si="8"/>
        <v>280.8</v>
      </c>
      <c r="K177" s="59"/>
      <c r="L177" s="84">
        <f t="shared" si="9"/>
        <v>0</v>
      </c>
      <c r="M177" s="60" t="s">
        <v>450</v>
      </c>
      <c r="N177" s="57"/>
      <c r="O177" s="57"/>
      <c r="P177" s="57"/>
      <c r="Q177" s="17" t="s">
        <v>19</v>
      </c>
      <c r="R177" s="70" t="str">
        <f>HYPERLINK("http://search.books.com.tw/search/query/key/9789571376073/cat/all
","
9789571376073")</f>
        <v xml:space="preserve">
9789571376073</v>
      </c>
    </row>
    <row r="178" spans="1:18" hidden="1" x14ac:dyDescent="0.25">
      <c r="A178" s="1">
        <v>174</v>
      </c>
      <c r="B178" s="56" t="s">
        <v>675</v>
      </c>
      <c r="C178" s="57" t="s">
        <v>676</v>
      </c>
      <c r="D178" s="57" t="s">
        <v>439</v>
      </c>
      <c r="E178" s="58" t="s">
        <v>368</v>
      </c>
      <c r="F178" s="58" t="s">
        <v>677</v>
      </c>
      <c r="G178" s="58"/>
      <c r="H178" s="58"/>
      <c r="I178" s="57">
        <v>300</v>
      </c>
      <c r="J178" s="79">
        <f t="shared" si="8"/>
        <v>234</v>
      </c>
      <c r="K178" s="59"/>
      <c r="L178" s="84">
        <f t="shared" si="9"/>
        <v>0</v>
      </c>
      <c r="M178" s="60" t="s">
        <v>450</v>
      </c>
      <c r="N178" s="57"/>
      <c r="O178" s="57"/>
      <c r="P178" s="57"/>
      <c r="Q178" s="17" t="s">
        <v>19</v>
      </c>
      <c r="R178" s="70" t="str">
        <f>HYPERLINK("http://search.books.com.tw/search/query/key/9789861898780/cat/all
","
9789861898780")</f>
        <v xml:space="preserve">
9789861898780</v>
      </c>
    </row>
    <row r="179" spans="1:18" hidden="1" x14ac:dyDescent="0.25">
      <c r="A179" s="1">
        <v>175</v>
      </c>
      <c r="B179" s="56" t="s">
        <v>678</v>
      </c>
      <c r="C179" s="57" t="s">
        <v>679</v>
      </c>
      <c r="D179" s="57" t="s">
        <v>439</v>
      </c>
      <c r="E179" s="58" t="s">
        <v>368</v>
      </c>
      <c r="F179" s="58" t="s">
        <v>680</v>
      </c>
      <c r="G179" s="58"/>
      <c r="H179" s="58"/>
      <c r="I179" s="57">
        <v>320</v>
      </c>
      <c r="J179" s="79">
        <f t="shared" si="8"/>
        <v>249.6</v>
      </c>
      <c r="K179" s="59"/>
      <c r="L179" s="84">
        <f t="shared" si="9"/>
        <v>0</v>
      </c>
      <c r="M179" s="60" t="s">
        <v>450</v>
      </c>
      <c r="N179" s="57"/>
      <c r="O179" s="57"/>
      <c r="P179" s="57"/>
      <c r="Q179" s="17" t="s">
        <v>19</v>
      </c>
      <c r="R179" s="70" t="str">
        <f>HYPERLINK("http://search.books.com.tw/search/query/key/9789861898735/cat/all
","
9789861898735")</f>
        <v xml:space="preserve">
9789861898735</v>
      </c>
    </row>
    <row r="180" spans="1:18" hidden="1" x14ac:dyDescent="0.25">
      <c r="A180" s="1">
        <v>176</v>
      </c>
      <c r="B180" s="56" t="s">
        <v>681</v>
      </c>
      <c r="C180" s="57" t="s">
        <v>682</v>
      </c>
      <c r="D180" s="57" t="s">
        <v>439</v>
      </c>
      <c r="E180" s="58" t="s">
        <v>368</v>
      </c>
      <c r="F180" s="58" t="s">
        <v>683</v>
      </c>
      <c r="G180" s="58"/>
      <c r="H180" s="58"/>
      <c r="I180" s="57">
        <v>260</v>
      </c>
      <c r="J180" s="79">
        <f t="shared" si="8"/>
        <v>202.8</v>
      </c>
      <c r="K180" s="59"/>
      <c r="L180" s="84">
        <f t="shared" si="9"/>
        <v>0</v>
      </c>
      <c r="M180" s="60" t="s">
        <v>450</v>
      </c>
      <c r="N180" s="57"/>
      <c r="O180" s="57"/>
      <c r="P180" s="57"/>
      <c r="Q180" s="17" t="s">
        <v>19</v>
      </c>
      <c r="R180" s="70" t="str">
        <f>HYPERLINK("http://search.books.com.tw/search/query/key/9789861898841/cat/all
","
9789861898841")</f>
        <v xml:space="preserve">
9789861898841</v>
      </c>
    </row>
    <row r="181" spans="1:18" x14ac:dyDescent="0.25">
      <c r="A181" s="1">
        <v>177</v>
      </c>
      <c r="B181" s="56" t="s">
        <v>684</v>
      </c>
      <c r="C181" s="57" t="s">
        <v>685</v>
      </c>
      <c r="D181" s="57" t="s">
        <v>439</v>
      </c>
      <c r="E181" s="58" t="s">
        <v>368</v>
      </c>
      <c r="F181" s="58" t="s">
        <v>686</v>
      </c>
      <c r="G181" s="4" t="s">
        <v>3443</v>
      </c>
      <c r="I181" s="57">
        <v>280</v>
      </c>
      <c r="J181" s="79">
        <f t="shared" si="8"/>
        <v>218.4</v>
      </c>
      <c r="K181" s="59">
        <v>1</v>
      </c>
      <c r="L181" s="84">
        <f t="shared" si="9"/>
        <v>218.4</v>
      </c>
      <c r="M181" s="60" t="s">
        <v>450</v>
      </c>
      <c r="N181" s="57"/>
      <c r="O181" s="57"/>
      <c r="P181" s="57"/>
      <c r="Q181" s="17" t="s">
        <v>19</v>
      </c>
      <c r="R181" s="70" t="str">
        <f>HYPERLINK("http://search.books.com.tw/search/query/key/9789861898858/cat/all
","
9789861898858")</f>
        <v xml:space="preserve">
9789861898858</v>
      </c>
    </row>
    <row r="182" spans="1:18" hidden="1" x14ac:dyDescent="0.25">
      <c r="A182" s="1">
        <v>178</v>
      </c>
      <c r="B182" s="56" t="s">
        <v>687</v>
      </c>
      <c r="C182" s="57" t="s">
        <v>688</v>
      </c>
      <c r="D182" s="57" t="s">
        <v>689</v>
      </c>
      <c r="E182" s="58" t="s">
        <v>363</v>
      </c>
      <c r="F182" s="58" t="s">
        <v>690</v>
      </c>
      <c r="G182" s="58"/>
      <c r="H182" s="58"/>
      <c r="I182" s="57">
        <v>290</v>
      </c>
      <c r="J182" s="79">
        <f t="shared" si="8"/>
        <v>226.2</v>
      </c>
      <c r="K182" s="59"/>
      <c r="L182" s="84">
        <f t="shared" si="9"/>
        <v>0</v>
      </c>
      <c r="M182" s="60" t="s">
        <v>450</v>
      </c>
      <c r="N182" s="57"/>
      <c r="O182" s="57"/>
      <c r="P182" s="57"/>
      <c r="Q182" s="17" t="s">
        <v>19</v>
      </c>
      <c r="R182" s="70" t="str">
        <f>HYPERLINK("http://search.books.com.tw/search/query/key/9789579502191/cat/all
","
9789579502191")</f>
        <v xml:space="preserve">
9789579502191</v>
      </c>
    </row>
    <row r="183" spans="1:18" ht="33" x14ac:dyDescent="0.25">
      <c r="A183" s="1">
        <v>179</v>
      </c>
      <c r="B183" s="56" t="s">
        <v>691</v>
      </c>
      <c r="C183" s="57" t="s">
        <v>692</v>
      </c>
      <c r="D183" s="57" t="s">
        <v>689</v>
      </c>
      <c r="E183" s="58" t="s">
        <v>363</v>
      </c>
      <c r="F183" s="58" t="s">
        <v>693</v>
      </c>
      <c r="G183" s="4" t="s">
        <v>3447</v>
      </c>
      <c r="H183" s="4"/>
      <c r="I183" s="57">
        <v>290</v>
      </c>
      <c r="J183" s="79">
        <f t="shared" si="8"/>
        <v>226.2</v>
      </c>
      <c r="K183" s="59">
        <v>1</v>
      </c>
      <c r="L183" s="84">
        <f t="shared" si="9"/>
        <v>226.2</v>
      </c>
      <c r="M183" s="60" t="s">
        <v>450</v>
      </c>
      <c r="N183" s="57"/>
      <c r="O183" s="57"/>
      <c r="P183" s="57"/>
      <c r="Q183" s="17" t="s">
        <v>19</v>
      </c>
      <c r="R183" s="70" t="str">
        <f>HYPERLINK("http://search.books.com.tw/search/query/key/9789579502153/cat/all
","
9789579502153")</f>
        <v xml:space="preserve">
9789579502153</v>
      </c>
    </row>
    <row r="184" spans="1:18" hidden="1" x14ac:dyDescent="0.25">
      <c r="A184" s="1">
        <v>180</v>
      </c>
      <c r="B184" s="56" t="s">
        <v>694</v>
      </c>
      <c r="C184" s="57" t="s">
        <v>692</v>
      </c>
      <c r="D184" s="57" t="s">
        <v>689</v>
      </c>
      <c r="E184" s="58" t="s">
        <v>368</v>
      </c>
      <c r="F184" s="58" t="s">
        <v>695</v>
      </c>
      <c r="G184" s="58"/>
      <c r="H184" s="58"/>
      <c r="I184" s="57">
        <v>290</v>
      </c>
      <c r="J184" s="79">
        <f t="shared" si="8"/>
        <v>226.2</v>
      </c>
      <c r="K184" s="59"/>
      <c r="L184" s="84">
        <f t="shared" si="9"/>
        <v>0</v>
      </c>
      <c r="M184" s="60" t="s">
        <v>450</v>
      </c>
      <c r="N184" s="57"/>
      <c r="O184" s="57"/>
      <c r="P184" s="57"/>
      <c r="Q184" s="17" t="s">
        <v>19</v>
      </c>
      <c r="R184" s="70" t="str">
        <f>HYPERLINK("http://search.books.com.tw/search/query/key/9789579502214/cat/all
","
9789579502214")</f>
        <v xml:space="preserve">
9789579502214</v>
      </c>
    </row>
    <row r="185" spans="1:18" x14ac:dyDescent="0.25">
      <c r="A185" s="1">
        <v>181</v>
      </c>
      <c r="B185" s="56" t="s">
        <v>696</v>
      </c>
      <c r="C185" s="57" t="s">
        <v>692</v>
      </c>
      <c r="D185" s="57" t="s">
        <v>689</v>
      </c>
      <c r="E185" s="58" t="s">
        <v>363</v>
      </c>
      <c r="F185" s="58" t="s">
        <v>697</v>
      </c>
      <c r="G185" s="4" t="s">
        <v>3447</v>
      </c>
      <c r="H185" s="4"/>
      <c r="I185" s="57">
        <v>290</v>
      </c>
      <c r="J185" s="79">
        <f t="shared" si="8"/>
        <v>226.2</v>
      </c>
      <c r="K185" s="59">
        <v>1</v>
      </c>
      <c r="L185" s="84">
        <f t="shared" si="9"/>
        <v>226.2</v>
      </c>
      <c r="M185" s="60" t="s">
        <v>450</v>
      </c>
      <c r="N185" s="57"/>
      <c r="O185" s="57"/>
      <c r="P185" s="57"/>
      <c r="Q185" s="17" t="s">
        <v>19</v>
      </c>
      <c r="R185" s="70" t="str">
        <f>HYPERLINK("http://search.books.com.tw/search/query/key/9789579502146/cat/all
","
9789579502146")</f>
        <v xml:space="preserve">
9789579502146</v>
      </c>
    </row>
    <row r="186" spans="1:18" hidden="1" x14ac:dyDescent="0.25">
      <c r="A186" s="1">
        <v>182</v>
      </c>
      <c r="B186" s="56" t="s">
        <v>698</v>
      </c>
      <c r="C186" s="57" t="s">
        <v>692</v>
      </c>
      <c r="D186" s="57" t="s">
        <v>689</v>
      </c>
      <c r="E186" s="58" t="s">
        <v>368</v>
      </c>
      <c r="F186" s="58" t="s">
        <v>699</v>
      </c>
      <c r="G186" s="58"/>
      <c r="H186" s="58"/>
      <c r="I186" s="57">
        <v>290</v>
      </c>
      <c r="J186" s="79">
        <f t="shared" si="8"/>
        <v>226.2</v>
      </c>
      <c r="K186" s="59"/>
      <c r="L186" s="84">
        <f t="shared" si="9"/>
        <v>0</v>
      </c>
      <c r="M186" s="60" t="s">
        <v>450</v>
      </c>
      <c r="N186" s="57"/>
      <c r="O186" s="57"/>
      <c r="P186" s="57"/>
      <c r="Q186" s="17" t="s">
        <v>19</v>
      </c>
      <c r="R186" s="70" t="str">
        <f>HYPERLINK("http://search.books.com.tw/search/query/key/9789579502207/cat/all
","
9789579502207")</f>
        <v xml:space="preserve">
9789579502207</v>
      </c>
    </row>
    <row r="187" spans="1:18" hidden="1" x14ac:dyDescent="0.25">
      <c r="A187" s="1">
        <v>183</v>
      </c>
      <c r="B187" s="56" t="s">
        <v>700</v>
      </c>
      <c r="C187" s="57" t="s">
        <v>701</v>
      </c>
      <c r="D187" s="57" t="s">
        <v>702</v>
      </c>
      <c r="E187" s="58" t="s">
        <v>363</v>
      </c>
      <c r="F187" s="58" t="s">
        <v>703</v>
      </c>
      <c r="G187" s="58"/>
      <c r="H187" s="58"/>
      <c r="I187" s="57">
        <v>350</v>
      </c>
      <c r="J187" s="79">
        <f t="shared" si="8"/>
        <v>273</v>
      </c>
      <c r="K187" s="59"/>
      <c r="L187" s="84">
        <f t="shared" si="9"/>
        <v>0</v>
      </c>
      <c r="M187" s="60" t="s">
        <v>450</v>
      </c>
      <c r="N187" s="57"/>
      <c r="O187" s="57"/>
      <c r="P187" s="57"/>
      <c r="Q187" s="17" t="s">
        <v>19</v>
      </c>
      <c r="R187" s="70" t="str">
        <f>HYPERLINK("http://search.books.com.tw/search/query/key/9789628949915/cat/all
","
9789628949915")</f>
        <v xml:space="preserve">
9789628949915</v>
      </c>
    </row>
    <row r="188" spans="1:18" hidden="1" x14ac:dyDescent="0.25">
      <c r="A188" s="1">
        <v>184</v>
      </c>
      <c r="B188" s="56" t="s">
        <v>704</v>
      </c>
      <c r="C188" s="57" t="s">
        <v>705</v>
      </c>
      <c r="D188" s="57" t="s">
        <v>706</v>
      </c>
      <c r="E188" s="58" t="s">
        <v>363</v>
      </c>
      <c r="F188" s="58" t="s">
        <v>707</v>
      </c>
      <c r="G188" s="58"/>
      <c r="H188" s="58"/>
      <c r="I188" s="57">
        <v>180</v>
      </c>
      <c r="J188" s="79">
        <f t="shared" si="8"/>
        <v>140.4</v>
      </c>
      <c r="K188" s="59"/>
      <c r="L188" s="84">
        <f t="shared" si="9"/>
        <v>0</v>
      </c>
      <c r="M188" s="60" t="s">
        <v>450</v>
      </c>
      <c r="N188" s="57"/>
      <c r="O188" s="57"/>
      <c r="P188" s="57"/>
      <c r="Q188" s="17" t="s">
        <v>19</v>
      </c>
      <c r="R188" s="70" t="str">
        <f>HYPERLINK("http://search.books.com.tw/search/query/key/9789864002252/cat/all
","
9789864002252")</f>
        <v xml:space="preserve">
9789864002252</v>
      </c>
    </row>
    <row r="189" spans="1:18" hidden="1" x14ac:dyDescent="0.25">
      <c r="A189" s="1">
        <v>185</v>
      </c>
      <c r="B189" s="56" t="s">
        <v>708</v>
      </c>
      <c r="C189" s="57" t="s">
        <v>709</v>
      </c>
      <c r="D189" s="57" t="s">
        <v>710</v>
      </c>
      <c r="E189" s="58" t="s">
        <v>368</v>
      </c>
      <c r="F189" s="58" t="s">
        <v>711</v>
      </c>
      <c r="G189" s="58"/>
      <c r="H189" s="58"/>
      <c r="I189" s="57">
        <v>260</v>
      </c>
      <c r="J189" s="79">
        <f t="shared" si="8"/>
        <v>202.8</v>
      </c>
      <c r="K189" s="59"/>
      <c r="L189" s="84">
        <f t="shared" si="9"/>
        <v>0</v>
      </c>
      <c r="M189" s="60" t="s">
        <v>450</v>
      </c>
      <c r="N189" s="57"/>
      <c r="O189" s="57"/>
      <c r="P189" s="57"/>
      <c r="Q189" s="17" t="s">
        <v>19</v>
      </c>
      <c r="R189" s="70" t="str">
        <f>HYPERLINK("http://search.books.com.tw/search/query/key/9789577518255/cat/all
","
9789577518255")</f>
        <v xml:space="preserve">
9789577518255</v>
      </c>
    </row>
    <row r="190" spans="1:18" hidden="1" x14ac:dyDescent="0.25">
      <c r="A190" s="1">
        <v>186</v>
      </c>
      <c r="B190" s="56" t="s">
        <v>712</v>
      </c>
      <c r="C190" s="57" t="s">
        <v>713</v>
      </c>
      <c r="D190" s="57" t="s">
        <v>714</v>
      </c>
      <c r="E190" s="58" t="s">
        <v>363</v>
      </c>
      <c r="F190" s="58" t="s">
        <v>715</v>
      </c>
      <c r="G190" s="58"/>
      <c r="H190" s="58"/>
      <c r="I190" s="57">
        <v>320</v>
      </c>
      <c r="J190" s="79">
        <f t="shared" si="8"/>
        <v>249.6</v>
      </c>
      <c r="K190" s="59"/>
      <c r="L190" s="84">
        <f t="shared" si="9"/>
        <v>0</v>
      </c>
      <c r="M190" s="60" t="s">
        <v>450</v>
      </c>
      <c r="N190" s="57"/>
      <c r="O190" s="57"/>
      <c r="P190" s="57"/>
      <c r="Q190" s="17" t="s">
        <v>19</v>
      </c>
      <c r="R190" s="70" t="str">
        <f>HYPERLINK("http://search.books.com.tw/search/query/key/9789573284086/cat/all
","
9789573284086")</f>
        <v xml:space="preserve">
9789573284086</v>
      </c>
    </row>
    <row r="191" spans="1:18" hidden="1" x14ac:dyDescent="0.25">
      <c r="A191" s="1">
        <v>187</v>
      </c>
      <c r="B191" s="56" t="s">
        <v>716</v>
      </c>
      <c r="C191" s="57" t="s">
        <v>717</v>
      </c>
      <c r="D191" s="57" t="s">
        <v>714</v>
      </c>
      <c r="E191" s="58" t="s">
        <v>363</v>
      </c>
      <c r="F191" s="58" t="s">
        <v>718</v>
      </c>
      <c r="G191" s="58"/>
      <c r="H191" s="58"/>
      <c r="I191" s="57">
        <v>320</v>
      </c>
      <c r="J191" s="79">
        <f t="shared" si="8"/>
        <v>249.6</v>
      </c>
      <c r="K191" s="59"/>
      <c r="L191" s="84">
        <f t="shared" si="9"/>
        <v>0</v>
      </c>
      <c r="M191" s="60" t="s">
        <v>450</v>
      </c>
      <c r="N191" s="57"/>
      <c r="O191" s="57"/>
      <c r="P191" s="57"/>
      <c r="Q191" s="17" t="s">
        <v>19</v>
      </c>
      <c r="R191" s="70" t="str">
        <f>HYPERLINK("http://search.books.com.tw/search/query/key/9789573284062/cat/all
","
9789573284062")</f>
        <v xml:space="preserve">
9789573284062</v>
      </c>
    </row>
    <row r="192" spans="1:18" hidden="1" x14ac:dyDescent="0.25">
      <c r="A192" s="1">
        <v>188</v>
      </c>
      <c r="B192" s="56" t="s">
        <v>719</v>
      </c>
      <c r="C192" s="57" t="s">
        <v>720</v>
      </c>
      <c r="D192" s="57" t="s">
        <v>316</v>
      </c>
      <c r="E192" s="58" t="s">
        <v>368</v>
      </c>
      <c r="F192" s="58" t="s">
        <v>721</v>
      </c>
      <c r="G192" s="58"/>
      <c r="H192" s="58"/>
      <c r="I192" s="57">
        <v>499</v>
      </c>
      <c r="J192" s="79">
        <f t="shared" si="8"/>
        <v>389.22</v>
      </c>
      <c r="K192" s="59"/>
      <c r="L192" s="84">
        <f t="shared" si="9"/>
        <v>0</v>
      </c>
      <c r="M192" s="60" t="s">
        <v>450</v>
      </c>
      <c r="N192" s="57"/>
      <c r="O192" s="57"/>
      <c r="P192" s="57"/>
      <c r="Q192" s="17" t="s">
        <v>19</v>
      </c>
      <c r="R192" s="70" t="str">
        <f>HYPERLINK("http://search.books.com.tw/search/query/key/9789862927731/cat/all
","
9789862927731")</f>
        <v xml:space="preserve">
9789862927731</v>
      </c>
    </row>
    <row r="193" spans="1:18" ht="33" hidden="1" x14ac:dyDescent="0.25">
      <c r="A193" s="1">
        <v>189</v>
      </c>
      <c r="B193" s="56" t="s">
        <v>722</v>
      </c>
      <c r="C193" s="57" t="s">
        <v>723</v>
      </c>
      <c r="D193" s="57" t="s">
        <v>724</v>
      </c>
      <c r="E193" s="58" t="s">
        <v>368</v>
      </c>
      <c r="F193" s="58" t="s">
        <v>725</v>
      </c>
      <c r="G193" s="58"/>
      <c r="H193" s="58"/>
      <c r="I193" s="57">
        <v>320</v>
      </c>
      <c r="J193" s="79">
        <f t="shared" si="8"/>
        <v>249.6</v>
      </c>
      <c r="K193" s="59"/>
      <c r="L193" s="84">
        <f t="shared" si="9"/>
        <v>0</v>
      </c>
      <c r="M193" s="60" t="s">
        <v>450</v>
      </c>
      <c r="N193" s="57"/>
      <c r="O193" s="57"/>
      <c r="P193" s="57"/>
      <c r="Q193" s="17" t="s">
        <v>19</v>
      </c>
      <c r="R193" s="70" t="str">
        <f>HYPERLINK("http://search.books.com.tw/search/query/key/9789575030674/cat/all
","
9789575030674")</f>
        <v xml:space="preserve">
9789575030674</v>
      </c>
    </row>
    <row r="194" spans="1:18" hidden="1" x14ac:dyDescent="0.25">
      <c r="A194" s="1">
        <v>190</v>
      </c>
      <c r="B194" s="56" t="s">
        <v>726</v>
      </c>
      <c r="C194" s="57" t="s">
        <v>727</v>
      </c>
      <c r="D194" s="57" t="s">
        <v>728</v>
      </c>
      <c r="E194" s="58" t="s">
        <v>363</v>
      </c>
      <c r="F194" s="58" t="s">
        <v>729</v>
      </c>
      <c r="G194" s="58"/>
      <c r="H194" s="58"/>
      <c r="I194" s="57">
        <v>280</v>
      </c>
      <c r="J194" s="79">
        <f t="shared" si="8"/>
        <v>218.4</v>
      </c>
      <c r="K194" s="59"/>
      <c r="L194" s="84">
        <f t="shared" si="9"/>
        <v>0</v>
      </c>
      <c r="M194" s="60" t="s">
        <v>450</v>
      </c>
      <c r="N194" s="57"/>
      <c r="O194" s="57"/>
      <c r="P194" s="57"/>
      <c r="Q194" s="17" t="s">
        <v>19</v>
      </c>
      <c r="R194" s="70" t="str">
        <f>HYPERLINK("http://search.books.com.tw/search/query/key/9789862487679/cat/all
","
9789862487679")</f>
        <v xml:space="preserve">
9789862487679</v>
      </c>
    </row>
    <row r="195" spans="1:18" hidden="1" x14ac:dyDescent="0.25">
      <c r="A195" s="1">
        <v>191</v>
      </c>
      <c r="B195" s="56" t="s">
        <v>730</v>
      </c>
      <c r="C195" s="57" t="s">
        <v>731</v>
      </c>
      <c r="D195" s="57" t="s">
        <v>732</v>
      </c>
      <c r="E195" s="58" t="s">
        <v>363</v>
      </c>
      <c r="F195" s="58" t="s">
        <v>733</v>
      </c>
      <c r="G195" s="58"/>
      <c r="H195" s="58"/>
      <c r="I195" s="57">
        <v>300</v>
      </c>
      <c r="J195" s="79">
        <f t="shared" si="8"/>
        <v>234</v>
      </c>
      <c r="K195" s="59"/>
      <c r="L195" s="84">
        <f t="shared" si="9"/>
        <v>0</v>
      </c>
      <c r="M195" s="60" t="s">
        <v>450</v>
      </c>
      <c r="N195" s="57"/>
      <c r="O195" s="57"/>
      <c r="P195" s="57"/>
      <c r="Q195" s="17" t="s">
        <v>19</v>
      </c>
      <c r="R195" s="70" t="str">
        <f>HYPERLINK("http://search.books.com.tw/search/query/key/9789860570335/cat/all
","
9789860570335")</f>
        <v xml:space="preserve">
9789860570335</v>
      </c>
    </row>
    <row r="196" spans="1:18" ht="33" hidden="1" x14ac:dyDescent="0.25">
      <c r="A196" s="1">
        <v>192</v>
      </c>
      <c r="B196" s="56" t="s">
        <v>734</v>
      </c>
      <c r="C196" s="57" t="s">
        <v>735</v>
      </c>
      <c r="D196" s="57" t="s">
        <v>732</v>
      </c>
      <c r="E196" s="58" t="s">
        <v>363</v>
      </c>
      <c r="F196" s="58" t="s">
        <v>736</v>
      </c>
      <c r="G196" s="58"/>
      <c r="H196" s="58"/>
      <c r="I196" s="57">
        <v>390</v>
      </c>
      <c r="J196" s="79">
        <f t="shared" si="8"/>
        <v>304.2</v>
      </c>
      <c r="K196" s="59"/>
      <c r="L196" s="84">
        <f t="shared" si="9"/>
        <v>0</v>
      </c>
      <c r="M196" s="60" t="s">
        <v>450</v>
      </c>
      <c r="N196" s="57"/>
      <c r="O196" s="57"/>
      <c r="P196" s="57"/>
      <c r="Q196" s="17" t="s">
        <v>19</v>
      </c>
      <c r="R196" s="70" t="str">
        <f>HYPERLINK("http://search.books.com.tw/search/query/key/9789570851601/cat/all
","
9789570851601")</f>
        <v xml:space="preserve">
9789570851601</v>
      </c>
    </row>
    <row r="197" spans="1:18" hidden="1" x14ac:dyDescent="0.25">
      <c r="A197" s="1">
        <v>193</v>
      </c>
      <c r="B197" s="56" t="s">
        <v>737</v>
      </c>
      <c r="C197" s="57" t="s">
        <v>738</v>
      </c>
      <c r="D197" s="57" t="s">
        <v>732</v>
      </c>
      <c r="E197" s="58" t="s">
        <v>359</v>
      </c>
      <c r="F197" s="58" t="s">
        <v>739</v>
      </c>
      <c r="G197" s="58"/>
      <c r="H197" s="58"/>
      <c r="I197" s="57">
        <v>280</v>
      </c>
      <c r="J197" s="79">
        <f t="shared" si="8"/>
        <v>218.4</v>
      </c>
      <c r="K197" s="59"/>
      <c r="L197" s="84">
        <f t="shared" si="9"/>
        <v>0</v>
      </c>
      <c r="M197" s="60" t="s">
        <v>450</v>
      </c>
      <c r="N197" s="57"/>
      <c r="O197" s="57"/>
      <c r="P197" s="57"/>
      <c r="Q197" s="17" t="s">
        <v>19</v>
      </c>
      <c r="R197" s="70" t="str">
        <f>HYPERLINK("http://search.books.com.tw/search/query/key/9789860569360/cat/all
","
9789860569360")</f>
        <v xml:space="preserve">
9789860569360</v>
      </c>
    </row>
    <row r="198" spans="1:18" x14ac:dyDescent="0.25">
      <c r="A198" s="1">
        <v>194</v>
      </c>
      <c r="B198" s="56" t="s">
        <v>740</v>
      </c>
      <c r="C198" s="57" t="s">
        <v>741</v>
      </c>
      <c r="D198" s="57" t="s">
        <v>732</v>
      </c>
      <c r="E198" s="58" t="s">
        <v>363</v>
      </c>
      <c r="F198" s="58" t="s">
        <v>742</v>
      </c>
      <c r="G198" s="4" t="s">
        <v>3443</v>
      </c>
      <c r="H198" s="58"/>
      <c r="I198" s="57">
        <v>280</v>
      </c>
      <c r="J198" s="79">
        <f t="shared" ref="J198:J261" si="10">ROUND(I198*0.78,2)</f>
        <v>218.4</v>
      </c>
      <c r="K198" s="59">
        <v>1</v>
      </c>
      <c r="L198" s="84">
        <f t="shared" ref="L198:L261" si="11">K198*J198</f>
        <v>218.4</v>
      </c>
      <c r="M198" s="60" t="s">
        <v>450</v>
      </c>
      <c r="N198" s="57"/>
      <c r="O198" s="57"/>
      <c r="P198" s="57"/>
      <c r="Q198" s="17" t="s">
        <v>19</v>
      </c>
      <c r="R198" s="70" t="str">
        <f>HYPERLINK("http://search.books.com.tw/search/query/key/9789570851953/cat/all
","
9789570851953")</f>
        <v xml:space="preserve">
9789570851953</v>
      </c>
    </row>
    <row r="199" spans="1:18" ht="33" x14ac:dyDescent="0.25">
      <c r="A199" s="1">
        <v>195</v>
      </c>
      <c r="B199" s="56" t="s">
        <v>743</v>
      </c>
      <c r="C199" s="57" t="s">
        <v>744</v>
      </c>
      <c r="D199" s="57" t="s">
        <v>470</v>
      </c>
      <c r="E199" s="58" t="s">
        <v>363</v>
      </c>
      <c r="F199" s="58" t="s">
        <v>745</v>
      </c>
      <c r="G199" s="4" t="s">
        <v>3444</v>
      </c>
      <c r="H199" s="58"/>
      <c r="I199" s="57">
        <v>280</v>
      </c>
      <c r="J199" s="79">
        <f t="shared" si="10"/>
        <v>218.4</v>
      </c>
      <c r="K199" s="59">
        <v>1</v>
      </c>
      <c r="L199" s="84">
        <f t="shared" si="11"/>
        <v>218.4</v>
      </c>
      <c r="M199" s="60" t="s">
        <v>746</v>
      </c>
      <c r="N199" s="57"/>
      <c r="O199" s="57"/>
      <c r="P199" s="57"/>
      <c r="Q199" s="17" t="s">
        <v>19</v>
      </c>
      <c r="R199" s="70" t="str">
        <f>HYPERLINK("http://search.books.com.tw/search/query/key/9789576580901/cat/all
","
9789576580901")</f>
        <v xml:space="preserve">
9789576580901</v>
      </c>
    </row>
    <row r="200" spans="1:18" x14ac:dyDescent="0.25">
      <c r="A200" s="1">
        <v>196</v>
      </c>
      <c r="B200" s="56" t="s">
        <v>747</v>
      </c>
      <c r="C200" s="57" t="s">
        <v>748</v>
      </c>
      <c r="D200" s="57" t="s">
        <v>470</v>
      </c>
      <c r="E200" s="58" t="s">
        <v>363</v>
      </c>
      <c r="F200" s="58" t="s">
        <v>749</v>
      </c>
      <c r="G200" s="4" t="s">
        <v>3444</v>
      </c>
      <c r="H200" s="58"/>
      <c r="I200" s="57">
        <v>320</v>
      </c>
      <c r="J200" s="79">
        <f t="shared" si="10"/>
        <v>249.6</v>
      </c>
      <c r="K200" s="59">
        <v>1</v>
      </c>
      <c r="L200" s="84">
        <f t="shared" si="11"/>
        <v>249.6</v>
      </c>
      <c r="M200" s="60" t="s">
        <v>746</v>
      </c>
      <c r="N200" s="57"/>
      <c r="O200" s="57"/>
      <c r="P200" s="57"/>
      <c r="Q200" s="17" t="s">
        <v>19</v>
      </c>
      <c r="R200" s="70" t="str">
        <f>HYPERLINK("http://search.books.com.tw/search/query/key/9789576580826/cat/all
","
9789576580826")</f>
        <v xml:space="preserve">
9789576580826</v>
      </c>
    </row>
    <row r="201" spans="1:18" x14ac:dyDescent="0.25">
      <c r="A201" s="1">
        <v>197</v>
      </c>
      <c r="B201" s="56" t="s">
        <v>750</v>
      </c>
      <c r="C201" s="57" t="s">
        <v>751</v>
      </c>
      <c r="D201" s="57" t="s">
        <v>470</v>
      </c>
      <c r="E201" s="58" t="s">
        <v>363</v>
      </c>
      <c r="F201" s="58" t="s">
        <v>752</v>
      </c>
      <c r="G201" s="4" t="s">
        <v>3444</v>
      </c>
      <c r="H201" s="58"/>
      <c r="I201" s="57">
        <v>300</v>
      </c>
      <c r="J201" s="79">
        <f t="shared" si="10"/>
        <v>234</v>
      </c>
      <c r="K201" s="59">
        <v>1</v>
      </c>
      <c r="L201" s="84">
        <f t="shared" si="11"/>
        <v>234</v>
      </c>
      <c r="M201" s="60" t="s">
        <v>746</v>
      </c>
      <c r="N201" s="57"/>
      <c r="O201" s="57"/>
      <c r="P201" s="57"/>
      <c r="Q201" s="17" t="s">
        <v>19</v>
      </c>
      <c r="R201" s="70" t="str">
        <f>HYPERLINK("http://search.books.com.tw/search/query/key/9789576580796/cat/all
","
9789576580796")</f>
        <v xml:space="preserve">
9789576580796</v>
      </c>
    </row>
    <row r="202" spans="1:18" hidden="1" x14ac:dyDescent="0.25">
      <c r="A202" s="1">
        <v>198</v>
      </c>
      <c r="B202" s="56" t="s">
        <v>753</v>
      </c>
      <c r="C202" s="57" t="s">
        <v>754</v>
      </c>
      <c r="D202" s="57" t="s">
        <v>755</v>
      </c>
      <c r="E202" s="58" t="s">
        <v>363</v>
      </c>
      <c r="F202" s="58" t="s">
        <v>756</v>
      </c>
      <c r="G202" s="4"/>
      <c r="H202" s="58"/>
      <c r="I202" s="57">
        <v>280</v>
      </c>
      <c r="J202" s="79">
        <f t="shared" si="10"/>
        <v>218.4</v>
      </c>
      <c r="K202" s="59"/>
      <c r="L202" s="84">
        <f t="shared" si="11"/>
        <v>0</v>
      </c>
      <c r="M202" s="60" t="s">
        <v>746</v>
      </c>
      <c r="N202" s="57"/>
      <c r="O202" s="57"/>
      <c r="P202" s="57"/>
      <c r="Q202" s="17" t="s">
        <v>19</v>
      </c>
      <c r="R202" s="70" t="str">
        <f>HYPERLINK("http://search.books.com.tw/search/query/key/9789863018766/cat/all
","
9789863018766")</f>
        <v xml:space="preserve">
9789863018766</v>
      </c>
    </row>
    <row r="203" spans="1:18" ht="33" x14ac:dyDescent="0.25">
      <c r="A203" s="1">
        <v>199</v>
      </c>
      <c r="B203" s="56" t="s">
        <v>757</v>
      </c>
      <c r="C203" s="57" t="s">
        <v>758</v>
      </c>
      <c r="D203" s="57" t="s">
        <v>504</v>
      </c>
      <c r="E203" s="58" t="s">
        <v>363</v>
      </c>
      <c r="F203" s="58" t="s">
        <v>759</v>
      </c>
      <c r="G203" s="4" t="s">
        <v>3444</v>
      </c>
      <c r="H203" s="58"/>
      <c r="I203" s="57">
        <v>350</v>
      </c>
      <c r="J203" s="79">
        <f t="shared" si="10"/>
        <v>273</v>
      </c>
      <c r="K203" s="59">
        <v>1</v>
      </c>
      <c r="L203" s="84">
        <f t="shared" si="11"/>
        <v>273</v>
      </c>
      <c r="M203" s="60" t="s">
        <v>746</v>
      </c>
      <c r="N203" s="57"/>
      <c r="O203" s="57"/>
      <c r="P203" s="57"/>
      <c r="Q203" s="17" t="s">
        <v>19</v>
      </c>
      <c r="R203" s="70" t="str">
        <f>HYPERLINK("http://search.books.com.tw/search/query/key/9789864795734/cat/all
","
9789864795734")</f>
        <v xml:space="preserve">
9789864795734</v>
      </c>
    </row>
    <row r="204" spans="1:18" ht="33" x14ac:dyDescent="0.25">
      <c r="A204" s="1">
        <v>200</v>
      </c>
      <c r="B204" s="56" t="s">
        <v>760</v>
      </c>
      <c r="C204" s="57" t="s">
        <v>758</v>
      </c>
      <c r="D204" s="57" t="s">
        <v>504</v>
      </c>
      <c r="E204" s="58" t="s">
        <v>363</v>
      </c>
      <c r="F204" s="58" t="s">
        <v>761</v>
      </c>
      <c r="G204" s="4" t="s">
        <v>3444</v>
      </c>
      <c r="H204" s="58"/>
      <c r="I204" s="57">
        <v>350</v>
      </c>
      <c r="J204" s="79">
        <f t="shared" si="10"/>
        <v>273</v>
      </c>
      <c r="K204" s="59">
        <v>1</v>
      </c>
      <c r="L204" s="84">
        <f t="shared" si="11"/>
        <v>273</v>
      </c>
      <c r="M204" s="60" t="s">
        <v>746</v>
      </c>
      <c r="N204" s="57"/>
      <c r="O204" s="57"/>
      <c r="P204" s="57"/>
      <c r="Q204" s="17" t="s">
        <v>19</v>
      </c>
      <c r="R204" s="70" t="str">
        <f>HYPERLINK("http://search.books.com.tw/search/query/key/9789864795741/cat/all
","
9789864795741")</f>
        <v xml:space="preserve">
9789864795741</v>
      </c>
    </row>
    <row r="205" spans="1:18" hidden="1" x14ac:dyDescent="0.25">
      <c r="A205" s="1">
        <v>201</v>
      </c>
      <c r="B205" s="56" t="s">
        <v>762</v>
      </c>
      <c r="C205" s="57" t="s">
        <v>763</v>
      </c>
      <c r="D205" s="57" t="s">
        <v>504</v>
      </c>
      <c r="E205" s="58" t="s">
        <v>368</v>
      </c>
      <c r="F205" s="58" t="s">
        <v>764</v>
      </c>
      <c r="G205" s="58"/>
      <c r="H205" s="58"/>
      <c r="I205" s="57">
        <v>360</v>
      </c>
      <c r="J205" s="79">
        <f t="shared" si="10"/>
        <v>280.8</v>
      </c>
      <c r="K205" s="59"/>
      <c r="L205" s="84">
        <f t="shared" si="11"/>
        <v>0</v>
      </c>
      <c r="M205" s="60" t="s">
        <v>746</v>
      </c>
      <c r="N205" s="57"/>
      <c r="O205" s="57"/>
      <c r="P205" s="57"/>
      <c r="Q205" s="17" t="s">
        <v>19</v>
      </c>
      <c r="R205" s="70" t="str">
        <f>HYPERLINK("http://search.books.com.tw/search/query/key/9789864795802/cat/all
","
9789864795802")</f>
        <v xml:space="preserve">
9789864795802</v>
      </c>
    </row>
    <row r="206" spans="1:18" hidden="1" x14ac:dyDescent="0.25">
      <c r="A206" s="1">
        <v>202</v>
      </c>
      <c r="B206" s="56" t="s">
        <v>765</v>
      </c>
      <c r="C206" s="57" t="s">
        <v>763</v>
      </c>
      <c r="D206" s="57" t="s">
        <v>504</v>
      </c>
      <c r="E206" s="58" t="s">
        <v>368</v>
      </c>
      <c r="F206" s="58" t="s">
        <v>766</v>
      </c>
      <c r="G206" s="58"/>
      <c r="H206" s="58"/>
      <c r="I206" s="57">
        <v>360</v>
      </c>
      <c r="J206" s="79">
        <f t="shared" si="10"/>
        <v>280.8</v>
      </c>
      <c r="K206" s="59"/>
      <c r="L206" s="84">
        <f t="shared" si="11"/>
        <v>0</v>
      </c>
      <c r="M206" s="60" t="s">
        <v>746</v>
      </c>
      <c r="N206" s="57"/>
      <c r="O206" s="57"/>
      <c r="P206" s="57"/>
      <c r="Q206" s="17" t="s">
        <v>19</v>
      </c>
      <c r="R206" s="70" t="str">
        <f>HYPERLINK("http://search.books.com.tw/search/query/key/9789864795819/cat/all
","
9789864795819")</f>
        <v xml:space="preserve">
9789864795819</v>
      </c>
    </row>
    <row r="207" spans="1:18" hidden="1" x14ac:dyDescent="0.25">
      <c r="A207" s="1">
        <v>203</v>
      </c>
      <c r="B207" s="56" t="s">
        <v>767</v>
      </c>
      <c r="C207" s="57" t="s">
        <v>768</v>
      </c>
      <c r="D207" s="57" t="s">
        <v>769</v>
      </c>
      <c r="E207" s="58" t="s">
        <v>368</v>
      </c>
      <c r="F207" s="58" t="s">
        <v>770</v>
      </c>
      <c r="G207" s="58"/>
      <c r="H207" s="58"/>
      <c r="I207" s="57">
        <v>280</v>
      </c>
      <c r="J207" s="79">
        <f t="shared" si="10"/>
        <v>218.4</v>
      </c>
      <c r="K207" s="59"/>
      <c r="L207" s="84">
        <f t="shared" si="11"/>
        <v>0</v>
      </c>
      <c r="M207" s="60" t="s">
        <v>746</v>
      </c>
      <c r="N207" s="57"/>
      <c r="O207" s="57"/>
      <c r="P207" s="57"/>
      <c r="Q207" s="17" t="s">
        <v>19</v>
      </c>
      <c r="R207" s="70" t="str">
        <f>HYPERLINK("http://search.books.com.tw/search/query/key/9789578602458/cat/all
","
9789578602458")</f>
        <v xml:space="preserve">
9789578602458</v>
      </c>
    </row>
    <row r="208" spans="1:18" x14ac:dyDescent="0.25">
      <c r="A208" s="1">
        <v>204</v>
      </c>
      <c r="B208" s="56" t="s">
        <v>771</v>
      </c>
      <c r="C208" s="57" t="s">
        <v>772</v>
      </c>
      <c r="D208" s="57" t="s">
        <v>773</v>
      </c>
      <c r="E208" s="58" t="s">
        <v>368</v>
      </c>
      <c r="F208" s="58" t="s">
        <v>774</v>
      </c>
      <c r="G208" s="4" t="s">
        <v>3444</v>
      </c>
      <c r="H208" s="58"/>
      <c r="I208" s="57">
        <v>300</v>
      </c>
      <c r="J208" s="79">
        <f t="shared" si="10"/>
        <v>234</v>
      </c>
      <c r="K208" s="59">
        <v>1</v>
      </c>
      <c r="L208" s="84">
        <f t="shared" si="11"/>
        <v>234</v>
      </c>
      <c r="M208" s="60" t="s">
        <v>746</v>
      </c>
      <c r="N208" s="57"/>
      <c r="O208" s="57"/>
      <c r="P208" s="57"/>
      <c r="Q208" s="17" t="s">
        <v>19</v>
      </c>
      <c r="R208" s="70" t="str">
        <f>HYPERLINK("http://search.books.com.tw/search/query/key/9789578799448/cat/all
","
9789578799448")</f>
        <v xml:space="preserve">
9789578799448</v>
      </c>
    </row>
    <row r="209" spans="1:18" ht="33" hidden="1" x14ac:dyDescent="0.25">
      <c r="A209" s="1">
        <v>205</v>
      </c>
      <c r="B209" s="56" t="s">
        <v>775</v>
      </c>
      <c r="C209" s="57" t="s">
        <v>776</v>
      </c>
      <c r="D209" s="57" t="s">
        <v>777</v>
      </c>
      <c r="E209" s="58" t="s">
        <v>363</v>
      </c>
      <c r="F209" s="58" t="s">
        <v>778</v>
      </c>
      <c r="G209" s="58"/>
      <c r="H209" s="58"/>
      <c r="I209" s="57">
        <v>280</v>
      </c>
      <c r="J209" s="79">
        <f t="shared" si="10"/>
        <v>218.4</v>
      </c>
      <c r="K209" s="59"/>
      <c r="L209" s="84">
        <f t="shared" si="11"/>
        <v>0</v>
      </c>
      <c r="M209" s="60" t="s">
        <v>746</v>
      </c>
      <c r="N209" s="57"/>
      <c r="O209" s="57"/>
      <c r="P209" s="57"/>
      <c r="Q209" s="17" t="s">
        <v>19</v>
      </c>
      <c r="R209" s="70" t="str">
        <f>HYPERLINK("http://search.books.com.tw/search/query/key/9789867018304/cat/all
","
9789867018304")</f>
        <v xml:space="preserve">
9789867018304</v>
      </c>
    </row>
    <row r="210" spans="1:18" ht="82.5" hidden="1" x14ac:dyDescent="0.25">
      <c r="A210" s="1">
        <v>206</v>
      </c>
      <c r="B210" s="56" t="s">
        <v>779</v>
      </c>
      <c r="C210" s="57" t="s">
        <v>780</v>
      </c>
      <c r="D210" s="57" t="s">
        <v>781</v>
      </c>
      <c r="E210" s="58" t="s">
        <v>363</v>
      </c>
      <c r="F210" s="58" t="s">
        <v>782</v>
      </c>
      <c r="G210" s="58"/>
      <c r="H210" s="58"/>
      <c r="I210" s="57">
        <v>320</v>
      </c>
      <c r="J210" s="79">
        <f t="shared" si="10"/>
        <v>249.6</v>
      </c>
      <c r="K210" s="59"/>
      <c r="L210" s="84">
        <f t="shared" si="11"/>
        <v>0</v>
      </c>
      <c r="M210" s="60" t="s">
        <v>783</v>
      </c>
      <c r="N210" s="57"/>
      <c r="O210" s="57"/>
      <c r="P210" s="57"/>
      <c r="Q210" s="17" t="s">
        <v>19</v>
      </c>
      <c r="R210" s="70" t="str">
        <f>HYPERLINK("http://search.books.com.tw/search/query/key/9789864012800/cat/all
","
9789864012800")</f>
        <v xml:space="preserve">
9789864012800</v>
      </c>
    </row>
    <row r="211" spans="1:18" x14ac:dyDescent="0.25">
      <c r="A211" s="1">
        <v>207</v>
      </c>
      <c r="B211" s="56" t="s">
        <v>784</v>
      </c>
      <c r="C211" s="57" t="s">
        <v>785</v>
      </c>
      <c r="D211" s="57" t="s">
        <v>786</v>
      </c>
      <c r="E211" s="58" t="s">
        <v>368</v>
      </c>
      <c r="F211" s="58" t="s">
        <v>787</v>
      </c>
      <c r="G211" s="4" t="s">
        <v>3444</v>
      </c>
      <c r="H211" s="58"/>
      <c r="I211" s="57">
        <v>300</v>
      </c>
      <c r="J211" s="79">
        <f t="shared" si="10"/>
        <v>234</v>
      </c>
      <c r="K211" s="59">
        <v>1</v>
      </c>
      <c r="L211" s="84">
        <f t="shared" si="11"/>
        <v>234</v>
      </c>
      <c r="M211" s="60" t="s">
        <v>746</v>
      </c>
      <c r="N211" s="57"/>
      <c r="O211" s="57"/>
      <c r="P211" s="57"/>
      <c r="Q211" s="17" t="s">
        <v>19</v>
      </c>
      <c r="R211" s="70" t="str">
        <f>HYPERLINK("http://search.books.com.tw/search/query/key/9789578891265/cat/all
","
9789578891265")</f>
        <v xml:space="preserve">
9789578891265</v>
      </c>
    </row>
    <row r="212" spans="1:18" x14ac:dyDescent="0.25">
      <c r="A212" s="1">
        <v>208</v>
      </c>
      <c r="B212" s="56" t="s">
        <v>788</v>
      </c>
      <c r="C212" s="57" t="s">
        <v>785</v>
      </c>
      <c r="D212" s="57" t="s">
        <v>786</v>
      </c>
      <c r="E212" s="58" t="s">
        <v>368</v>
      </c>
      <c r="F212" s="58" t="s">
        <v>789</v>
      </c>
      <c r="G212" s="4" t="s">
        <v>3444</v>
      </c>
      <c r="H212" s="58"/>
      <c r="I212" s="57">
        <v>300</v>
      </c>
      <c r="J212" s="79">
        <f t="shared" si="10"/>
        <v>234</v>
      </c>
      <c r="K212" s="59">
        <v>1</v>
      </c>
      <c r="L212" s="84">
        <f t="shared" si="11"/>
        <v>234</v>
      </c>
      <c r="M212" s="60" t="s">
        <v>746</v>
      </c>
      <c r="N212" s="57"/>
      <c r="O212" s="57"/>
      <c r="P212" s="57"/>
      <c r="Q212" s="17" t="s">
        <v>19</v>
      </c>
      <c r="R212" s="70" t="str">
        <f>HYPERLINK("http://search.books.com.tw/search/query/key/9789578891289/cat/all
","
9789578891289")</f>
        <v xml:space="preserve">
9789578891289</v>
      </c>
    </row>
    <row r="213" spans="1:18" ht="33" x14ac:dyDescent="0.25">
      <c r="A213" s="1">
        <v>209</v>
      </c>
      <c r="B213" s="56" t="s">
        <v>790</v>
      </c>
      <c r="C213" s="57" t="s">
        <v>785</v>
      </c>
      <c r="D213" s="57" t="s">
        <v>786</v>
      </c>
      <c r="E213" s="58" t="s">
        <v>368</v>
      </c>
      <c r="F213" s="58" t="s">
        <v>791</v>
      </c>
      <c r="G213" s="4" t="s">
        <v>3444</v>
      </c>
      <c r="H213" s="58"/>
      <c r="I213" s="57">
        <v>300</v>
      </c>
      <c r="J213" s="79">
        <f t="shared" si="10"/>
        <v>234</v>
      </c>
      <c r="K213" s="59">
        <v>1</v>
      </c>
      <c r="L213" s="84">
        <f t="shared" si="11"/>
        <v>234</v>
      </c>
      <c r="M213" s="60" t="s">
        <v>746</v>
      </c>
      <c r="N213" s="57"/>
      <c r="O213" s="57"/>
      <c r="P213" s="57"/>
      <c r="Q213" s="17" t="s">
        <v>19</v>
      </c>
      <c r="R213" s="70" t="str">
        <f>HYPERLINK("http://search.books.com.tw/search/query/key/9789578891258/cat/all
","
9789578891258")</f>
        <v xml:space="preserve">
9789578891258</v>
      </c>
    </row>
    <row r="214" spans="1:18" ht="33" x14ac:dyDescent="0.25">
      <c r="A214" s="1">
        <v>210</v>
      </c>
      <c r="B214" s="56" t="s">
        <v>792</v>
      </c>
      <c r="C214" s="57" t="s">
        <v>785</v>
      </c>
      <c r="D214" s="57" t="s">
        <v>786</v>
      </c>
      <c r="E214" s="58" t="s">
        <v>368</v>
      </c>
      <c r="F214" s="58" t="s">
        <v>793</v>
      </c>
      <c r="G214" s="4" t="s">
        <v>3444</v>
      </c>
      <c r="H214" s="58"/>
      <c r="I214" s="57">
        <v>300</v>
      </c>
      <c r="J214" s="79">
        <f t="shared" si="10"/>
        <v>234</v>
      </c>
      <c r="K214" s="59">
        <v>1</v>
      </c>
      <c r="L214" s="84">
        <f t="shared" si="11"/>
        <v>234</v>
      </c>
      <c r="M214" s="60" t="s">
        <v>746</v>
      </c>
      <c r="N214" s="57"/>
      <c r="O214" s="57"/>
      <c r="P214" s="57"/>
      <c r="Q214" s="17" t="s">
        <v>19</v>
      </c>
      <c r="R214" s="70" t="str">
        <f>HYPERLINK("http://search.books.com.tw/search/query/key/9789578891272/cat/all
","
9789578891272")</f>
        <v xml:space="preserve">
9789578891272</v>
      </c>
    </row>
    <row r="215" spans="1:18" ht="33" hidden="1" x14ac:dyDescent="0.25">
      <c r="A215" s="1">
        <v>211</v>
      </c>
      <c r="B215" s="56" t="s">
        <v>794</v>
      </c>
      <c r="C215" s="57" t="s">
        <v>795</v>
      </c>
      <c r="D215" s="57" t="s">
        <v>470</v>
      </c>
      <c r="E215" s="58" t="s">
        <v>363</v>
      </c>
      <c r="F215" s="58" t="s">
        <v>796</v>
      </c>
      <c r="G215" s="58"/>
      <c r="H215" s="58"/>
      <c r="I215" s="57">
        <v>280</v>
      </c>
      <c r="J215" s="79">
        <f t="shared" si="10"/>
        <v>218.4</v>
      </c>
      <c r="K215" s="59"/>
      <c r="L215" s="84">
        <f t="shared" si="11"/>
        <v>0</v>
      </c>
      <c r="M215" s="60" t="s">
        <v>783</v>
      </c>
      <c r="N215" s="57"/>
      <c r="O215" s="57"/>
      <c r="P215" s="57"/>
      <c r="Q215" s="17" t="s">
        <v>19</v>
      </c>
      <c r="R215" s="70" t="str">
        <f>HYPERLINK("http://search.books.com.tw/search/query/key/9789576580475/cat/all
","
9789576580475")</f>
        <v xml:space="preserve">
9789576580475</v>
      </c>
    </row>
    <row r="216" spans="1:18" ht="33" hidden="1" x14ac:dyDescent="0.25">
      <c r="A216" s="1">
        <v>212</v>
      </c>
      <c r="B216" s="56" t="s">
        <v>797</v>
      </c>
      <c r="C216" s="57" t="s">
        <v>795</v>
      </c>
      <c r="D216" s="57" t="s">
        <v>470</v>
      </c>
      <c r="E216" s="58" t="s">
        <v>363</v>
      </c>
      <c r="F216" s="58" t="s">
        <v>798</v>
      </c>
      <c r="G216" s="58"/>
      <c r="H216" s="58"/>
      <c r="I216" s="57">
        <v>280</v>
      </c>
      <c r="J216" s="79">
        <f t="shared" si="10"/>
        <v>218.4</v>
      </c>
      <c r="K216" s="59"/>
      <c r="L216" s="84">
        <f t="shared" si="11"/>
        <v>0</v>
      </c>
      <c r="M216" s="60" t="s">
        <v>783</v>
      </c>
      <c r="N216" s="57"/>
      <c r="O216" s="57"/>
      <c r="P216" s="57"/>
      <c r="Q216" s="17" t="s">
        <v>19</v>
      </c>
      <c r="R216" s="70" t="str">
        <f>HYPERLINK("http://search.books.com.tw/search/query/key/9789576580819/cat/all
","
9789576580819")</f>
        <v xml:space="preserve">
9789576580819</v>
      </c>
    </row>
    <row r="217" spans="1:18" hidden="1" x14ac:dyDescent="0.25">
      <c r="A217" s="1">
        <v>213</v>
      </c>
      <c r="B217" s="56" t="s">
        <v>799</v>
      </c>
      <c r="C217" s="57" t="s">
        <v>800</v>
      </c>
      <c r="D217" s="57" t="s">
        <v>500</v>
      </c>
      <c r="E217" s="58" t="s">
        <v>368</v>
      </c>
      <c r="F217" s="58" t="s">
        <v>801</v>
      </c>
      <c r="G217" s="58"/>
      <c r="H217" s="58"/>
      <c r="I217" s="57">
        <v>250</v>
      </c>
      <c r="J217" s="79">
        <f t="shared" si="10"/>
        <v>195</v>
      </c>
      <c r="K217" s="59"/>
      <c r="L217" s="84">
        <f t="shared" si="11"/>
        <v>0</v>
      </c>
      <c r="M217" s="60" t="s">
        <v>783</v>
      </c>
      <c r="N217" s="57"/>
      <c r="O217" s="57"/>
      <c r="P217" s="57"/>
      <c r="Q217" s="17" t="s">
        <v>19</v>
      </c>
      <c r="R217" s="70" t="str">
        <f>HYPERLINK("http://search.books.com.tw/search/query/key/9789864435418/cat/all
","
9789864435418")</f>
        <v xml:space="preserve">
9789864435418</v>
      </c>
    </row>
    <row r="218" spans="1:18" hidden="1" x14ac:dyDescent="0.25">
      <c r="A218" s="1">
        <v>214</v>
      </c>
      <c r="B218" s="56" t="s">
        <v>802</v>
      </c>
      <c r="C218" s="57" t="s">
        <v>803</v>
      </c>
      <c r="D218" s="57" t="s">
        <v>500</v>
      </c>
      <c r="E218" s="58" t="s">
        <v>363</v>
      </c>
      <c r="F218" s="58" t="s">
        <v>804</v>
      </c>
      <c r="G218" s="58"/>
      <c r="H218" s="58"/>
      <c r="I218" s="57">
        <v>250</v>
      </c>
      <c r="J218" s="79">
        <f t="shared" si="10"/>
        <v>195</v>
      </c>
      <c r="K218" s="59"/>
      <c r="L218" s="84">
        <f t="shared" si="11"/>
        <v>0</v>
      </c>
      <c r="M218" s="60" t="s">
        <v>783</v>
      </c>
      <c r="N218" s="57"/>
      <c r="O218" s="57"/>
      <c r="P218" s="57"/>
      <c r="Q218" s="17" t="s">
        <v>19</v>
      </c>
      <c r="R218" s="70" t="str">
        <f>HYPERLINK("http://search.books.com.tw/search/query/key/9789864435227/cat/all
","
9789864435227")</f>
        <v xml:space="preserve">
9789864435227</v>
      </c>
    </row>
    <row r="219" spans="1:18" hidden="1" x14ac:dyDescent="0.25">
      <c r="A219" s="1">
        <v>215</v>
      </c>
      <c r="B219" s="56" t="s">
        <v>805</v>
      </c>
      <c r="C219" s="57" t="s">
        <v>806</v>
      </c>
      <c r="D219" s="57" t="s">
        <v>504</v>
      </c>
      <c r="E219" s="58" t="s">
        <v>363</v>
      </c>
      <c r="F219" s="58" t="s">
        <v>807</v>
      </c>
      <c r="G219" s="58"/>
      <c r="H219" s="58"/>
      <c r="I219" s="57">
        <v>380</v>
      </c>
      <c r="J219" s="79">
        <f t="shared" si="10"/>
        <v>296.39999999999998</v>
      </c>
      <c r="K219" s="59"/>
      <c r="L219" s="84">
        <f t="shared" si="11"/>
        <v>0</v>
      </c>
      <c r="M219" s="60" t="s">
        <v>783</v>
      </c>
      <c r="N219" s="57"/>
      <c r="O219" s="57"/>
      <c r="P219" s="57"/>
      <c r="Q219" s="17" t="s">
        <v>19</v>
      </c>
      <c r="R219" s="70" t="str">
        <f>HYPERLINK("http://search.books.com.tw/search/query/key/9789864795642/cat/all
","
9789864795642")</f>
        <v xml:space="preserve">
9789864795642</v>
      </c>
    </row>
    <row r="220" spans="1:18" hidden="1" x14ac:dyDescent="0.25">
      <c r="A220" s="1">
        <v>216</v>
      </c>
      <c r="B220" s="56" t="s">
        <v>808</v>
      </c>
      <c r="C220" s="57" t="s">
        <v>516</v>
      </c>
      <c r="D220" s="57" t="s">
        <v>517</v>
      </c>
      <c r="E220" s="58" t="s">
        <v>363</v>
      </c>
      <c r="F220" s="58" t="s">
        <v>809</v>
      </c>
      <c r="G220" s="58"/>
      <c r="H220" s="58"/>
      <c r="I220" s="57">
        <v>330</v>
      </c>
      <c r="J220" s="79">
        <f t="shared" si="10"/>
        <v>257.39999999999998</v>
      </c>
      <c r="K220" s="59"/>
      <c r="L220" s="84">
        <f t="shared" si="11"/>
        <v>0</v>
      </c>
      <c r="M220" s="60" t="s">
        <v>783</v>
      </c>
      <c r="N220" s="57"/>
      <c r="O220" s="57"/>
      <c r="P220" s="57"/>
      <c r="Q220" s="17" t="s">
        <v>19</v>
      </c>
      <c r="R220" s="70" t="str">
        <f>HYPERLINK("http://search.books.com.tw/search/query/key/9789571197883/cat/all
","
9789571197883")</f>
        <v xml:space="preserve">
9789571197883</v>
      </c>
    </row>
    <row r="221" spans="1:18" ht="33" hidden="1" x14ac:dyDescent="0.25">
      <c r="A221" s="1">
        <v>217</v>
      </c>
      <c r="B221" s="56" t="s">
        <v>810</v>
      </c>
      <c r="C221" s="57" t="s">
        <v>811</v>
      </c>
      <c r="D221" s="57" t="s">
        <v>517</v>
      </c>
      <c r="E221" s="58" t="s">
        <v>363</v>
      </c>
      <c r="F221" s="58" t="s">
        <v>812</v>
      </c>
      <c r="G221" s="58"/>
      <c r="H221" s="58"/>
      <c r="I221" s="57">
        <v>1100</v>
      </c>
      <c r="J221" s="79">
        <f t="shared" si="10"/>
        <v>858</v>
      </c>
      <c r="K221" s="59"/>
      <c r="L221" s="84">
        <f t="shared" si="11"/>
        <v>0</v>
      </c>
      <c r="M221" s="60" t="s">
        <v>783</v>
      </c>
      <c r="N221" s="57"/>
      <c r="O221" s="57"/>
      <c r="P221" s="57"/>
      <c r="Q221" s="17" t="s">
        <v>19</v>
      </c>
      <c r="R221" s="70" t="str">
        <f>HYPERLINK("http://search.books.com.tw/search/query/key/9789577631152/cat/all
","
9789577631152")</f>
        <v xml:space="preserve">
9789577631152</v>
      </c>
    </row>
    <row r="222" spans="1:18" ht="33" hidden="1" x14ac:dyDescent="0.25">
      <c r="A222" s="1">
        <v>218</v>
      </c>
      <c r="B222" s="56" t="s">
        <v>813</v>
      </c>
      <c r="C222" s="57" t="s">
        <v>516</v>
      </c>
      <c r="D222" s="57" t="s">
        <v>517</v>
      </c>
      <c r="E222" s="58" t="s">
        <v>363</v>
      </c>
      <c r="F222" s="58" t="s">
        <v>814</v>
      </c>
      <c r="G222" s="58"/>
      <c r="H222" s="58"/>
      <c r="I222" s="57">
        <v>320</v>
      </c>
      <c r="J222" s="79">
        <f t="shared" si="10"/>
        <v>249.6</v>
      </c>
      <c r="K222" s="59"/>
      <c r="L222" s="84">
        <f t="shared" si="11"/>
        <v>0</v>
      </c>
      <c r="M222" s="60" t="s">
        <v>783</v>
      </c>
      <c r="N222" s="57"/>
      <c r="O222" s="57"/>
      <c r="P222" s="57"/>
      <c r="Q222" s="17" t="s">
        <v>19</v>
      </c>
      <c r="R222" s="70" t="str">
        <f>HYPERLINK("http://search.books.com.tw/search/query/key/9789571197777/cat/all
","
9789571197777")</f>
        <v xml:space="preserve">
9789571197777</v>
      </c>
    </row>
    <row r="223" spans="1:18" hidden="1" x14ac:dyDescent="0.25">
      <c r="A223" s="1">
        <v>219</v>
      </c>
      <c r="B223" s="56" t="s">
        <v>815</v>
      </c>
      <c r="C223" s="57" t="s">
        <v>816</v>
      </c>
      <c r="D223" s="57" t="s">
        <v>517</v>
      </c>
      <c r="E223" s="58" t="s">
        <v>363</v>
      </c>
      <c r="F223" s="58" t="s">
        <v>817</v>
      </c>
      <c r="G223" s="58"/>
      <c r="H223" s="58"/>
      <c r="I223" s="57">
        <v>320</v>
      </c>
      <c r="J223" s="79">
        <f t="shared" si="10"/>
        <v>249.6</v>
      </c>
      <c r="K223" s="59"/>
      <c r="L223" s="84">
        <f t="shared" si="11"/>
        <v>0</v>
      </c>
      <c r="M223" s="60" t="s">
        <v>783</v>
      </c>
      <c r="N223" s="57"/>
      <c r="O223" s="57"/>
      <c r="P223" s="57"/>
      <c r="Q223" s="17" t="s">
        <v>19</v>
      </c>
      <c r="R223" s="70" t="str">
        <f>HYPERLINK("http://search.books.com.tw/search/query/key/9789571199290/cat/all
","
9789571199290")</f>
        <v xml:space="preserve">
9789571199290</v>
      </c>
    </row>
    <row r="224" spans="1:18" hidden="1" x14ac:dyDescent="0.25">
      <c r="A224" s="1">
        <v>220</v>
      </c>
      <c r="B224" s="56" t="s">
        <v>818</v>
      </c>
      <c r="C224" s="57" t="s">
        <v>819</v>
      </c>
      <c r="D224" s="57" t="s">
        <v>820</v>
      </c>
      <c r="E224" s="58" t="s">
        <v>368</v>
      </c>
      <c r="F224" s="58" t="s">
        <v>821</v>
      </c>
      <c r="G224" s="58"/>
      <c r="H224" s="58"/>
      <c r="I224" s="57">
        <v>200</v>
      </c>
      <c r="J224" s="79">
        <f t="shared" si="10"/>
        <v>156</v>
      </c>
      <c r="K224" s="59"/>
      <c r="L224" s="84">
        <f t="shared" si="11"/>
        <v>0</v>
      </c>
      <c r="M224" s="60" t="s">
        <v>783</v>
      </c>
      <c r="N224" s="57"/>
      <c r="O224" s="57"/>
      <c r="P224" s="57"/>
      <c r="Q224" s="17" t="s">
        <v>19</v>
      </c>
      <c r="R224" s="70" t="str">
        <f>HYPERLINK("http://search.books.com.tw/search/query/key/9789865707811/cat/all
","
9789865707811")</f>
        <v xml:space="preserve">
9789865707811</v>
      </c>
    </row>
    <row r="225" spans="1:18" ht="33" hidden="1" x14ac:dyDescent="0.25">
      <c r="A225" s="1">
        <v>221</v>
      </c>
      <c r="B225" s="56" t="s">
        <v>822</v>
      </c>
      <c r="C225" s="57" t="s">
        <v>823</v>
      </c>
      <c r="D225" s="57" t="s">
        <v>824</v>
      </c>
      <c r="E225" s="58" t="s">
        <v>363</v>
      </c>
      <c r="F225" s="58" t="s">
        <v>825</v>
      </c>
      <c r="G225" s="58"/>
      <c r="H225" s="58"/>
      <c r="I225" s="57">
        <v>700</v>
      </c>
      <c r="J225" s="79">
        <f t="shared" si="10"/>
        <v>546</v>
      </c>
      <c r="K225" s="59"/>
      <c r="L225" s="84">
        <f t="shared" si="11"/>
        <v>0</v>
      </c>
      <c r="M225" s="60" t="s">
        <v>783</v>
      </c>
      <c r="N225" s="57"/>
      <c r="O225" s="57"/>
      <c r="P225" s="57"/>
      <c r="Q225" s="17" t="s">
        <v>19</v>
      </c>
      <c r="R225" s="70" t="str">
        <f>HYPERLINK("http://search.books.com.tw/search/query/key/9789869595957/cat/all
","
9789869595957")</f>
        <v xml:space="preserve">
9789869595957</v>
      </c>
    </row>
    <row r="226" spans="1:18" hidden="1" x14ac:dyDescent="0.25">
      <c r="A226" s="1">
        <v>222</v>
      </c>
      <c r="B226" s="56" t="s">
        <v>826</v>
      </c>
      <c r="C226" s="57" t="s">
        <v>827</v>
      </c>
      <c r="D226" s="57" t="s">
        <v>828</v>
      </c>
      <c r="E226" s="58" t="s">
        <v>363</v>
      </c>
      <c r="F226" s="58" t="s">
        <v>829</v>
      </c>
      <c r="G226" s="58"/>
      <c r="H226" s="58"/>
      <c r="I226" s="57">
        <v>299</v>
      </c>
      <c r="J226" s="79">
        <f t="shared" si="10"/>
        <v>233.22</v>
      </c>
      <c r="K226" s="59"/>
      <c r="L226" s="84">
        <f t="shared" si="11"/>
        <v>0</v>
      </c>
      <c r="M226" s="60" t="s">
        <v>783</v>
      </c>
      <c r="N226" s="57"/>
      <c r="O226" s="57"/>
      <c r="P226" s="57"/>
      <c r="Q226" s="17" t="s">
        <v>19</v>
      </c>
      <c r="R226" s="70" t="str">
        <f>HYPERLINK("http://search.books.com.tw/search/query/key/9789869653329/cat/all
","
9789869653329")</f>
        <v xml:space="preserve">
9789869653329</v>
      </c>
    </row>
    <row r="227" spans="1:18" hidden="1" x14ac:dyDescent="0.25">
      <c r="A227" s="1">
        <v>223</v>
      </c>
      <c r="B227" s="56" t="s">
        <v>830</v>
      </c>
      <c r="C227" s="57" t="s">
        <v>831</v>
      </c>
      <c r="D227" s="57" t="s">
        <v>596</v>
      </c>
      <c r="E227" s="58" t="s">
        <v>363</v>
      </c>
      <c r="F227" s="58" t="s">
        <v>832</v>
      </c>
      <c r="G227" s="58"/>
      <c r="H227" s="58"/>
      <c r="I227" s="57">
        <v>250</v>
      </c>
      <c r="J227" s="79">
        <f t="shared" si="10"/>
        <v>195</v>
      </c>
      <c r="K227" s="59"/>
      <c r="L227" s="84">
        <f t="shared" si="11"/>
        <v>0</v>
      </c>
      <c r="M227" s="60" t="s">
        <v>783</v>
      </c>
      <c r="N227" s="57"/>
      <c r="O227" s="57"/>
      <c r="P227" s="57"/>
      <c r="Q227" s="17" t="s">
        <v>19</v>
      </c>
      <c r="R227" s="70" t="str">
        <f>HYPERLINK("http://search.books.com.tw/search/query/key/9789864491278/cat/all
","
9789864491278")</f>
        <v xml:space="preserve">
9789864491278</v>
      </c>
    </row>
    <row r="228" spans="1:18" hidden="1" x14ac:dyDescent="0.25">
      <c r="A228" s="1">
        <v>224</v>
      </c>
      <c r="B228" s="56" t="s">
        <v>833</v>
      </c>
      <c r="C228" s="57" t="s">
        <v>834</v>
      </c>
      <c r="D228" s="57" t="s">
        <v>596</v>
      </c>
      <c r="E228" s="58" t="s">
        <v>363</v>
      </c>
      <c r="F228" s="58" t="s">
        <v>835</v>
      </c>
      <c r="G228" s="58"/>
      <c r="H228" s="58"/>
      <c r="I228" s="57">
        <v>250</v>
      </c>
      <c r="J228" s="79">
        <f t="shared" si="10"/>
        <v>195</v>
      </c>
      <c r="K228" s="59"/>
      <c r="L228" s="84">
        <f t="shared" si="11"/>
        <v>0</v>
      </c>
      <c r="M228" s="60" t="s">
        <v>783</v>
      </c>
      <c r="N228" s="57"/>
      <c r="O228" s="57"/>
      <c r="P228" s="57"/>
      <c r="Q228" s="17" t="s">
        <v>19</v>
      </c>
      <c r="R228" s="70" t="str">
        <f>HYPERLINK("http://search.books.com.tw/search/query/key/9789864491292/cat/all
","
9789864491292")</f>
        <v xml:space="preserve">
9789864491292</v>
      </c>
    </row>
    <row r="229" spans="1:18" hidden="1" x14ac:dyDescent="0.25">
      <c r="A229" s="1">
        <v>225</v>
      </c>
      <c r="B229" s="56" t="s">
        <v>836</v>
      </c>
      <c r="C229" s="57" t="s">
        <v>837</v>
      </c>
      <c r="D229" s="57" t="s">
        <v>596</v>
      </c>
      <c r="E229" s="58" t="s">
        <v>368</v>
      </c>
      <c r="F229" s="58" t="s">
        <v>838</v>
      </c>
      <c r="G229" s="58"/>
      <c r="H229" s="58"/>
      <c r="I229" s="57">
        <v>280</v>
      </c>
      <c r="J229" s="79">
        <f t="shared" si="10"/>
        <v>218.4</v>
      </c>
      <c r="K229" s="59"/>
      <c r="L229" s="84">
        <f t="shared" si="11"/>
        <v>0</v>
      </c>
      <c r="M229" s="60" t="s">
        <v>783</v>
      </c>
      <c r="N229" s="57"/>
      <c r="O229" s="57"/>
      <c r="P229" s="57"/>
      <c r="Q229" s="17" t="s">
        <v>19</v>
      </c>
      <c r="R229" s="70" t="str">
        <f>HYPERLINK("http://search.books.com.tw/search/query/key/9789864491285/cat/all
","
9789864491285")</f>
        <v xml:space="preserve">
9789864491285</v>
      </c>
    </row>
    <row r="230" spans="1:18" hidden="1" x14ac:dyDescent="0.25">
      <c r="A230" s="1">
        <v>226</v>
      </c>
      <c r="B230" s="56" t="s">
        <v>839</v>
      </c>
      <c r="C230" s="57" t="s">
        <v>834</v>
      </c>
      <c r="D230" s="57" t="s">
        <v>596</v>
      </c>
      <c r="E230" s="58" t="s">
        <v>363</v>
      </c>
      <c r="F230" s="58" t="s">
        <v>840</v>
      </c>
      <c r="G230" s="58"/>
      <c r="H230" s="58"/>
      <c r="I230" s="57">
        <v>250</v>
      </c>
      <c r="J230" s="79">
        <f t="shared" si="10"/>
        <v>195</v>
      </c>
      <c r="K230" s="59"/>
      <c r="L230" s="84">
        <f t="shared" si="11"/>
        <v>0</v>
      </c>
      <c r="M230" s="60" t="s">
        <v>783</v>
      </c>
      <c r="N230" s="57"/>
      <c r="O230" s="57"/>
      <c r="P230" s="57"/>
      <c r="Q230" s="17" t="s">
        <v>19</v>
      </c>
      <c r="R230" s="70" t="str">
        <f>HYPERLINK("http://search.books.com.tw/search/query/key/9789864491339/cat/all
","
9789864491339")</f>
        <v xml:space="preserve">
9789864491339</v>
      </c>
    </row>
    <row r="231" spans="1:18" hidden="1" x14ac:dyDescent="0.25">
      <c r="A231" s="1">
        <v>227</v>
      </c>
      <c r="B231" s="56" t="s">
        <v>841</v>
      </c>
      <c r="C231" s="57" t="s">
        <v>842</v>
      </c>
      <c r="D231" s="57" t="s">
        <v>843</v>
      </c>
      <c r="E231" s="58" t="s">
        <v>363</v>
      </c>
      <c r="F231" s="58" t="s">
        <v>844</v>
      </c>
      <c r="G231" s="58"/>
      <c r="H231" s="58"/>
      <c r="I231" s="57">
        <v>300</v>
      </c>
      <c r="J231" s="79">
        <f t="shared" si="10"/>
        <v>234</v>
      </c>
      <c r="K231" s="59"/>
      <c r="L231" s="84">
        <f t="shared" si="11"/>
        <v>0</v>
      </c>
      <c r="M231" s="60" t="s">
        <v>783</v>
      </c>
      <c r="N231" s="57"/>
      <c r="O231" s="57"/>
      <c r="P231" s="57"/>
      <c r="Q231" s="17" t="s">
        <v>19</v>
      </c>
      <c r="R231" s="70" t="str">
        <f>HYPERLINK("http://search.books.com.tw/search/query/key/9789869639675/cat/all
","
9789869639675")</f>
        <v xml:space="preserve">
9789869639675</v>
      </c>
    </row>
    <row r="232" spans="1:18" hidden="1" x14ac:dyDescent="0.25">
      <c r="A232" s="1">
        <v>228</v>
      </c>
      <c r="B232" s="56" t="s">
        <v>845</v>
      </c>
      <c r="C232" s="57" t="s">
        <v>842</v>
      </c>
      <c r="D232" s="57" t="s">
        <v>843</v>
      </c>
      <c r="E232" s="58" t="s">
        <v>368</v>
      </c>
      <c r="F232" s="58" t="s">
        <v>846</v>
      </c>
      <c r="G232" s="58"/>
      <c r="H232" s="58"/>
      <c r="I232" s="57">
        <v>320</v>
      </c>
      <c r="J232" s="79">
        <f t="shared" si="10"/>
        <v>249.6</v>
      </c>
      <c r="K232" s="59"/>
      <c r="L232" s="84">
        <f t="shared" si="11"/>
        <v>0</v>
      </c>
      <c r="M232" s="60" t="s">
        <v>783</v>
      </c>
      <c r="N232" s="57"/>
      <c r="O232" s="57"/>
      <c r="P232" s="57"/>
      <c r="Q232" s="17" t="s">
        <v>19</v>
      </c>
      <c r="R232" s="70" t="str">
        <f>HYPERLINK("http://search.books.com.tw/search/query/key/9789869639682/cat/all
","
9789869639682")</f>
        <v xml:space="preserve">
9789869639682</v>
      </c>
    </row>
    <row r="233" spans="1:18" ht="33" hidden="1" x14ac:dyDescent="0.25">
      <c r="A233" s="1">
        <v>229</v>
      </c>
      <c r="B233" s="56" t="s">
        <v>847</v>
      </c>
      <c r="C233" s="57" t="s">
        <v>848</v>
      </c>
      <c r="D233" s="57" t="s">
        <v>849</v>
      </c>
      <c r="E233" s="58" t="s">
        <v>363</v>
      </c>
      <c r="F233" s="58" t="s">
        <v>850</v>
      </c>
      <c r="G233" s="58"/>
      <c r="H233" s="58"/>
      <c r="I233" s="57">
        <v>199</v>
      </c>
      <c r="J233" s="79">
        <f t="shared" si="10"/>
        <v>155.22</v>
      </c>
      <c r="K233" s="59"/>
      <c r="L233" s="84">
        <f t="shared" si="11"/>
        <v>0</v>
      </c>
      <c r="M233" s="60" t="s">
        <v>783</v>
      </c>
      <c r="N233" s="57"/>
      <c r="O233" s="57"/>
      <c r="P233" s="57"/>
      <c r="Q233" s="17" t="s">
        <v>19</v>
      </c>
      <c r="R233" s="70" t="str">
        <f>HYPERLINK("http://search.books.com.tw/search/query/key/9789869610407/cat/all
","
9789869610407")</f>
        <v xml:space="preserve">
9789869610407</v>
      </c>
    </row>
    <row r="234" spans="1:18" hidden="1" x14ac:dyDescent="0.25">
      <c r="A234" s="1">
        <v>230</v>
      </c>
      <c r="B234" s="56" t="s">
        <v>851</v>
      </c>
      <c r="C234" s="57" t="s">
        <v>852</v>
      </c>
      <c r="D234" s="57" t="s">
        <v>853</v>
      </c>
      <c r="E234" s="58" t="s">
        <v>359</v>
      </c>
      <c r="F234" s="58" t="s">
        <v>854</v>
      </c>
      <c r="G234" s="58"/>
      <c r="H234" s="58"/>
      <c r="I234" s="57">
        <v>300</v>
      </c>
      <c r="J234" s="79">
        <f t="shared" si="10"/>
        <v>234</v>
      </c>
      <c r="K234" s="59"/>
      <c r="L234" s="84">
        <f t="shared" si="11"/>
        <v>0</v>
      </c>
      <c r="M234" s="60" t="s">
        <v>783</v>
      </c>
      <c r="N234" s="57"/>
      <c r="O234" s="57"/>
      <c r="P234" s="57"/>
      <c r="Q234" s="17" t="s">
        <v>19</v>
      </c>
      <c r="R234" s="70" t="str">
        <f>HYPERLINK("http://search.books.com.tw/search/query/key/9789863526377/cat/all
","
9789863526377")</f>
        <v xml:space="preserve">
9789863526377</v>
      </c>
    </row>
    <row r="235" spans="1:18" ht="33" hidden="1" x14ac:dyDescent="0.25">
      <c r="A235" s="1">
        <v>231</v>
      </c>
      <c r="B235" s="56" t="s">
        <v>855</v>
      </c>
      <c r="C235" s="57" t="s">
        <v>852</v>
      </c>
      <c r="D235" s="57" t="s">
        <v>853</v>
      </c>
      <c r="E235" s="58" t="s">
        <v>363</v>
      </c>
      <c r="F235" s="58" t="s">
        <v>856</v>
      </c>
      <c r="G235" s="58"/>
      <c r="H235" s="58"/>
      <c r="I235" s="57">
        <v>300</v>
      </c>
      <c r="J235" s="79">
        <f t="shared" si="10"/>
        <v>234</v>
      </c>
      <c r="K235" s="59"/>
      <c r="L235" s="84">
        <f t="shared" si="11"/>
        <v>0</v>
      </c>
      <c r="M235" s="60" t="s">
        <v>783</v>
      </c>
      <c r="N235" s="57"/>
      <c r="O235" s="57"/>
      <c r="P235" s="57"/>
      <c r="Q235" s="17" t="s">
        <v>19</v>
      </c>
      <c r="R235" s="70" t="str">
        <f>HYPERLINK("http://search.books.com.tw/search/query/key/9789863526469/cat/all
","
9789863526469")</f>
        <v xml:space="preserve">
9789863526469</v>
      </c>
    </row>
    <row r="236" spans="1:18" hidden="1" x14ac:dyDescent="0.25">
      <c r="A236" s="1">
        <v>232</v>
      </c>
      <c r="B236" s="56" t="s">
        <v>857</v>
      </c>
      <c r="C236" s="57" t="s">
        <v>858</v>
      </c>
      <c r="D236" s="57" t="s">
        <v>714</v>
      </c>
      <c r="E236" s="58" t="s">
        <v>363</v>
      </c>
      <c r="F236" s="58" t="s">
        <v>859</v>
      </c>
      <c r="G236" s="58"/>
      <c r="H236" s="58"/>
      <c r="I236" s="57">
        <v>450</v>
      </c>
      <c r="J236" s="79">
        <f t="shared" si="10"/>
        <v>351</v>
      </c>
      <c r="K236" s="59"/>
      <c r="L236" s="84">
        <f t="shared" si="11"/>
        <v>0</v>
      </c>
      <c r="M236" s="60" t="s">
        <v>783</v>
      </c>
      <c r="N236" s="57"/>
      <c r="O236" s="57"/>
      <c r="P236" s="57"/>
      <c r="Q236" s="17" t="s">
        <v>19</v>
      </c>
      <c r="R236" s="70" t="str">
        <f>HYPERLINK("http://search.books.com.tw/search/query/key/9789573283973/cat/all
","
9789573283973")</f>
        <v xml:space="preserve">
9789573283973</v>
      </c>
    </row>
    <row r="237" spans="1:18" hidden="1" x14ac:dyDescent="0.25">
      <c r="A237" s="1">
        <v>233</v>
      </c>
      <c r="B237" s="56" t="s">
        <v>860</v>
      </c>
      <c r="C237" s="57" t="s">
        <v>861</v>
      </c>
      <c r="D237" s="57" t="s">
        <v>714</v>
      </c>
      <c r="E237" s="58" t="s">
        <v>363</v>
      </c>
      <c r="F237" s="58" t="s">
        <v>862</v>
      </c>
      <c r="G237" s="58"/>
      <c r="H237" s="58"/>
      <c r="I237" s="57">
        <v>450</v>
      </c>
      <c r="J237" s="79">
        <f t="shared" si="10"/>
        <v>351</v>
      </c>
      <c r="K237" s="59"/>
      <c r="L237" s="84">
        <f t="shared" si="11"/>
        <v>0</v>
      </c>
      <c r="M237" s="60" t="s">
        <v>783</v>
      </c>
      <c r="N237" s="57"/>
      <c r="O237" s="57"/>
      <c r="P237" s="57"/>
      <c r="Q237" s="17" t="s">
        <v>19</v>
      </c>
      <c r="R237" s="70" t="str">
        <f>HYPERLINK("http://search.books.com.tw/search/query/key/9789573283966/cat/all
","
9789573283966")</f>
        <v xml:space="preserve">
9789573283966</v>
      </c>
    </row>
    <row r="238" spans="1:18" hidden="1" x14ac:dyDescent="0.25">
      <c r="A238" s="1">
        <v>234</v>
      </c>
      <c r="B238" s="56" t="s">
        <v>863</v>
      </c>
      <c r="C238" s="57" t="s">
        <v>864</v>
      </c>
      <c r="D238" s="57" t="s">
        <v>714</v>
      </c>
      <c r="E238" s="58" t="s">
        <v>363</v>
      </c>
      <c r="F238" s="58" t="s">
        <v>865</v>
      </c>
      <c r="G238" s="58"/>
      <c r="H238" s="58"/>
      <c r="I238" s="57">
        <v>450</v>
      </c>
      <c r="J238" s="79">
        <f t="shared" si="10"/>
        <v>351</v>
      </c>
      <c r="K238" s="59"/>
      <c r="L238" s="84">
        <f t="shared" si="11"/>
        <v>0</v>
      </c>
      <c r="M238" s="60" t="s">
        <v>783</v>
      </c>
      <c r="N238" s="57"/>
      <c r="O238" s="57"/>
      <c r="P238" s="57"/>
      <c r="Q238" s="17" t="s">
        <v>19</v>
      </c>
      <c r="R238" s="70" t="str">
        <f>HYPERLINK("http://search.books.com.tw/search/query/key/9789573283959/cat/all
","
9789573283959")</f>
        <v xml:space="preserve">
9789573283959</v>
      </c>
    </row>
    <row r="239" spans="1:18" hidden="1" x14ac:dyDescent="0.25">
      <c r="A239" s="1">
        <v>235</v>
      </c>
      <c r="B239" s="56" t="s">
        <v>866</v>
      </c>
      <c r="C239" s="57" t="s">
        <v>867</v>
      </c>
      <c r="D239" s="57" t="s">
        <v>724</v>
      </c>
      <c r="E239" s="58" t="s">
        <v>368</v>
      </c>
      <c r="F239" s="58" t="s">
        <v>868</v>
      </c>
      <c r="G239" s="58"/>
      <c r="H239" s="58"/>
      <c r="I239" s="57">
        <v>280</v>
      </c>
      <c r="J239" s="79">
        <f t="shared" si="10"/>
        <v>218.4</v>
      </c>
      <c r="K239" s="59"/>
      <c r="L239" s="84">
        <f t="shared" si="11"/>
        <v>0</v>
      </c>
      <c r="M239" s="60" t="s">
        <v>450</v>
      </c>
      <c r="N239" s="57" t="s">
        <v>869</v>
      </c>
      <c r="O239" s="57"/>
      <c r="P239" s="57"/>
      <c r="Q239" s="17" t="s">
        <v>19</v>
      </c>
      <c r="R239" s="70" t="str">
        <f>HYPERLINK("http://search.books.com.tw/search/query/key/9789575031244/cat/all
","
9789575031244")</f>
        <v xml:space="preserve">
9789575031244</v>
      </c>
    </row>
    <row r="240" spans="1:18" hidden="1" x14ac:dyDescent="0.25">
      <c r="A240" s="1">
        <v>236</v>
      </c>
      <c r="B240" s="56" t="s">
        <v>870</v>
      </c>
      <c r="C240" s="57" t="s">
        <v>867</v>
      </c>
      <c r="D240" s="57" t="s">
        <v>724</v>
      </c>
      <c r="E240" s="58" t="s">
        <v>368</v>
      </c>
      <c r="F240" s="58" t="s">
        <v>871</v>
      </c>
      <c r="G240" s="58"/>
      <c r="H240" s="58"/>
      <c r="I240" s="57">
        <v>280</v>
      </c>
      <c r="J240" s="79">
        <f t="shared" si="10"/>
        <v>218.4</v>
      </c>
      <c r="K240" s="59"/>
      <c r="L240" s="84">
        <f t="shared" si="11"/>
        <v>0</v>
      </c>
      <c r="M240" s="60" t="s">
        <v>450</v>
      </c>
      <c r="N240" s="57" t="s">
        <v>869</v>
      </c>
      <c r="O240" s="57"/>
      <c r="P240" s="57"/>
      <c r="Q240" s="17" t="s">
        <v>19</v>
      </c>
      <c r="R240" s="70" t="str">
        <f>HYPERLINK("http://search.books.com.tw/search/query/key/9789575031237/cat/all
","
9789575031237")</f>
        <v xml:space="preserve">
9789575031237</v>
      </c>
    </row>
    <row r="241" spans="1:18" hidden="1" x14ac:dyDescent="0.25">
      <c r="A241" s="1">
        <v>237</v>
      </c>
      <c r="B241" s="56" t="s">
        <v>872</v>
      </c>
      <c r="C241" s="57" t="s">
        <v>873</v>
      </c>
      <c r="D241" s="57" t="s">
        <v>874</v>
      </c>
      <c r="E241" s="58" t="s">
        <v>363</v>
      </c>
      <c r="F241" s="58" t="s">
        <v>875</v>
      </c>
      <c r="G241" s="58"/>
      <c r="H241" s="58"/>
      <c r="I241" s="57">
        <v>350</v>
      </c>
      <c r="J241" s="79">
        <f t="shared" si="10"/>
        <v>273</v>
      </c>
      <c r="K241" s="59"/>
      <c r="L241" s="84">
        <f t="shared" si="11"/>
        <v>0</v>
      </c>
      <c r="M241" s="60" t="s">
        <v>783</v>
      </c>
      <c r="N241" s="57"/>
      <c r="O241" s="57"/>
      <c r="P241" s="57"/>
      <c r="Q241" s="17" t="s">
        <v>19</v>
      </c>
      <c r="R241" s="70" t="str">
        <f>HYPERLINK("http://search.books.com.tw/search/query/key/9789888513840/cat/all
","
9789888513840")</f>
        <v xml:space="preserve">
9789888513840</v>
      </c>
    </row>
    <row r="242" spans="1:18" ht="33" hidden="1" x14ac:dyDescent="0.25">
      <c r="A242" s="1">
        <v>238</v>
      </c>
      <c r="B242" s="56" t="s">
        <v>876</v>
      </c>
      <c r="C242" s="57" t="s">
        <v>877</v>
      </c>
      <c r="D242" s="57" t="s">
        <v>874</v>
      </c>
      <c r="E242" s="58" t="s">
        <v>363</v>
      </c>
      <c r="F242" s="58" t="s">
        <v>878</v>
      </c>
      <c r="G242" s="58"/>
      <c r="H242" s="58"/>
      <c r="I242" s="57">
        <v>310</v>
      </c>
      <c r="J242" s="79">
        <f t="shared" si="10"/>
        <v>241.8</v>
      </c>
      <c r="K242" s="59"/>
      <c r="L242" s="84">
        <f t="shared" si="11"/>
        <v>0</v>
      </c>
      <c r="M242" s="60" t="s">
        <v>783</v>
      </c>
      <c r="N242" s="57"/>
      <c r="O242" s="57"/>
      <c r="P242" s="57"/>
      <c r="Q242" s="17" t="s">
        <v>19</v>
      </c>
      <c r="R242" s="70" t="str">
        <f>HYPERLINK("http://search.books.com.tw/search/query/key/9789888513918/cat/all
","
9789888513918")</f>
        <v xml:space="preserve">
9789888513918</v>
      </c>
    </row>
    <row r="243" spans="1:18" ht="33" hidden="1" x14ac:dyDescent="0.25">
      <c r="A243" s="1">
        <v>239</v>
      </c>
      <c r="B243" s="56" t="s">
        <v>879</v>
      </c>
      <c r="C243" s="57" t="s">
        <v>877</v>
      </c>
      <c r="D243" s="57" t="s">
        <v>874</v>
      </c>
      <c r="E243" s="58" t="s">
        <v>363</v>
      </c>
      <c r="F243" s="58" t="s">
        <v>880</v>
      </c>
      <c r="G243" s="58"/>
      <c r="H243" s="58"/>
      <c r="I243" s="57">
        <v>310</v>
      </c>
      <c r="J243" s="79">
        <f t="shared" si="10"/>
        <v>241.8</v>
      </c>
      <c r="K243" s="59"/>
      <c r="L243" s="84">
        <f t="shared" si="11"/>
        <v>0</v>
      </c>
      <c r="M243" s="60" t="s">
        <v>783</v>
      </c>
      <c r="N243" s="57"/>
      <c r="O243" s="57"/>
      <c r="P243" s="57"/>
      <c r="Q243" s="17" t="s">
        <v>19</v>
      </c>
      <c r="R243" s="70" t="str">
        <f>HYPERLINK("http://search.books.com.tw/search/query/key/9789888513925/cat/all
","
9789888513925")</f>
        <v xml:space="preserve">
9789888513925</v>
      </c>
    </row>
    <row r="244" spans="1:18" ht="33" hidden="1" x14ac:dyDescent="0.25">
      <c r="A244" s="1">
        <v>240</v>
      </c>
      <c r="B244" s="56" t="s">
        <v>881</v>
      </c>
      <c r="C244" s="57" t="s">
        <v>877</v>
      </c>
      <c r="D244" s="57" t="s">
        <v>874</v>
      </c>
      <c r="E244" s="58" t="s">
        <v>363</v>
      </c>
      <c r="F244" s="58" t="s">
        <v>882</v>
      </c>
      <c r="G244" s="58"/>
      <c r="H244" s="58"/>
      <c r="I244" s="57">
        <v>310</v>
      </c>
      <c r="J244" s="79">
        <f t="shared" si="10"/>
        <v>241.8</v>
      </c>
      <c r="K244" s="59"/>
      <c r="L244" s="84">
        <f t="shared" si="11"/>
        <v>0</v>
      </c>
      <c r="M244" s="60" t="s">
        <v>783</v>
      </c>
      <c r="N244" s="57"/>
      <c r="O244" s="57"/>
      <c r="P244" s="57"/>
      <c r="Q244" s="17" t="s">
        <v>19</v>
      </c>
      <c r="R244" s="70" t="str">
        <f>HYPERLINK("http://search.books.com.tw/search/query/key/9789888513932/cat/all
","
9789888513932")</f>
        <v xml:space="preserve">
9789888513932</v>
      </c>
    </row>
    <row r="245" spans="1:18" hidden="1" x14ac:dyDescent="0.25">
      <c r="A245" s="1">
        <v>241</v>
      </c>
      <c r="B245" s="56" t="s">
        <v>883</v>
      </c>
      <c r="C245" s="57" t="s">
        <v>884</v>
      </c>
      <c r="D245" s="57" t="s">
        <v>885</v>
      </c>
      <c r="E245" s="58" t="s">
        <v>363</v>
      </c>
      <c r="F245" s="58" t="s">
        <v>886</v>
      </c>
      <c r="G245" s="58"/>
      <c r="H245" s="58"/>
      <c r="I245" s="57">
        <v>200</v>
      </c>
      <c r="J245" s="79">
        <f t="shared" si="10"/>
        <v>156</v>
      </c>
      <c r="K245" s="59"/>
      <c r="L245" s="84">
        <f t="shared" si="11"/>
        <v>0</v>
      </c>
      <c r="M245" s="60" t="s">
        <v>783</v>
      </c>
      <c r="N245" s="57"/>
      <c r="O245" s="57"/>
      <c r="P245" s="57"/>
      <c r="Q245" s="17" t="s">
        <v>19</v>
      </c>
      <c r="R245" s="70" t="str">
        <f>HYPERLINK("http://search.books.com.tw/search/query/key/9789869699112/cat/all
","
9789869699112")</f>
        <v xml:space="preserve">
9789869699112</v>
      </c>
    </row>
    <row r="246" spans="1:18" hidden="1" x14ac:dyDescent="0.25">
      <c r="A246" s="1">
        <v>242</v>
      </c>
      <c r="B246" s="56" t="s">
        <v>887</v>
      </c>
      <c r="C246" s="57" t="s">
        <v>888</v>
      </c>
      <c r="D246" s="57" t="s">
        <v>885</v>
      </c>
      <c r="E246" s="58" t="s">
        <v>363</v>
      </c>
      <c r="F246" s="58" t="s">
        <v>889</v>
      </c>
      <c r="G246" s="58"/>
      <c r="H246" s="58"/>
      <c r="I246" s="57">
        <v>200</v>
      </c>
      <c r="J246" s="79">
        <f t="shared" si="10"/>
        <v>156</v>
      </c>
      <c r="K246" s="59"/>
      <c r="L246" s="84">
        <f t="shared" si="11"/>
        <v>0</v>
      </c>
      <c r="M246" s="60" t="s">
        <v>783</v>
      </c>
      <c r="N246" s="57"/>
      <c r="O246" s="57"/>
      <c r="P246" s="57"/>
      <c r="Q246" s="17" t="s">
        <v>19</v>
      </c>
      <c r="R246" s="70" t="str">
        <f>HYPERLINK("http://search.books.com.tw/search/query/key/9789869699129/cat/all
","
9789869699129")</f>
        <v xml:space="preserve">
9789869699129</v>
      </c>
    </row>
    <row r="247" spans="1:18" hidden="1" x14ac:dyDescent="0.25">
      <c r="A247" s="1">
        <v>243</v>
      </c>
      <c r="B247" s="56" t="s">
        <v>890</v>
      </c>
      <c r="C247" s="57" t="s">
        <v>891</v>
      </c>
      <c r="D247" s="57" t="s">
        <v>892</v>
      </c>
      <c r="E247" s="58" t="s">
        <v>359</v>
      </c>
      <c r="F247" s="58" t="s">
        <v>893</v>
      </c>
      <c r="G247" s="58"/>
      <c r="H247" s="58"/>
      <c r="I247" s="57">
        <v>300</v>
      </c>
      <c r="J247" s="79">
        <f t="shared" si="10"/>
        <v>234</v>
      </c>
      <c r="K247" s="59"/>
      <c r="L247" s="84">
        <f t="shared" si="11"/>
        <v>0</v>
      </c>
      <c r="M247" s="60" t="s">
        <v>894</v>
      </c>
      <c r="N247" s="57" t="s">
        <v>895</v>
      </c>
      <c r="O247" s="57"/>
      <c r="P247" s="57"/>
      <c r="Q247" s="17" t="s">
        <v>19</v>
      </c>
      <c r="R247" s="70" t="str">
        <f>HYPERLINK("http://search.books.com.tw/search/query/key/9789861784717/cat/all
","
9789861784717")</f>
        <v xml:space="preserve">
9789861784717</v>
      </c>
    </row>
    <row r="248" spans="1:18" hidden="1" x14ac:dyDescent="0.25">
      <c r="A248" s="1">
        <v>244</v>
      </c>
      <c r="B248" s="56" t="s">
        <v>896</v>
      </c>
      <c r="C248" s="57" t="s">
        <v>897</v>
      </c>
      <c r="D248" s="57" t="s">
        <v>898</v>
      </c>
      <c r="E248" s="58" t="s">
        <v>363</v>
      </c>
      <c r="F248" s="58" t="s">
        <v>899</v>
      </c>
      <c r="G248" s="58"/>
      <c r="H248" s="58"/>
      <c r="I248" s="57">
        <v>320</v>
      </c>
      <c r="J248" s="79">
        <f t="shared" si="10"/>
        <v>249.6</v>
      </c>
      <c r="K248" s="59"/>
      <c r="L248" s="84">
        <f t="shared" si="11"/>
        <v>0</v>
      </c>
      <c r="M248" s="60" t="s">
        <v>894</v>
      </c>
      <c r="N248" s="57" t="s">
        <v>900</v>
      </c>
      <c r="O248" s="57"/>
      <c r="P248" s="57"/>
      <c r="Q248" s="17" t="s">
        <v>19</v>
      </c>
      <c r="R248" s="70" t="str">
        <f>HYPERLINK("http://search.books.com.tw/search/query/key/9789864023097/cat/all
","
9789864023097")</f>
        <v xml:space="preserve">
9789864023097</v>
      </c>
    </row>
    <row r="249" spans="1:18" hidden="1" x14ac:dyDescent="0.25">
      <c r="A249" s="1">
        <v>245</v>
      </c>
      <c r="B249" s="56" t="s">
        <v>901</v>
      </c>
      <c r="C249" s="57" t="s">
        <v>897</v>
      </c>
      <c r="D249" s="57" t="s">
        <v>898</v>
      </c>
      <c r="E249" s="58" t="s">
        <v>363</v>
      </c>
      <c r="F249" s="58" t="s">
        <v>902</v>
      </c>
      <c r="G249" s="58"/>
      <c r="H249" s="58"/>
      <c r="I249" s="57">
        <v>320</v>
      </c>
      <c r="J249" s="79">
        <f t="shared" si="10"/>
        <v>249.6</v>
      </c>
      <c r="K249" s="59"/>
      <c r="L249" s="84">
        <f t="shared" si="11"/>
        <v>0</v>
      </c>
      <c r="M249" s="60" t="s">
        <v>894</v>
      </c>
      <c r="N249" s="57" t="s">
        <v>900</v>
      </c>
      <c r="O249" s="57"/>
      <c r="P249" s="57"/>
      <c r="Q249" s="17" t="s">
        <v>19</v>
      </c>
      <c r="R249" s="70" t="str">
        <f>HYPERLINK("http://search.books.com.tw/search/query/key/9789864023080/cat/all
","
9789864023080")</f>
        <v xml:space="preserve">
9789864023080</v>
      </c>
    </row>
    <row r="250" spans="1:18" hidden="1" x14ac:dyDescent="0.25">
      <c r="A250" s="1">
        <v>246</v>
      </c>
      <c r="B250" s="56" t="s">
        <v>903</v>
      </c>
      <c r="C250" s="57" t="s">
        <v>904</v>
      </c>
      <c r="D250" s="57" t="s">
        <v>905</v>
      </c>
      <c r="E250" s="58" t="s">
        <v>363</v>
      </c>
      <c r="F250" s="58" t="s">
        <v>906</v>
      </c>
      <c r="G250" s="58"/>
      <c r="H250" s="58"/>
      <c r="I250" s="57">
        <v>520</v>
      </c>
      <c r="J250" s="79">
        <f t="shared" si="10"/>
        <v>405.6</v>
      </c>
      <c r="K250" s="59"/>
      <c r="L250" s="84">
        <f t="shared" si="11"/>
        <v>0</v>
      </c>
      <c r="M250" s="60" t="s">
        <v>894</v>
      </c>
      <c r="N250" s="57"/>
      <c r="O250" s="57"/>
      <c r="P250" s="57"/>
      <c r="Q250" s="17" t="s">
        <v>19</v>
      </c>
      <c r="R250" s="70" t="str">
        <f>HYPERLINK("http://search.books.com.tw/search/query/key/9789863601203/cat/all
","
9789863601203")</f>
        <v xml:space="preserve">
9789863601203</v>
      </c>
    </row>
    <row r="251" spans="1:18" hidden="1" x14ac:dyDescent="0.25">
      <c r="A251" s="1">
        <v>247</v>
      </c>
      <c r="B251" s="56" t="s">
        <v>907</v>
      </c>
      <c r="C251" s="57" t="s">
        <v>908</v>
      </c>
      <c r="D251" s="57" t="s">
        <v>909</v>
      </c>
      <c r="E251" s="58" t="s">
        <v>363</v>
      </c>
      <c r="F251" s="58" t="s">
        <v>910</v>
      </c>
      <c r="G251" s="58"/>
      <c r="H251" s="58"/>
      <c r="I251" s="57">
        <v>420</v>
      </c>
      <c r="J251" s="79">
        <f t="shared" si="10"/>
        <v>327.60000000000002</v>
      </c>
      <c r="K251" s="59"/>
      <c r="L251" s="84">
        <f t="shared" si="11"/>
        <v>0</v>
      </c>
      <c r="M251" s="60" t="s">
        <v>911</v>
      </c>
      <c r="N251" s="57"/>
      <c r="O251" s="57"/>
      <c r="P251" s="57"/>
      <c r="Q251" s="17" t="s">
        <v>19</v>
      </c>
      <c r="R251" s="70" t="str">
        <f>HYPERLINK("http://search.books.com.tw/search/query/key/9789869704700/cat/all
","
9789869704700")</f>
        <v xml:space="preserve">
9789869704700</v>
      </c>
    </row>
    <row r="252" spans="1:18" hidden="1" x14ac:dyDescent="0.25">
      <c r="A252" s="1">
        <v>248</v>
      </c>
      <c r="B252" s="56" t="s">
        <v>912</v>
      </c>
      <c r="C252" s="57" t="s">
        <v>908</v>
      </c>
      <c r="D252" s="57" t="s">
        <v>909</v>
      </c>
      <c r="E252" s="58" t="s">
        <v>363</v>
      </c>
      <c r="F252" s="58" t="s">
        <v>913</v>
      </c>
      <c r="G252" s="58"/>
      <c r="H252" s="58"/>
      <c r="I252" s="57">
        <v>420</v>
      </c>
      <c r="J252" s="79">
        <f t="shared" si="10"/>
        <v>327.60000000000002</v>
      </c>
      <c r="K252" s="59"/>
      <c r="L252" s="84">
        <f t="shared" si="11"/>
        <v>0</v>
      </c>
      <c r="M252" s="60" t="s">
        <v>911</v>
      </c>
      <c r="N252" s="57"/>
      <c r="O252" s="57"/>
      <c r="P252" s="57"/>
      <c r="Q252" s="17" t="s">
        <v>19</v>
      </c>
      <c r="R252" s="70" t="str">
        <f>HYPERLINK("http://search.books.com.tw/search/query/key/9789869656191/cat/all
","
9789869656191")</f>
        <v xml:space="preserve">
9789869656191</v>
      </c>
    </row>
    <row r="253" spans="1:18" ht="33" hidden="1" x14ac:dyDescent="0.25">
      <c r="A253" s="1">
        <v>249</v>
      </c>
      <c r="B253" s="56" t="s">
        <v>914</v>
      </c>
      <c r="C253" s="57" t="s">
        <v>915</v>
      </c>
      <c r="D253" s="57" t="s">
        <v>916</v>
      </c>
      <c r="E253" s="58" t="s">
        <v>368</v>
      </c>
      <c r="F253" s="58" t="s">
        <v>917</v>
      </c>
      <c r="G253" s="58"/>
      <c r="H253" s="58"/>
      <c r="I253" s="57">
        <v>550</v>
      </c>
      <c r="J253" s="79">
        <f t="shared" si="10"/>
        <v>429</v>
      </c>
      <c r="K253" s="59"/>
      <c r="L253" s="84">
        <f t="shared" si="11"/>
        <v>0</v>
      </c>
      <c r="M253" s="60" t="s">
        <v>918</v>
      </c>
      <c r="N253" s="57"/>
      <c r="O253" s="57"/>
      <c r="P253" s="57"/>
      <c r="Q253" s="17" t="s">
        <v>19</v>
      </c>
      <c r="R253" s="70" t="str">
        <f>HYPERLINK("http://search.books.com.tw/search/query/key/9789578654396/cat/all
","
9789578654396")</f>
        <v xml:space="preserve">
9789578654396</v>
      </c>
    </row>
    <row r="254" spans="1:18" ht="33" hidden="1" x14ac:dyDescent="0.25">
      <c r="A254" s="1">
        <v>250</v>
      </c>
      <c r="B254" s="56" t="s">
        <v>919</v>
      </c>
      <c r="C254" s="57" t="s">
        <v>920</v>
      </c>
      <c r="D254" s="57" t="s">
        <v>916</v>
      </c>
      <c r="E254" s="58" t="s">
        <v>368</v>
      </c>
      <c r="F254" s="58" t="s">
        <v>921</v>
      </c>
      <c r="G254" s="58"/>
      <c r="H254" s="58"/>
      <c r="I254" s="57">
        <v>550</v>
      </c>
      <c r="J254" s="79">
        <f t="shared" si="10"/>
        <v>429</v>
      </c>
      <c r="K254" s="59"/>
      <c r="L254" s="84">
        <f t="shared" si="11"/>
        <v>0</v>
      </c>
      <c r="M254" s="60" t="s">
        <v>918</v>
      </c>
      <c r="N254" s="57"/>
      <c r="O254" s="57"/>
      <c r="P254" s="57"/>
      <c r="Q254" s="17" t="s">
        <v>19</v>
      </c>
      <c r="R254" s="70" t="str">
        <f>HYPERLINK("http://search.books.com.tw/search/query/key/9789578654389/cat/all
","
9789578654389")</f>
        <v xml:space="preserve">
9789578654389</v>
      </c>
    </row>
    <row r="255" spans="1:18" ht="33" hidden="1" x14ac:dyDescent="0.25">
      <c r="A255" s="1">
        <v>251</v>
      </c>
      <c r="B255" s="56" t="s">
        <v>922</v>
      </c>
      <c r="C255" s="57" t="s">
        <v>923</v>
      </c>
      <c r="D255" s="57" t="s">
        <v>924</v>
      </c>
      <c r="E255" s="58" t="s">
        <v>368</v>
      </c>
      <c r="F255" s="58" t="s">
        <v>925</v>
      </c>
      <c r="G255" s="58"/>
      <c r="H255" s="58"/>
      <c r="I255" s="57">
        <v>380</v>
      </c>
      <c r="J255" s="79">
        <f t="shared" si="10"/>
        <v>296.39999999999998</v>
      </c>
      <c r="K255" s="59"/>
      <c r="L255" s="84">
        <f t="shared" si="11"/>
        <v>0</v>
      </c>
      <c r="M255" s="60" t="s">
        <v>926</v>
      </c>
      <c r="N255" s="57" t="s">
        <v>927</v>
      </c>
      <c r="O255" s="57"/>
      <c r="P255" s="57"/>
      <c r="Q255" s="17" t="s">
        <v>19</v>
      </c>
      <c r="R255" s="70" t="str">
        <f>HYPERLINK("http://search.books.com.tw/search/query/key/9789863596073/cat/all
","
9789863596073")</f>
        <v xml:space="preserve">
9789863596073</v>
      </c>
    </row>
    <row r="256" spans="1:18" ht="33" hidden="1" x14ac:dyDescent="0.25">
      <c r="A256" s="1">
        <v>252</v>
      </c>
      <c r="B256" s="56" t="s">
        <v>928</v>
      </c>
      <c r="C256" s="57" t="s">
        <v>929</v>
      </c>
      <c r="D256" s="57" t="s">
        <v>930</v>
      </c>
      <c r="E256" s="58" t="s">
        <v>368</v>
      </c>
      <c r="F256" s="58" t="s">
        <v>931</v>
      </c>
      <c r="G256" s="58"/>
      <c r="H256" s="58"/>
      <c r="I256" s="57">
        <v>380</v>
      </c>
      <c r="J256" s="79">
        <f t="shared" si="10"/>
        <v>296.39999999999998</v>
      </c>
      <c r="K256" s="59"/>
      <c r="L256" s="84">
        <f t="shared" si="11"/>
        <v>0</v>
      </c>
      <c r="M256" s="60" t="s">
        <v>926</v>
      </c>
      <c r="N256" s="57" t="s">
        <v>932</v>
      </c>
      <c r="O256" s="57"/>
      <c r="P256" s="57"/>
      <c r="Q256" s="17" t="s">
        <v>19</v>
      </c>
      <c r="R256" s="70" t="str">
        <f>HYPERLINK("http://search.books.com.tw/search/query/key/9789869634854/cat/all
","
9789869634854")</f>
        <v xml:space="preserve">
9789869634854</v>
      </c>
    </row>
    <row r="257" spans="1:18" ht="66" hidden="1" x14ac:dyDescent="0.25">
      <c r="A257" s="1">
        <v>253</v>
      </c>
      <c r="B257" s="56" t="s">
        <v>933</v>
      </c>
      <c r="C257" s="57" t="s">
        <v>934</v>
      </c>
      <c r="D257" s="57" t="s">
        <v>561</v>
      </c>
      <c r="E257" s="58" t="s">
        <v>363</v>
      </c>
      <c r="F257" s="58" t="s">
        <v>935</v>
      </c>
      <c r="G257" s="58"/>
      <c r="H257" s="58"/>
      <c r="I257" s="57">
        <v>480</v>
      </c>
      <c r="J257" s="79">
        <f t="shared" si="10"/>
        <v>374.4</v>
      </c>
      <c r="K257" s="59"/>
      <c r="L257" s="84">
        <f t="shared" si="11"/>
        <v>0</v>
      </c>
      <c r="M257" s="60" t="s">
        <v>894</v>
      </c>
      <c r="N257" s="61" t="s">
        <v>936</v>
      </c>
      <c r="O257" s="57"/>
      <c r="P257" s="57"/>
      <c r="Q257" s="17" t="s">
        <v>19</v>
      </c>
      <c r="R257" s="70" t="str">
        <f>HYPERLINK("http://search.books.com.tw/search/query/key/9789863842989/cat/all
","
9789863842989")</f>
        <v xml:space="preserve">
9789863842989</v>
      </c>
    </row>
    <row r="258" spans="1:18" ht="33" hidden="1" x14ac:dyDescent="0.25">
      <c r="A258" s="1">
        <v>254</v>
      </c>
      <c r="B258" s="56" t="s">
        <v>937</v>
      </c>
      <c r="C258" s="57" t="s">
        <v>938</v>
      </c>
      <c r="D258" s="57" t="s">
        <v>939</v>
      </c>
      <c r="E258" s="58" t="s">
        <v>363</v>
      </c>
      <c r="F258" s="58" t="s">
        <v>940</v>
      </c>
      <c r="G258" s="58"/>
      <c r="H258" s="58"/>
      <c r="I258" s="57">
        <v>360</v>
      </c>
      <c r="J258" s="79">
        <f t="shared" si="10"/>
        <v>280.8</v>
      </c>
      <c r="K258" s="59"/>
      <c r="L258" s="84">
        <f t="shared" si="11"/>
        <v>0</v>
      </c>
      <c r="M258" s="60" t="s">
        <v>894</v>
      </c>
      <c r="N258" s="57"/>
      <c r="O258" s="57"/>
      <c r="P258" s="57"/>
      <c r="Q258" s="17" t="s">
        <v>19</v>
      </c>
      <c r="R258" s="70" t="str">
        <f>HYPERLINK("http://search.books.com.tw/search/query/key/9789578630703/cat/all
","
9789578630703")</f>
        <v xml:space="preserve">
9789578630703</v>
      </c>
    </row>
    <row r="259" spans="1:18" hidden="1" x14ac:dyDescent="0.25">
      <c r="A259" s="1">
        <v>255</v>
      </c>
      <c r="B259" s="56" t="s">
        <v>941</v>
      </c>
      <c r="C259" s="57" t="s">
        <v>942</v>
      </c>
      <c r="D259" s="57" t="s">
        <v>939</v>
      </c>
      <c r="E259" s="58" t="s">
        <v>363</v>
      </c>
      <c r="F259" s="58" t="s">
        <v>943</v>
      </c>
      <c r="G259" s="58"/>
      <c r="H259" s="58"/>
      <c r="I259" s="57">
        <v>350</v>
      </c>
      <c r="J259" s="79">
        <f t="shared" si="10"/>
        <v>273</v>
      </c>
      <c r="K259" s="59"/>
      <c r="L259" s="84">
        <f t="shared" si="11"/>
        <v>0</v>
      </c>
      <c r="M259" s="60" t="s">
        <v>894</v>
      </c>
      <c r="N259" s="57"/>
      <c r="O259" s="57"/>
      <c r="P259" s="57"/>
      <c r="Q259" s="17" t="s">
        <v>19</v>
      </c>
      <c r="R259" s="70" t="str">
        <f>HYPERLINK("http://search.books.com.tw/search/query/key/9789578630826/cat/all
","
9789578630826")</f>
        <v xml:space="preserve">
9789578630826</v>
      </c>
    </row>
    <row r="260" spans="1:18" hidden="1" x14ac:dyDescent="0.25">
      <c r="A260" s="1">
        <v>256</v>
      </c>
      <c r="B260" s="56" t="s">
        <v>231</v>
      </c>
      <c r="C260" s="57" t="s">
        <v>944</v>
      </c>
      <c r="D260" s="57" t="s">
        <v>945</v>
      </c>
      <c r="E260" s="58" t="s">
        <v>363</v>
      </c>
      <c r="F260" s="58" t="s">
        <v>946</v>
      </c>
      <c r="G260" s="58"/>
      <c r="H260" s="58"/>
      <c r="I260" s="57">
        <v>550</v>
      </c>
      <c r="J260" s="79">
        <f t="shared" si="10"/>
        <v>429</v>
      </c>
      <c r="K260" s="59"/>
      <c r="L260" s="84">
        <f t="shared" si="11"/>
        <v>0</v>
      </c>
      <c r="M260" s="60" t="s">
        <v>894</v>
      </c>
      <c r="N260" s="57" t="s">
        <v>947</v>
      </c>
      <c r="O260" s="57"/>
      <c r="P260" s="57"/>
      <c r="Q260" s="17" t="s">
        <v>19</v>
      </c>
      <c r="R260" s="70" t="str">
        <f>HYPERLINK("http://search.books.com.tw/search/query/key/9789869645256/cat/all
","
9789869645256")</f>
        <v xml:space="preserve">
9789869645256</v>
      </c>
    </row>
    <row r="261" spans="1:18" hidden="1" x14ac:dyDescent="0.25">
      <c r="A261" s="1">
        <v>257</v>
      </c>
      <c r="B261" s="56" t="s">
        <v>948</v>
      </c>
      <c r="C261" s="57" t="s">
        <v>949</v>
      </c>
      <c r="D261" s="57" t="s">
        <v>950</v>
      </c>
      <c r="E261" s="58" t="s">
        <v>363</v>
      </c>
      <c r="F261" s="58" t="s">
        <v>951</v>
      </c>
      <c r="G261" s="58"/>
      <c r="H261" s="58"/>
      <c r="I261" s="57">
        <v>480</v>
      </c>
      <c r="J261" s="79">
        <f t="shared" si="10"/>
        <v>374.4</v>
      </c>
      <c r="K261" s="59"/>
      <c r="L261" s="84">
        <f t="shared" si="11"/>
        <v>0</v>
      </c>
      <c r="M261" s="60" t="s">
        <v>911</v>
      </c>
      <c r="N261" s="57"/>
      <c r="O261" s="57"/>
      <c r="P261" s="57"/>
      <c r="Q261" s="17" t="s">
        <v>19</v>
      </c>
      <c r="R261" s="70" t="str">
        <f>HYPERLINK("http://search.books.com.tw/search/query/key/9789862942154/cat/all
","
9789862942154")</f>
        <v xml:space="preserve">
9789862942154</v>
      </c>
    </row>
    <row r="262" spans="1:18" hidden="1" x14ac:dyDescent="0.25">
      <c r="A262" s="1">
        <v>258</v>
      </c>
      <c r="B262" s="56" t="s">
        <v>952</v>
      </c>
      <c r="C262" s="57" t="s">
        <v>949</v>
      </c>
      <c r="D262" s="57" t="s">
        <v>950</v>
      </c>
      <c r="E262" s="58" t="s">
        <v>363</v>
      </c>
      <c r="F262" s="58" t="s">
        <v>953</v>
      </c>
      <c r="G262" s="58"/>
      <c r="H262" s="58"/>
      <c r="I262" s="57">
        <v>480</v>
      </c>
      <c r="J262" s="79">
        <f t="shared" ref="J262:J325" si="12">ROUND(I262*0.78,2)</f>
        <v>374.4</v>
      </c>
      <c r="K262" s="59"/>
      <c r="L262" s="84">
        <f t="shared" ref="L262:L325" si="13">K262*J262</f>
        <v>0</v>
      </c>
      <c r="M262" s="60" t="s">
        <v>911</v>
      </c>
      <c r="N262" s="57"/>
      <c r="O262" s="57"/>
      <c r="P262" s="57"/>
      <c r="Q262" s="17" t="s">
        <v>19</v>
      </c>
      <c r="R262" s="70" t="str">
        <f>HYPERLINK("http://search.books.com.tw/search/query/key/9789862942147/cat/all
","
9789862942147")</f>
        <v xml:space="preserve">
9789862942147</v>
      </c>
    </row>
    <row r="263" spans="1:18" ht="66" hidden="1" x14ac:dyDescent="0.25">
      <c r="A263" s="1">
        <v>259</v>
      </c>
      <c r="B263" s="56" t="s">
        <v>954</v>
      </c>
      <c r="C263" s="57" t="s">
        <v>955</v>
      </c>
      <c r="D263" s="57" t="s">
        <v>956</v>
      </c>
      <c r="E263" s="58" t="s">
        <v>363</v>
      </c>
      <c r="F263" s="58" t="s">
        <v>957</v>
      </c>
      <c r="G263" s="58"/>
      <c r="H263" s="58"/>
      <c r="I263" s="57">
        <v>499</v>
      </c>
      <c r="J263" s="79">
        <f t="shared" si="12"/>
        <v>389.22</v>
      </c>
      <c r="K263" s="59"/>
      <c r="L263" s="84">
        <f t="shared" si="13"/>
        <v>0</v>
      </c>
      <c r="M263" s="60" t="s">
        <v>894</v>
      </c>
      <c r="N263" s="61" t="s">
        <v>958</v>
      </c>
      <c r="O263" s="57"/>
      <c r="P263" s="57"/>
      <c r="Q263" s="17" t="s">
        <v>19</v>
      </c>
      <c r="R263" s="70" t="str">
        <f>HYPERLINK("http://search.books.com.tw/search/query/key/9789579164016/cat/all
","
9789579164016")</f>
        <v xml:space="preserve">
9789579164016</v>
      </c>
    </row>
    <row r="264" spans="1:18" hidden="1" x14ac:dyDescent="0.25">
      <c r="A264" s="1">
        <v>260</v>
      </c>
      <c r="B264" s="56" t="s">
        <v>959</v>
      </c>
      <c r="C264" s="57" t="s">
        <v>960</v>
      </c>
      <c r="D264" s="57" t="s">
        <v>961</v>
      </c>
      <c r="E264" s="58" t="s">
        <v>363</v>
      </c>
      <c r="F264" s="58" t="s">
        <v>962</v>
      </c>
      <c r="G264" s="58"/>
      <c r="H264" s="58"/>
      <c r="I264" s="57">
        <v>400</v>
      </c>
      <c r="J264" s="79">
        <f t="shared" si="12"/>
        <v>312</v>
      </c>
      <c r="K264" s="59"/>
      <c r="L264" s="84">
        <f t="shared" si="13"/>
        <v>0</v>
      </c>
      <c r="M264" s="60" t="s">
        <v>963</v>
      </c>
      <c r="N264" s="57"/>
      <c r="O264" s="57"/>
      <c r="P264" s="57"/>
      <c r="Q264" s="17" t="s">
        <v>19</v>
      </c>
      <c r="R264" s="70" t="str">
        <f>HYPERLINK("http://search.books.com.tw/search/query/key/9789860573459/cat/all
","
9789860573459")</f>
        <v xml:space="preserve">
9789860573459</v>
      </c>
    </row>
    <row r="265" spans="1:18" ht="33" hidden="1" x14ac:dyDescent="0.25">
      <c r="A265" s="1">
        <v>261</v>
      </c>
      <c r="B265" s="56" t="s">
        <v>964</v>
      </c>
      <c r="C265" s="57" t="s">
        <v>965</v>
      </c>
      <c r="D265" s="57" t="s">
        <v>966</v>
      </c>
      <c r="E265" s="58" t="s">
        <v>368</v>
      </c>
      <c r="F265" s="58" t="s">
        <v>967</v>
      </c>
      <c r="G265" s="58"/>
      <c r="H265" s="58"/>
      <c r="I265" s="57">
        <v>470</v>
      </c>
      <c r="J265" s="79">
        <f t="shared" si="12"/>
        <v>366.6</v>
      </c>
      <c r="K265" s="59"/>
      <c r="L265" s="84">
        <f t="shared" si="13"/>
        <v>0</v>
      </c>
      <c r="M265" s="60" t="s">
        <v>926</v>
      </c>
      <c r="N265" s="57"/>
      <c r="O265" s="57"/>
      <c r="P265" s="57"/>
      <c r="Q265" s="17" t="s">
        <v>19</v>
      </c>
      <c r="R265" s="70" t="str">
        <f>HYPERLINK("http://search.books.com.tw/search/query/key/9789863266174/cat/all
","
9789863266174")</f>
        <v xml:space="preserve">
9789863266174</v>
      </c>
    </row>
    <row r="266" spans="1:18" ht="33" hidden="1" x14ac:dyDescent="0.25">
      <c r="A266" s="1">
        <v>262</v>
      </c>
      <c r="B266" s="56" t="s">
        <v>968</v>
      </c>
      <c r="C266" s="57" t="s">
        <v>969</v>
      </c>
      <c r="D266" s="57" t="s">
        <v>966</v>
      </c>
      <c r="E266" s="58" t="s">
        <v>368</v>
      </c>
      <c r="F266" s="58" t="s">
        <v>970</v>
      </c>
      <c r="G266" s="58"/>
      <c r="H266" s="58"/>
      <c r="I266" s="57">
        <v>450</v>
      </c>
      <c r="J266" s="79">
        <f t="shared" si="12"/>
        <v>351</v>
      </c>
      <c r="K266" s="59"/>
      <c r="L266" s="84">
        <f t="shared" si="13"/>
        <v>0</v>
      </c>
      <c r="M266" s="60" t="s">
        <v>926</v>
      </c>
      <c r="N266" s="57"/>
      <c r="O266" s="57"/>
      <c r="P266" s="57"/>
      <c r="Q266" s="17" t="s">
        <v>19</v>
      </c>
      <c r="R266" s="70" t="str">
        <f>HYPERLINK("http://search.books.com.tw/search/query/key/9789863266068/cat/all
","
9789863266068")</f>
        <v xml:space="preserve">
9789863266068</v>
      </c>
    </row>
    <row r="267" spans="1:18" ht="49.5" hidden="1" x14ac:dyDescent="0.25">
      <c r="A267" s="1">
        <v>263</v>
      </c>
      <c r="B267" s="56" t="s">
        <v>971</v>
      </c>
      <c r="C267" s="57" t="s">
        <v>972</v>
      </c>
      <c r="D267" s="57" t="s">
        <v>973</v>
      </c>
      <c r="E267" s="58" t="s">
        <v>363</v>
      </c>
      <c r="F267" s="58" t="s">
        <v>974</v>
      </c>
      <c r="G267" s="58"/>
      <c r="H267" s="58"/>
      <c r="I267" s="57">
        <v>199</v>
      </c>
      <c r="J267" s="79">
        <f t="shared" si="12"/>
        <v>155.22</v>
      </c>
      <c r="K267" s="59"/>
      <c r="L267" s="84">
        <f t="shared" si="13"/>
        <v>0</v>
      </c>
      <c r="M267" s="60" t="s">
        <v>911</v>
      </c>
      <c r="N267" s="57"/>
      <c r="O267" s="57"/>
      <c r="P267" s="57"/>
      <c r="Q267" s="17" t="s">
        <v>19</v>
      </c>
      <c r="R267" s="70" t="str">
        <f>HYPERLINK("http://search.books.com.tw/search/query/key/9789869609692/cat/all
","
9789869609692")</f>
        <v xml:space="preserve">
9789869609692</v>
      </c>
    </row>
    <row r="268" spans="1:18" hidden="1" x14ac:dyDescent="0.25">
      <c r="A268" s="1">
        <v>264</v>
      </c>
      <c r="B268" s="56" t="s">
        <v>975</v>
      </c>
      <c r="C268" s="57" t="s">
        <v>976</v>
      </c>
      <c r="D268" s="57" t="s">
        <v>977</v>
      </c>
      <c r="E268" s="58" t="s">
        <v>363</v>
      </c>
      <c r="F268" s="58" t="s">
        <v>978</v>
      </c>
      <c r="G268" s="58"/>
      <c r="H268" s="58"/>
      <c r="I268" s="57">
        <v>400</v>
      </c>
      <c r="J268" s="79">
        <f t="shared" si="12"/>
        <v>312</v>
      </c>
      <c r="K268" s="59"/>
      <c r="L268" s="84">
        <f t="shared" si="13"/>
        <v>0</v>
      </c>
      <c r="M268" s="60" t="s">
        <v>894</v>
      </c>
      <c r="N268" s="57"/>
      <c r="O268" s="57"/>
      <c r="P268" s="57"/>
      <c r="Q268" s="17" t="s">
        <v>19</v>
      </c>
      <c r="R268" s="70" t="str">
        <f>HYPERLINK("http://search.books.com.tw/search/query/key/9789578018624/cat/all
","
9789578018624")</f>
        <v xml:space="preserve">
9789578018624</v>
      </c>
    </row>
    <row r="269" spans="1:18" ht="66" hidden="1" x14ac:dyDescent="0.25">
      <c r="A269" s="1">
        <v>265</v>
      </c>
      <c r="B269" s="56" t="s">
        <v>979</v>
      </c>
      <c r="C269" s="57" t="s">
        <v>980</v>
      </c>
      <c r="D269" s="57" t="s">
        <v>981</v>
      </c>
      <c r="E269" s="58" t="s">
        <v>368</v>
      </c>
      <c r="F269" s="58" t="s">
        <v>982</v>
      </c>
      <c r="G269" s="58"/>
      <c r="H269" s="58"/>
      <c r="I269" s="57">
        <v>360</v>
      </c>
      <c r="J269" s="79">
        <f t="shared" si="12"/>
        <v>280.8</v>
      </c>
      <c r="K269" s="59"/>
      <c r="L269" s="84">
        <f t="shared" si="13"/>
        <v>0</v>
      </c>
      <c r="M269" s="60" t="s">
        <v>926</v>
      </c>
      <c r="N269" s="56" t="s">
        <v>983</v>
      </c>
      <c r="O269" s="57"/>
      <c r="P269" s="57"/>
      <c r="Q269" s="17" t="s">
        <v>19</v>
      </c>
      <c r="R269" s="70" t="str">
        <f>HYPERLINK("http://search.books.com.tw/search/query/key/9789869625920/cat/all
","
9789869625920")</f>
        <v xml:space="preserve">
9789869625920</v>
      </c>
    </row>
    <row r="270" spans="1:18" hidden="1" x14ac:dyDescent="0.25">
      <c r="A270" s="1">
        <v>266</v>
      </c>
      <c r="B270" s="56" t="s">
        <v>984</v>
      </c>
      <c r="C270" s="57" t="s">
        <v>985</v>
      </c>
      <c r="D270" s="57" t="s">
        <v>986</v>
      </c>
      <c r="E270" s="58" t="s">
        <v>363</v>
      </c>
      <c r="F270" s="58" t="s">
        <v>987</v>
      </c>
      <c r="G270" s="58"/>
      <c r="H270" s="58"/>
      <c r="I270" s="57">
        <v>300</v>
      </c>
      <c r="J270" s="79">
        <f t="shared" si="12"/>
        <v>234</v>
      </c>
      <c r="K270" s="59"/>
      <c r="L270" s="84">
        <f t="shared" si="13"/>
        <v>0</v>
      </c>
      <c r="M270" s="60" t="s">
        <v>894</v>
      </c>
      <c r="N270" s="57"/>
      <c r="O270" s="57"/>
      <c r="P270" s="57"/>
      <c r="Q270" s="17" t="s">
        <v>19</v>
      </c>
      <c r="R270" s="70" t="str">
        <f>HYPERLINK("http://search.books.com.tw/search/query/key/9789869669467/cat/all
","
9789869669467")</f>
        <v xml:space="preserve">
9789869669467</v>
      </c>
    </row>
    <row r="271" spans="1:18" hidden="1" x14ac:dyDescent="0.25">
      <c r="A271" s="1">
        <v>267</v>
      </c>
      <c r="B271" s="56" t="s">
        <v>988</v>
      </c>
      <c r="C271" s="57" t="s">
        <v>989</v>
      </c>
      <c r="D271" s="57" t="s">
        <v>986</v>
      </c>
      <c r="E271" s="58" t="s">
        <v>363</v>
      </c>
      <c r="F271" s="58" t="s">
        <v>990</v>
      </c>
      <c r="G271" s="58"/>
      <c r="H271" s="58"/>
      <c r="I271" s="57">
        <v>380</v>
      </c>
      <c r="J271" s="79">
        <f t="shared" si="12"/>
        <v>296.39999999999998</v>
      </c>
      <c r="K271" s="59"/>
      <c r="L271" s="84">
        <f t="shared" si="13"/>
        <v>0</v>
      </c>
      <c r="M271" s="60" t="s">
        <v>894</v>
      </c>
      <c r="N271" s="57"/>
      <c r="O271" s="57"/>
      <c r="P271" s="57"/>
      <c r="Q271" s="17" t="s">
        <v>19</v>
      </c>
      <c r="R271" s="70" t="str">
        <f>HYPERLINK("http://search.books.com.tw/search/query/key/9789869669498/cat/all
","
9789869669498")</f>
        <v xml:space="preserve">
9789869669498</v>
      </c>
    </row>
    <row r="272" spans="1:18" hidden="1" x14ac:dyDescent="0.25">
      <c r="A272" s="1">
        <v>268</v>
      </c>
      <c r="B272" s="56" t="s">
        <v>991</v>
      </c>
      <c r="C272" s="57" t="s">
        <v>992</v>
      </c>
      <c r="D272" s="57" t="s">
        <v>993</v>
      </c>
      <c r="E272" s="58" t="s">
        <v>363</v>
      </c>
      <c r="F272" s="58" t="s">
        <v>994</v>
      </c>
      <c r="G272" s="58"/>
      <c r="H272" s="58"/>
      <c r="I272" s="57">
        <v>670</v>
      </c>
      <c r="J272" s="79">
        <f t="shared" si="12"/>
        <v>522.6</v>
      </c>
      <c r="K272" s="59"/>
      <c r="L272" s="84">
        <f t="shared" si="13"/>
        <v>0</v>
      </c>
      <c r="M272" s="60" t="s">
        <v>894</v>
      </c>
      <c r="N272" s="57"/>
      <c r="O272" s="57"/>
      <c r="P272" s="57"/>
      <c r="Q272" s="17" t="s">
        <v>19</v>
      </c>
      <c r="R272" s="70" t="str">
        <f>HYPERLINK("http://search.books.com.tw/search/query/key/9789888570003/cat/all
","
9789888570003")</f>
        <v xml:space="preserve">
9789888570003</v>
      </c>
    </row>
    <row r="273" spans="1:18" ht="82.5" hidden="1" x14ac:dyDescent="0.25">
      <c r="A273" s="1">
        <v>269</v>
      </c>
      <c r="B273" s="56" t="s">
        <v>995</v>
      </c>
      <c r="C273" s="57" t="s">
        <v>996</v>
      </c>
      <c r="D273" s="57" t="s">
        <v>427</v>
      </c>
      <c r="E273" s="58" t="s">
        <v>363</v>
      </c>
      <c r="F273" s="58" t="s">
        <v>997</v>
      </c>
      <c r="G273" s="58"/>
      <c r="H273" s="58"/>
      <c r="I273" s="57">
        <v>460</v>
      </c>
      <c r="J273" s="79">
        <f t="shared" si="12"/>
        <v>358.8</v>
      </c>
      <c r="K273" s="59"/>
      <c r="L273" s="84">
        <f t="shared" si="13"/>
        <v>0</v>
      </c>
      <c r="M273" s="60" t="s">
        <v>894</v>
      </c>
      <c r="N273" s="56" t="s">
        <v>998</v>
      </c>
      <c r="O273" s="57"/>
      <c r="P273" s="57"/>
      <c r="Q273" s="17" t="s">
        <v>19</v>
      </c>
      <c r="R273" s="70" t="str">
        <f>HYPERLINK("http://search.books.com.tw/search/query/key/9789571375694/cat/all
","
9789571375694")</f>
        <v xml:space="preserve">
9789571375694</v>
      </c>
    </row>
    <row r="274" spans="1:18" hidden="1" x14ac:dyDescent="0.25">
      <c r="A274" s="1">
        <v>270</v>
      </c>
      <c r="B274" s="56" t="s">
        <v>999</v>
      </c>
      <c r="C274" s="57" t="s">
        <v>1000</v>
      </c>
      <c r="D274" s="57" t="s">
        <v>427</v>
      </c>
      <c r="E274" s="58" t="s">
        <v>363</v>
      </c>
      <c r="F274" s="58" t="s">
        <v>1001</v>
      </c>
      <c r="G274" s="58"/>
      <c r="H274" s="58"/>
      <c r="I274" s="57">
        <v>300</v>
      </c>
      <c r="J274" s="79">
        <f t="shared" si="12"/>
        <v>234</v>
      </c>
      <c r="K274" s="59"/>
      <c r="L274" s="84">
        <f t="shared" si="13"/>
        <v>0</v>
      </c>
      <c r="M274" s="60" t="s">
        <v>894</v>
      </c>
      <c r="N274" s="57"/>
      <c r="O274" s="57"/>
      <c r="P274" s="57"/>
      <c r="Q274" s="17" t="s">
        <v>19</v>
      </c>
      <c r="R274" s="70" t="str">
        <f>HYPERLINK("http://search.books.com.tw/search/query/key/9789571375908/cat/all
","
9789571375908")</f>
        <v xml:space="preserve">
9789571375908</v>
      </c>
    </row>
    <row r="275" spans="1:18" ht="66" hidden="1" x14ac:dyDescent="0.25">
      <c r="A275" s="1">
        <v>271</v>
      </c>
      <c r="B275" s="56" t="s">
        <v>1002</v>
      </c>
      <c r="C275" s="57" t="s">
        <v>1003</v>
      </c>
      <c r="D275" s="57" t="s">
        <v>1004</v>
      </c>
      <c r="E275" s="58" t="s">
        <v>368</v>
      </c>
      <c r="F275" s="58" t="s">
        <v>1005</v>
      </c>
      <c r="G275" s="58"/>
      <c r="H275" s="58"/>
      <c r="I275" s="57">
        <v>350</v>
      </c>
      <c r="J275" s="79">
        <f t="shared" si="12"/>
        <v>273</v>
      </c>
      <c r="K275" s="59"/>
      <c r="L275" s="84">
        <f t="shared" si="13"/>
        <v>0</v>
      </c>
      <c r="M275" s="60" t="s">
        <v>926</v>
      </c>
      <c r="N275" s="57" t="s">
        <v>1006</v>
      </c>
      <c r="O275" s="57"/>
      <c r="P275" s="57"/>
      <c r="Q275" s="17" t="s">
        <v>19</v>
      </c>
      <c r="R275" s="70" t="str">
        <f>HYPERLINK("http://search.books.com.tw/search/query/key/9789579199254/cat/all
","
9789579199254")</f>
        <v xml:space="preserve">
9789579199254</v>
      </c>
    </row>
    <row r="276" spans="1:18" ht="33" hidden="1" x14ac:dyDescent="0.25">
      <c r="A276" s="1">
        <v>272</v>
      </c>
      <c r="B276" s="56" t="s">
        <v>1007</v>
      </c>
      <c r="C276" s="57" t="s">
        <v>1008</v>
      </c>
      <c r="D276" s="57" t="s">
        <v>1009</v>
      </c>
      <c r="E276" s="58" t="s">
        <v>368</v>
      </c>
      <c r="F276" s="58" t="s">
        <v>1010</v>
      </c>
      <c r="G276" s="58"/>
      <c r="H276" s="58"/>
      <c r="I276" s="57">
        <v>480</v>
      </c>
      <c r="J276" s="79">
        <f t="shared" si="12"/>
        <v>374.4</v>
      </c>
      <c r="K276" s="59"/>
      <c r="L276" s="84">
        <f t="shared" si="13"/>
        <v>0</v>
      </c>
      <c r="M276" s="60" t="s">
        <v>926</v>
      </c>
      <c r="N276" s="57"/>
      <c r="O276" s="57"/>
      <c r="P276" s="57"/>
      <c r="Q276" s="17" t="s">
        <v>19</v>
      </c>
      <c r="R276" s="70" t="str">
        <f>HYPERLINK("http://search.books.com.tw/search/query/key/9789578759404/cat/all
","
9789578759404")</f>
        <v xml:space="preserve">
9789578759404</v>
      </c>
    </row>
    <row r="277" spans="1:18" ht="115.5" hidden="1" x14ac:dyDescent="0.25">
      <c r="A277" s="1">
        <v>273</v>
      </c>
      <c r="B277" s="56" t="s">
        <v>1011</v>
      </c>
      <c r="C277" s="57" t="s">
        <v>1012</v>
      </c>
      <c r="D277" s="57" t="s">
        <v>1013</v>
      </c>
      <c r="E277" s="58" t="s">
        <v>368</v>
      </c>
      <c r="F277" s="58" t="s">
        <v>1014</v>
      </c>
      <c r="G277" s="58"/>
      <c r="H277" s="58"/>
      <c r="I277" s="57">
        <v>350</v>
      </c>
      <c r="J277" s="79">
        <f t="shared" si="12"/>
        <v>273</v>
      </c>
      <c r="K277" s="59"/>
      <c r="L277" s="84">
        <f t="shared" si="13"/>
        <v>0</v>
      </c>
      <c r="M277" s="60" t="s">
        <v>926</v>
      </c>
      <c r="N277" s="56" t="s">
        <v>1015</v>
      </c>
      <c r="O277" s="57"/>
      <c r="P277" s="57"/>
      <c r="Q277" s="17" t="s">
        <v>19</v>
      </c>
      <c r="R277" s="70" t="str">
        <f>HYPERLINK("http://search.books.com.tw/search/query/key/9789863446125/cat/all
","
9789863446125")</f>
        <v xml:space="preserve">
9789863446125</v>
      </c>
    </row>
    <row r="278" spans="1:18" ht="33" hidden="1" x14ac:dyDescent="0.25">
      <c r="A278" s="1">
        <v>274</v>
      </c>
      <c r="B278" s="56" t="s">
        <v>1016</v>
      </c>
      <c r="C278" s="57" t="s">
        <v>1017</v>
      </c>
      <c r="D278" s="57" t="s">
        <v>1013</v>
      </c>
      <c r="E278" s="58" t="s">
        <v>359</v>
      </c>
      <c r="F278" s="58" t="s">
        <v>1018</v>
      </c>
      <c r="G278" s="58"/>
      <c r="H278" s="58"/>
      <c r="I278" s="57">
        <v>360</v>
      </c>
      <c r="J278" s="79">
        <f t="shared" si="12"/>
        <v>280.8</v>
      </c>
      <c r="K278" s="59"/>
      <c r="L278" s="84">
        <f t="shared" si="13"/>
        <v>0</v>
      </c>
      <c r="M278" s="60" t="s">
        <v>894</v>
      </c>
      <c r="N278" s="57"/>
      <c r="O278" s="57"/>
      <c r="P278" s="57"/>
      <c r="Q278" s="17" t="s">
        <v>19</v>
      </c>
      <c r="R278" s="70" t="str">
        <f>HYPERLINK("http://search.books.com.tw/search/query/key/9789863445906/cat/all
","
9789863445906")</f>
        <v xml:space="preserve">
9789863445906</v>
      </c>
    </row>
    <row r="279" spans="1:18" ht="33" hidden="1" x14ac:dyDescent="0.25">
      <c r="A279" s="1">
        <v>275</v>
      </c>
      <c r="B279" s="56" t="s">
        <v>1019</v>
      </c>
      <c r="C279" s="57" t="s">
        <v>1020</v>
      </c>
      <c r="D279" s="57" t="s">
        <v>1013</v>
      </c>
      <c r="E279" s="58" t="s">
        <v>363</v>
      </c>
      <c r="F279" s="58" t="s">
        <v>1021</v>
      </c>
      <c r="G279" s="58"/>
      <c r="H279" s="58"/>
      <c r="I279" s="57">
        <v>350</v>
      </c>
      <c r="J279" s="79">
        <f t="shared" si="12"/>
        <v>273</v>
      </c>
      <c r="K279" s="59"/>
      <c r="L279" s="84">
        <f t="shared" si="13"/>
        <v>0</v>
      </c>
      <c r="M279" s="60" t="s">
        <v>894</v>
      </c>
      <c r="N279" s="57" t="s">
        <v>1022</v>
      </c>
      <c r="O279" s="57"/>
      <c r="P279" s="57"/>
      <c r="Q279" s="17" t="s">
        <v>19</v>
      </c>
      <c r="R279" s="70" t="str">
        <f>HYPERLINK("http://search.books.com.tw/search/query/key/9789863445982/cat/all
","
9789863445982")</f>
        <v xml:space="preserve">
9789863445982</v>
      </c>
    </row>
    <row r="280" spans="1:18" ht="33" hidden="1" x14ac:dyDescent="0.25">
      <c r="A280" s="1">
        <v>276</v>
      </c>
      <c r="B280" s="56" t="s">
        <v>1023</v>
      </c>
      <c r="C280" s="57" t="s">
        <v>1024</v>
      </c>
      <c r="D280" s="57" t="s">
        <v>1025</v>
      </c>
      <c r="E280" s="58" t="s">
        <v>363</v>
      </c>
      <c r="F280" s="58" t="s">
        <v>1026</v>
      </c>
      <c r="G280" s="58"/>
      <c r="H280" s="58"/>
      <c r="I280" s="57">
        <v>690</v>
      </c>
      <c r="J280" s="79">
        <f t="shared" si="12"/>
        <v>538.20000000000005</v>
      </c>
      <c r="K280" s="59"/>
      <c r="L280" s="84">
        <f t="shared" si="13"/>
        <v>0</v>
      </c>
      <c r="M280" s="60" t="s">
        <v>894</v>
      </c>
      <c r="N280" s="57"/>
      <c r="O280" s="57"/>
      <c r="P280" s="57"/>
      <c r="Q280" s="17" t="s">
        <v>19</v>
      </c>
      <c r="R280" s="70" t="str">
        <f>HYPERLINK("http://search.books.com.tw/search/query/key/9789862623664/cat/all
","
9789862623664")</f>
        <v xml:space="preserve">
9789862623664</v>
      </c>
    </row>
    <row r="281" spans="1:18" ht="49.5" hidden="1" x14ac:dyDescent="0.25">
      <c r="A281" s="1">
        <v>277</v>
      </c>
      <c r="B281" s="56" t="s">
        <v>1027</v>
      </c>
      <c r="C281" s="57" t="s">
        <v>1028</v>
      </c>
      <c r="D281" s="57" t="s">
        <v>1025</v>
      </c>
      <c r="E281" s="58" t="s">
        <v>368</v>
      </c>
      <c r="F281" s="58" t="s">
        <v>1029</v>
      </c>
      <c r="G281" s="58"/>
      <c r="H281" s="58"/>
      <c r="I281" s="57">
        <v>630</v>
      </c>
      <c r="J281" s="79">
        <f t="shared" si="12"/>
        <v>491.4</v>
      </c>
      <c r="K281" s="59"/>
      <c r="L281" s="84">
        <f t="shared" si="13"/>
        <v>0</v>
      </c>
      <c r="M281" s="60" t="s">
        <v>926</v>
      </c>
      <c r="N281" s="57" t="s">
        <v>1030</v>
      </c>
      <c r="O281" s="57"/>
      <c r="P281" s="57"/>
      <c r="Q281" s="17" t="s">
        <v>19</v>
      </c>
      <c r="R281" s="70" t="str">
        <f>HYPERLINK("http://search.books.com.tw/search/query/key/9789862623688/cat/all
","
9789862623688")</f>
        <v xml:space="preserve">
9789862623688</v>
      </c>
    </row>
    <row r="282" spans="1:18" hidden="1" x14ac:dyDescent="0.25">
      <c r="A282" s="1">
        <v>278</v>
      </c>
      <c r="B282" s="56" t="s">
        <v>1031</v>
      </c>
      <c r="C282" s="57" t="s">
        <v>1032</v>
      </c>
      <c r="D282" s="57" t="s">
        <v>1033</v>
      </c>
      <c r="E282" s="58" t="s">
        <v>363</v>
      </c>
      <c r="F282" s="58" t="s">
        <v>1034</v>
      </c>
      <c r="G282" s="58"/>
      <c r="H282" s="58"/>
      <c r="I282" s="57">
        <v>450</v>
      </c>
      <c r="J282" s="79">
        <f t="shared" si="12"/>
        <v>351</v>
      </c>
      <c r="K282" s="59"/>
      <c r="L282" s="84">
        <f t="shared" si="13"/>
        <v>0</v>
      </c>
      <c r="M282" s="60" t="s">
        <v>894</v>
      </c>
      <c r="N282" s="57"/>
      <c r="O282" s="57"/>
      <c r="P282" s="57"/>
      <c r="Q282" s="17" t="s">
        <v>19</v>
      </c>
      <c r="R282" s="70" t="str">
        <f>HYPERLINK("http://search.books.com.tw/search/query/key/9789865611910/cat/all
","
9789865611910")</f>
        <v xml:space="preserve">
9789865611910</v>
      </c>
    </row>
    <row r="283" spans="1:18" hidden="1" x14ac:dyDescent="0.25">
      <c r="A283" s="1">
        <v>279</v>
      </c>
      <c r="B283" s="56" t="s">
        <v>1035</v>
      </c>
      <c r="C283" s="57" t="s">
        <v>1036</v>
      </c>
      <c r="D283" s="57" t="s">
        <v>1037</v>
      </c>
      <c r="E283" s="58" t="s">
        <v>363</v>
      </c>
      <c r="F283" s="58" t="s">
        <v>1038</v>
      </c>
      <c r="G283" s="58"/>
      <c r="H283" s="58"/>
      <c r="I283" s="57">
        <v>430</v>
      </c>
      <c r="J283" s="79">
        <f t="shared" si="12"/>
        <v>335.4</v>
      </c>
      <c r="K283" s="59"/>
      <c r="L283" s="84">
        <f t="shared" si="13"/>
        <v>0</v>
      </c>
      <c r="M283" s="60" t="s">
        <v>911</v>
      </c>
      <c r="N283" s="57"/>
      <c r="O283" s="57"/>
      <c r="P283" s="57"/>
      <c r="Q283" s="17" t="s">
        <v>19</v>
      </c>
      <c r="R283" s="70" t="str">
        <f>HYPERLINK("http://search.books.com.tw/search/query/key/9789888490455/cat/all
","
9789888490455")</f>
        <v xml:space="preserve">
9789888490455</v>
      </c>
    </row>
    <row r="284" spans="1:18" ht="33" hidden="1" x14ac:dyDescent="0.25">
      <c r="A284" s="1">
        <v>280</v>
      </c>
      <c r="B284" s="56" t="s">
        <v>1039</v>
      </c>
      <c r="C284" s="57" t="s">
        <v>1040</v>
      </c>
      <c r="D284" s="57" t="s">
        <v>1041</v>
      </c>
      <c r="E284" s="58" t="s">
        <v>363</v>
      </c>
      <c r="F284" s="58" t="s">
        <v>1042</v>
      </c>
      <c r="G284" s="58"/>
      <c r="H284" s="58"/>
      <c r="I284" s="57">
        <v>2900</v>
      </c>
      <c r="J284" s="79">
        <f t="shared" si="12"/>
        <v>2262</v>
      </c>
      <c r="K284" s="59"/>
      <c r="L284" s="84">
        <f t="shared" si="13"/>
        <v>0</v>
      </c>
      <c r="M284" s="60" t="s">
        <v>894</v>
      </c>
      <c r="N284" s="57" t="s">
        <v>1043</v>
      </c>
      <c r="O284" s="57"/>
      <c r="P284" s="57"/>
      <c r="Q284" s="17" t="s">
        <v>19</v>
      </c>
      <c r="R284" s="70" t="str">
        <f>HYPERLINK("http://search.books.com.tw/search/query/key/2018000000003/cat/all
","
2018000000003")</f>
        <v xml:space="preserve">
2018000000003</v>
      </c>
    </row>
    <row r="285" spans="1:18" hidden="1" x14ac:dyDescent="0.25">
      <c r="A285" s="1">
        <v>281</v>
      </c>
      <c r="B285" s="56" t="s">
        <v>1044</v>
      </c>
      <c r="C285" s="57" t="s">
        <v>1045</v>
      </c>
      <c r="D285" s="57" t="s">
        <v>1041</v>
      </c>
      <c r="E285" s="58" t="s">
        <v>363</v>
      </c>
      <c r="F285" s="58" t="s">
        <v>1046</v>
      </c>
      <c r="G285" s="58"/>
      <c r="H285" s="58"/>
      <c r="I285" s="57">
        <v>380</v>
      </c>
      <c r="J285" s="79">
        <f t="shared" si="12"/>
        <v>296.39999999999998</v>
      </c>
      <c r="K285" s="59"/>
      <c r="L285" s="84">
        <f t="shared" si="13"/>
        <v>0</v>
      </c>
      <c r="M285" s="60" t="s">
        <v>911</v>
      </c>
      <c r="N285" s="57"/>
      <c r="O285" s="57"/>
      <c r="P285" s="57"/>
      <c r="Q285" s="17" t="s">
        <v>19</v>
      </c>
      <c r="R285" s="70" t="str">
        <f>HYPERLINK("http://search.books.com.tw/search/query/key/9789570531725/cat/all
","
9789570531725")</f>
        <v xml:space="preserve">
9789570531725</v>
      </c>
    </row>
    <row r="286" spans="1:18" hidden="1" x14ac:dyDescent="0.25">
      <c r="A286" s="1">
        <v>282</v>
      </c>
      <c r="B286" s="56" t="s">
        <v>1047</v>
      </c>
      <c r="C286" s="57" t="s">
        <v>1048</v>
      </c>
      <c r="D286" s="57" t="s">
        <v>1049</v>
      </c>
      <c r="E286" s="58" t="s">
        <v>368</v>
      </c>
      <c r="F286" s="58" t="s">
        <v>1050</v>
      </c>
      <c r="G286" s="58"/>
      <c r="H286" s="58"/>
      <c r="I286" s="57">
        <v>550</v>
      </c>
      <c r="J286" s="79">
        <f t="shared" si="12"/>
        <v>429</v>
      </c>
      <c r="K286" s="59"/>
      <c r="L286" s="84">
        <f t="shared" si="13"/>
        <v>0</v>
      </c>
      <c r="M286" s="60" t="s">
        <v>926</v>
      </c>
      <c r="N286" s="57"/>
      <c r="O286" s="57"/>
      <c r="P286" s="57"/>
      <c r="Q286" s="17" t="s">
        <v>19</v>
      </c>
      <c r="R286" s="70" t="str">
        <f>HYPERLINK("http://search.books.com.tw/search/query/key/9789864795895/cat/all
","
9789864795895")</f>
        <v xml:space="preserve">
9789864795895</v>
      </c>
    </row>
    <row r="287" spans="1:18" hidden="1" x14ac:dyDescent="0.25">
      <c r="A287" s="1">
        <v>283</v>
      </c>
      <c r="B287" s="56" t="s">
        <v>1051</v>
      </c>
      <c r="C287" s="57" t="s">
        <v>1052</v>
      </c>
      <c r="D287" s="57" t="s">
        <v>714</v>
      </c>
      <c r="E287" s="58" t="s">
        <v>363</v>
      </c>
      <c r="F287" s="58" t="s">
        <v>1053</v>
      </c>
      <c r="G287" s="58"/>
      <c r="H287" s="58"/>
      <c r="I287" s="57">
        <v>450</v>
      </c>
      <c r="J287" s="79">
        <f t="shared" si="12"/>
        <v>351</v>
      </c>
      <c r="K287" s="59"/>
      <c r="L287" s="84">
        <f t="shared" si="13"/>
        <v>0</v>
      </c>
      <c r="M287" s="60" t="s">
        <v>894</v>
      </c>
      <c r="N287" s="57"/>
      <c r="O287" s="57"/>
      <c r="P287" s="57"/>
      <c r="Q287" s="17" t="s">
        <v>19</v>
      </c>
      <c r="R287" s="70" t="str">
        <f>HYPERLINK("http://search.books.com.tw/search/query/key/9789865659219/cat/all
","
9789865659219")</f>
        <v xml:space="preserve">
9789865659219</v>
      </c>
    </row>
    <row r="288" spans="1:18" ht="49.5" hidden="1" x14ac:dyDescent="0.25">
      <c r="A288" s="1">
        <v>284</v>
      </c>
      <c r="B288" s="56" t="s">
        <v>1054</v>
      </c>
      <c r="C288" s="57" t="s">
        <v>1055</v>
      </c>
      <c r="D288" s="57" t="s">
        <v>1056</v>
      </c>
      <c r="E288" s="58" t="s">
        <v>363</v>
      </c>
      <c r="F288" s="58" t="s">
        <v>1057</v>
      </c>
      <c r="G288" s="58"/>
      <c r="H288" s="58"/>
      <c r="I288" s="57">
        <v>499</v>
      </c>
      <c r="J288" s="79">
        <f t="shared" si="12"/>
        <v>389.22</v>
      </c>
      <c r="K288" s="59"/>
      <c r="L288" s="84">
        <f t="shared" si="13"/>
        <v>0</v>
      </c>
      <c r="M288" s="60" t="s">
        <v>894</v>
      </c>
      <c r="N288" s="57"/>
      <c r="O288" s="57"/>
      <c r="P288" s="57"/>
      <c r="Q288" s="17" t="s">
        <v>19</v>
      </c>
      <c r="R288" s="70" t="str">
        <f>HYPERLINK("http://search.books.com.tw/search/query/key/9789869650069/cat/all
","
9789869650069")</f>
        <v xml:space="preserve">
9789869650069</v>
      </c>
    </row>
    <row r="289" spans="1:18" ht="33" hidden="1" x14ac:dyDescent="0.25">
      <c r="A289" s="1">
        <v>285</v>
      </c>
      <c r="B289" s="56" t="s">
        <v>1058</v>
      </c>
      <c r="C289" s="57" t="s">
        <v>1059</v>
      </c>
      <c r="D289" s="57" t="s">
        <v>1060</v>
      </c>
      <c r="E289" s="58" t="s">
        <v>359</v>
      </c>
      <c r="F289" s="58" t="s">
        <v>1061</v>
      </c>
      <c r="G289" s="58"/>
      <c r="H289" s="58"/>
      <c r="I289" s="57">
        <v>380</v>
      </c>
      <c r="J289" s="79">
        <f t="shared" si="12"/>
        <v>296.39999999999998</v>
      </c>
      <c r="K289" s="59"/>
      <c r="L289" s="84">
        <f t="shared" si="13"/>
        <v>0</v>
      </c>
      <c r="M289" s="60" t="s">
        <v>894</v>
      </c>
      <c r="N289" s="57" t="s">
        <v>1062</v>
      </c>
      <c r="O289" s="57"/>
      <c r="P289" s="57"/>
      <c r="Q289" s="17" t="s">
        <v>19</v>
      </c>
      <c r="R289" s="70" t="str">
        <f>HYPERLINK("http://search.books.com.tw/search/query/key/9789577107381/cat/all
","
9789577107381")</f>
        <v xml:space="preserve">
9789577107381</v>
      </c>
    </row>
    <row r="290" spans="1:18" hidden="1" x14ac:dyDescent="0.25">
      <c r="A290" s="1">
        <v>286</v>
      </c>
      <c r="B290" s="56" t="s">
        <v>1063</v>
      </c>
      <c r="C290" s="57" t="s">
        <v>1064</v>
      </c>
      <c r="D290" s="57" t="s">
        <v>732</v>
      </c>
      <c r="E290" s="58" t="s">
        <v>363</v>
      </c>
      <c r="F290" s="58" t="s">
        <v>1065</v>
      </c>
      <c r="G290" s="58"/>
      <c r="H290" s="58"/>
      <c r="I290" s="57">
        <v>450</v>
      </c>
      <c r="J290" s="79">
        <f t="shared" si="12"/>
        <v>351</v>
      </c>
      <c r="K290" s="59"/>
      <c r="L290" s="84">
        <f t="shared" si="13"/>
        <v>0</v>
      </c>
      <c r="M290" s="60" t="s">
        <v>894</v>
      </c>
      <c r="N290" s="57" t="s">
        <v>1066</v>
      </c>
      <c r="O290" s="57"/>
      <c r="P290" s="57"/>
      <c r="Q290" s="17" t="s">
        <v>19</v>
      </c>
      <c r="R290" s="70" t="str">
        <f>HYPERLINK("http://search.books.com.tw/search/query/key/9789570852158/cat/all
","
9789570852158")</f>
        <v xml:space="preserve">
9789570852158</v>
      </c>
    </row>
    <row r="291" spans="1:18" ht="33" hidden="1" x14ac:dyDescent="0.25">
      <c r="A291" s="1">
        <v>287</v>
      </c>
      <c r="B291" s="56" t="s">
        <v>1067</v>
      </c>
      <c r="C291" s="57" t="s">
        <v>1068</v>
      </c>
      <c r="D291" s="57" t="s">
        <v>732</v>
      </c>
      <c r="E291" s="58" t="s">
        <v>363</v>
      </c>
      <c r="F291" s="58" t="s">
        <v>1069</v>
      </c>
      <c r="G291" s="58"/>
      <c r="H291" s="58"/>
      <c r="I291" s="57">
        <v>480</v>
      </c>
      <c r="J291" s="79">
        <f t="shared" si="12"/>
        <v>374.4</v>
      </c>
      <c r="K291" s="59"/>
      <c r="L291" s="84">
        <f t="shared" si="13"/>
        <v>0</v>
      </c>
      <c r="M291" s="60" t="s">
        <v>894</v>
      </c>
      <c r="N291" s="57" t="s">
        <v>1070</v>
      </c>
      <c r="O291" s="57"/>
      <c r="P291" s="57"/>
      <c r="Q291" s="17" t="s">
        <v>19</v>
      </c>
      <c r="R291" s="70" t="str">
        <f>HYPERLINK("http://search.books.com.tw/search/query/key/9789570852035/cat/all
","
9789570852035")</f>
        <v xml:space="preserve">
9789570852035</v>
      </c>
    </row>
    <row r="292" spans="1:18" ht="33" hidden="1" x14ac:dyDescent="0.25">
      <c r="A292" s="1">
        <v>288</v>
      </c>
      <c r="B292" s="56" t="s">
        <v>1071</v>
      </c>
      <c r="C292" s="57" t="s">
        <v>1072</v>
      </c>
      <c r="D292" s="57" t="s">
        <v>470</v>
      </c>
      <c r="E292" s="58" t="s">
        <v>363</v>
      </c>
      <c r="F292" s="58" t="s">
        <v>1073</v>
      </c>
      <c r="G292" s="58"/>
      <c r="H292" s="58"/>
      <c r="I292" s="57">
        <v>340</v>
      </c>
      <c r="J292" s="79">
        <f t="shared" si="12"/>
        <v>265.2</v>
      </c>
      <c r="K292" s="59"/>
      <c r="L292" s="84">
        <f t="shared" si="13"/>
        <v>0</v>
      </c>
      <c r="M292" s="60" t="s">
        <v>1074</v>
      </c>
      <c r="N292" s="57"/>
      <c r="O292" s="57"/>
      <c r="P292" s="57"/>
      <c r="Q292" s="17" t="s">
        <v>19</v>
      </c>
      <c r="R292" s="70" t="str">
        <f>HYPERLINK("http://search.books.com.tw/search/query/key/9789576580758/cat/all
","
9789576580758")</f>
        <v xml:space="preserve">
9789576580758</v>
      </c>
    </row>
    <row r="293" spans="1:18" ht="33" hidden="1" x14ac:dyDescent="0.25">
      <c r="A293" s="1">
        <v>289</v>
      </c>
      <c r="B293" s="56" t="s">
        <v>1075</v>
      </c>
      <c r="C293" s="57" t="s">
        <v>1076</v>
      </c>
      <c r="D293" s="57" t="s">
        <v>470</v>
      </c>
      <c r="E293" s="58" t="s">
        <v>363</v>
      </c>
      <c r="F293" s="58" t="s">
        <v>1077</v>
      </c>
      <c r="G293" s="58"/>
      <c r="H293" s="58"/>
      <c r="I293" s="57">
        <v>340</v>
      </c>
      <c r="J293" s="79">
        <f t="shared" si="12"/>
        <v>265.2</v>
      </c>
      <c r="K293" s="59"/>
      <c r="L293" s="84">
        <f t="shared" si="13"/>
        <v>0</v>
      </c>
      <c r="M293" s="60" t="s">
        <v>1074</v>
      </c>
      <c r="N293" s="57"/>
      <c r="O293" s="57"/>
      <c r="P293" s="57"/>
      <c r="Q293" s="17" t="s">
        <v>19</v>
      </c>
      <c r="R293" s="70" t="str">
        <f>HYPERLINK("http://search.books.com.tw/search/query/key/9789576580734/cat/all
","
9789576580734")</f>
        <v xml:space="preserve">
9789576580734</v>
      </c>
    </row>
    <row r="294" spans="1:18" ht="33" hidden="1" x14ac:dyDescent="0.25">
      <c r="A294" s="1">
        <v>290</v>
      </c>
      <c r="B294" s="56" t="s">
        <v>1078</v>
      </c>
      <c r="C294" s="57" t="s">
        <v>1079</v>
      </c>
      <c r="D294" s="57" t="s">
        <v>500</v>
      </c>
      <c r="E294" s="58" t="s">
        <v>363</v>
      </c>
      <c r="F294" s="58" t="s">
        <v>1080</v>
      </c>
      <c r="G294" s="58"/>
      <c r="H294" s="58"/>
      <c r="I294" s="57">
        <v>300</v>
      </c>
      <c r="J294" s="79">
        <f t="shared" si="12"/>
        <v>234</v>
      </c>
      <c r="K294" s="59"/>
      <c r="L294" s="84">
        <f t="shared" si="13"/>
        <v>0</v>
      </c>
      <c r="M294" s="60" t="s">
        <v>1074</v>
      </c>
      <c r="N294" s="57"/>
      <c r="O294" s="57"/>
      <c r="P294" s="57"/>
      <c r="Q294" s="17" t="s">
        <v>19</v>
      </c>
      <c r="R294" s="70" t="str">
        <f>HYPERLINK("http://search.books.com.tw/search/query/key/9789864435166/cat/all
","
9789864435166")</f>
        <v xml:space="preserve">
9789864435166</v>
      </c>
    </row>
    <row r="295" spans="1:18" ht="33" hidden="1" x14ac:dyDescent="0.25">
      <c r="A295" s="1">
        <v>291</v>
      </c>
      <c r="B295" s="56" t="s">
        <v>1081</v>
      </c>
      <c r="C295" s="57" t="s">
        <v>1082</v>
      </c>
      <c r="D295" s="57" t="s">
        <v>500</v>
      </c>
      <c r="E295" s="58" t="s">
        <v>363</v>
      </c>
      <c r="F295" s="58" t="s">
        <v>1083</v>
      </c>
      <c r="G295" s="58"/>
      <c r="H295" s="58"/>
      <c r="I295" s="57">
        <v>320</v>
      </c>
      <c r="J295" s="79">
        <f t="shared" si="12"/>
        <v>249.6</v>
      </c>
      <c r="K295" s="59"/>
      <c r="L295" s="84">
        <f t="shared" si="13"/>
        <v>0</v>
      </c>
      <c r="M295" s="60" t="s">
        <v>1074</v>
      </c>
      <c r="N295" s="57"/>
      <c r="O295" s="57"/>
      <c r="P295" s="57"/>
      <c r="Q295" s="17" t="s">
        <v>19</v>
      </c>
      <c r="R295" s="70" t="str">
        <f>HYPERLINK("http://search.books.com.tw/search/query/key/9789864435104/cat/all
","
9789864435104")</f>
        <v xml:space="preserve">
9789864435104</v>
      </c>
    </row>
    <row r="296" spans="1:18" hidden="1" x14ac:dyDescent="0.25">
      <c r="A296" s="1">
        <v>292</v>
      </c>
      <c r="B296" s="56" t="s">
        <v>1084</v>
      </c>
      <c r="C296" s="57" t="s">
        <v>1085</v>
      </c>
      <c r="D296" s="57" t="s">
        <v>1086</v>
      </c>
      <c r="E296" s="58" t="s">
        <v>359</v>
      </c>
      <c r="F296" s="58" t="s">
        <v>1087</v>
      </c>
      <c r="G296" s="58"/>
      <c r="H296" s="58"/>
      <c r="I296" s="57">
        <v>250</v>
      </c>
      <c r="J296" s="79">
        <f t="shared" si="12"/>
        <v>195</v>
      </c>
      <c r="K296" s="59"/>
      <c r="L296" s="84">
        <f t="shared" si="13"/>
        <v>0</v>
      </c>
      <c r="M296" s="60" t="s">
        <v>1074</v>
      </c>
      <c r="N296" s="57"/>
      <c r="O296" s="57"/>
      <c r="P296" s="57"/>
      <c r="Q296" s="17" t="s">
        <v>19</v>
      </c>
      <c r="R296" s="70" t="str">
        <f>HYPERLINK("http://search.books.com.tw/search/query/key/9789869678360/cat/all
","
9789869678360")</f>
        <v xml:space="preserve">
9789869678360</v>
      </c>
    </row>
    <row r="297" spans="1:18" hidden="1" x14ac:dyDescent="0.25">
      <c r="A297" s="1">
        <v>293</v>
      </c>
      <c r="B297" s="56" t="s">
        <v>1088</v>
      </c>
      <c r="C297" s="57" t="s">
        <v>1089</v>
      </c>
      <c r="D297" s="57" t="s">
        <v>1090</v>
      </c>
      <c r="E297" s="58" t="s">
        <v>368</v>
      </c>
      <c r="F297" s="58" t="s">
        <v>1091</v>
      </c>
      <c r="G297" s="58"/>
      <c r="H297" s="58"/>
      <c r="I297" s="57">
        <v>320</v>
      </c>
      <c r="J297" s="79">
        <f t="shared" si="12"/>
        <v>249.6</v>
      </c>
      <c r="K297" s="59"/>
      <c r="L297" s="84">
        <f t="shared" si="13"/>
        <v>0</v>
      </c>
      <c r="M297" s="60" t="s">
        <v>1092</v>
      </c>
      <c r="N297" s="57"/>
      <c r="O297" s="57"/>
      <c r="P297" s="57"/>
      <c r="Q297" s="17" t="s">
        <v>19</v>
      </c>
      <c r="R297" s="70" t="str">
        <f>HYPERLINK("http://search.books.com.tw/search/query/key/9789869693646/cat/all
","
9789869693646")</f>
        <v xml:space="preserve">
9789869693646</v>
      </c>
    </row>
    <row r="298" spans="1:18" hidden="1" x14ac:dyDescent="0.25">
      <c r="A298" s="1">
        <v>294</v>
      </c>
      <c r="B298" s="56" t="s">
        <v>1093</v>
      </c>
      <c r="C298" s="57" t="s">
        <v>1094</v>
      </c>
      <c r="D298" s="57" t="s">
        <v>1095</v>
      </c>
      <c r="E298" s="58" t="s">
        <v>363</v>
      </c>
      <c r="F298" s="58" t="s">
        <v>1096</v>
      </c>
      <c r="G298" s="58"/>
      <c r="H298" s="58"/>
      <c r="I298" s="57">
        <v>350</v>
      </c>
      <c r="J298" s="79">
        <f t="shared" si="12"/>
        <v>273</v>
      </c>
      <c r="K298" s="59"/>
      <c r="L298" s="84">
        <f t="shared" si="13"/>
        <v>0</v>
      </c>
      <c r="M298" s="60" t="s">
        <v>1074</v>
      </c>
      <c r="N298" s="57"/>
      <c r="O298" s="57"/>
      <c r="P298" s="57"/>
      <c r="Q298" s="17" t="s">
        <v>19</v>
      </c>
      <c r="R298" s="70" t="str">
        <f>HYPERLINK("http://search.books.com.tw/search/query/key/9789866613951/cat/all
","
9789866613951")</f>
        <v xml:space="preserve">
9789866613951</v>
      </c>
    </row>
    <row r="299" spans="1:18" hidden="1" x14ac:dyDescent="0.25">
      <c r="A299" s="1">
        <v>295</v>
      </c>
      <c r="B299" s="56" t="s">
        <v>1097</v>
      </c>
      <c r="C299" s="57" t="s">
        <v>1098</v>
      </c>
      <c r="D299" s="57" t="s">
        <v>1099</v>
      </c>
      <c r="E299" s="58" t="s">
        <v>368</v>
      </c>
      <c r="F299" s="58" t="s">
        <v>1100</v>
      </c>
      <c r="G299" s="58"/>
      <c r="H299" s="58"/>
      <c r="I299" s="57">
        <v>340</v>
      </c>
      <c r="J299" s="79">
        <f t="shared" si="12"/>
        <v>265.2</v>
      </c>
      <c r="K299" s="59"/>
      <c r="L299" s="84">
        <f t="shared" si="13"/>
        <v>0</v>
      </c>
      <c r="M299" s="60" t="s">
        <v>1092</v>
      </c>
      <c r="N299" s="57"/>
      <c r="O299" s="57"/>
      <c r="P299" s="57"/>
      <c r="Q299" s="17" t="s">
        <v>19</v>
      </c>
      <c r="R299" s="70" t="str">
        <f>HYPERLINK("http://search.books.com.tw/search/query/key/9789864061426/cat/all
","
9789864061426")</f>
        <v xml:space="preserve">
9789864061426</v>
      </c>
    </row>
    <row r="300" spans="1:18" hidden="1" x14ac:dyDescent="0.25">
      <c r="A300" s="1">
        <v>296</v>
      </c>
      <c r="B300" s="56" t="s">
        <v>1101</v>
      </c>
      <c r="C300" s="57" t="s">
        <v>1102</v>
      </c>
      <c r="D300" s="57" t="s">
        <v>1099</v>
      </c>
      <c r="E300" s="58" t="s">
        <v>368</v>
      </c>
      <c r="F300" s="58" t="s">
        <v>1103</v>
      </c>
      <c r="G300" s="58"/>
      <c r="H300" s="58"/>
      <c r="I300" s="57">
        <v>320</v>
      </c>
      <c r="J300" s="79">
        <f t="shared" si="12"/>
        <v>249.6</v>
      </c>
      <c r="K300" s="59"/>
      <c r="L300" s="84">
        <f t="shared" si="13"/>
        <v>0</v>
      </c>
      <c r="M300" s="60" t="s">
        <v>1092</v>
      </c>
      <c r="N300" s="57"/>
      <c r="O300" s="57"/>
      <c r="P300" s="57"/>
      <c r="Q300" s="17" t="s">
        <v>19</v>
      </c>
      <c r="R300" s="70" t="str">
        <f>HYPERLINK("http://search.books.com.tw/search/query/key/9789864061419/cat/all
","
9789864061419")</f>
        <v xml:space="preserve">
9789864061419</v>
      </c>
    </row>
    <row r="301" spans="1:18" ht="33" hidden="1" x14ac:dyDescent="0.25">
      <c r="A301" s="1">
        <v>297</v>
      </c>
      <c r="B301" s="56" t="s">
        <v>1104</v>
      </c>
      <c r="C301" s="57" t="s">
        <v>1105</v>
      </c>
      <c r="D301" s="57" t="s">
        <v>1106</v>
      </c>
      <c r="E301" s="58" t="s">
        <v>363</v>
      </c>
      <c r="F301" s="58" t="s">
        <v>1107</v>
      </c>
      <c r="G301" s="58"/>
      <c r="H301" s="58"/>
      <c r="I301" s="57">
        <v>380</v>
      </c>
      <c r="J301" s="79">
        <f t="shared" si="12"/>
        <v>296.39999999999998</v>
      </c>
      <c r="K301" s="59"/>
      <c r="L301" s="84">
        <f t="shared" si="13"/>
        <v>0</v>
      </c>
      <c r="M301" s="60" t="s">
        <v>1074</v>
      </c>
      <c r="N301" s="57"/>
      <c r="O301" s="57"/>
      <c r="P301" s="57"/>
      <c r="Q301" s="17" t="s">
        <v>19</v>
      </c>
      <c r="R301" s="70" t="str">
        <f>HYPERLINK("http://search.books.com.tw/search/query/key/9789579001762/cat/all
","
9789579001762")</f>
        <v xml:space="preserve">
9789579001762</v>
      </c>
    </row>
    <row r="302" spans="1:18" hidden="1" x14ac:dyDescent="0.25">
      <c r="A302" s="1">
        <v>298</v>
      </c>
      <c r="B302" s="56" t="s">
        <v>1108</v>
      </c>
      <c r="C302" s="57" t="s">
        <v>1109</v>
      </c>
      <c r="D302" s="57" t="s">
        <v>1110</v>
      </c>
      <c r="E302" s="58" t="s">
        <v>363</v>
      </c>
      <c r="F302" s="58" t="s">
        <v>1111</v>
      </c>
      <c r="G302" s="58"/>
      <c r="H302" s="58"/>
      <c r="I302" s="57">
        <v>350</v>
      </c>
      <c r="J302" s="79">
        <f t="shared" si="12"/>
        <v>273</v>
      </c>
      <c r="K302" s="59"/>
      <c r="L302" s="84">
        <f t="shared" si="13"/>
        <v>0</v>
      </c>
      <c r="M302" s="60" t="s">
        <v>1074</v>
      </c>
      <c r="N302" s="57"/>
      <c r="O302" s="57"/>
      <c r="P302" s="57"/>
      <c r="Q302" s="17" t="s">
        <v>19</v>
      </c>
      <c r="R302" s="70" t="str">
        <f>HYPERLINK("http://search.books.com.tw/search/query/key/9789862139431/cat/all
","
9789862139431")</f>
        <v xml:space="preserve">
9789862139431</v>
      </c>
    </row>
    <row r="303" spans="1:18" hidden="1" x14ac:dyDescent="0.25">
      <c r="A303" s="1">
        <v>299</v>
      </c>
      <c r="B303" s="56" t="s">
        <v>1112</v>
      </c>
      <c r="C303" s="57" t="s">
        <v>1113</v>
      </c>
      <c r="D303" s="57" t="s">
        <v>1110</v>
      </c>
      <c r="E303" s="58" t="s">
        <v>368</v>
      </c>
      <c r="F303" s="58" t="s">
        <v>1114</v>
      </c>
      <c r="G303" s="58"/>
      <c r="H303" s="58"/>
      <c r="I303" s="57">
        <v>350</v>
      </c>
      <c r="J303" s="79">
        <f t="shared" si="12"/>
        <v>273</v>
      </c>
      <c r="K303" s="59"/>
      <c r="L303" s="84">
        <f t="shared" si="13"/>
        <v>0</v>
      </c>
      <c r="M303" s="60" t="s">
        <v>1092</v>
      </c>
      <c r="N303" s="57"/>
      <c r="O303" s="57"/>
      <c r="P303" s="57"/>
      <c r="Q303" s="17" t="s">
        <v>19</v>
      </c>
      <c r="R303" s="70" t="str">
        <f>HYPERLINK("http://search.books.com.tw/search/query/key/9789862139318/cat/all
","
9789862139318")</f>
        <v xml:space="preserve">
9789862139318</v>
      </c>
    </row>
    <row r="304" spans="1:18" hidden="1" x14ac:dyDescent="0.25">
      <c r="A304" s="1">
        <v>300</v>
      </c>
      <c r="B304" s="56" t="s">
        <v>1115</v>
      </c>
      <c r="C304" s="57" t="s">
        <v>1116</v>
      </c>
      <c r="D304" s="57" t="s">
        <v>1117</v>
      </c>
      <c r="E304" s="58" t="s">
        <v>368</v>
      </c>
      <c r="F304" s="58" t="s">
        <v>1118</v>
      </c>
      <c r="G304" s="58"/>
      <c r="H304" s="58"/>
      <c r="I304" s="57">
        <v>300</v>
      </c>
      <c r="J304" s="79">
        <f t="shared" si="12"/>
        <v>234</v>
      </c>
      <c r="K304" s="59"/>
      <c r="L304" s="84">
        <f t="shared" si="13"/>
        <v>0</v>
      </c>
      <c r="M304" s="60" t="s">
        <v>1092</v>
      </c>
      <c r="N304" s="57"/>
      <c r="O304" s="57"/>
      <c r="P304" s="57"/>
      <c r="Q304" s="17" t="s">
        <v>19</v>
      </c>
      <c r="R304" s="70" t="str">
        <f>HYPERLINK("http://search.books.com.tw/search/query/key/9789869670548/cat/all
","
9789869670548")</f>
        <v xml:space="preserve">
9789869670548</v>
      </c>
    </row>
    <row r="305" spans="1:18" ht="148.5" hidden="1" x14ac:dyDescent="0.25">
      <c r="A305" s="1">
        <v>301</v>
      </c>
      <c r="B305" s="56" t="s">
        <v>1119</v>
      </c>
      <c r="C305" s="57" t="s">
        <v>1120</v>
      </c>
      <c r="D305" s="57" t="s">
        <v>1117</v>
      </c>
      <c r="E305" s="58" t="s">
        <v>368</v>
      </c>
      <c r="F305" s="58" t="s">
        <v>1121</v>
      </c>
      <c r="G305" s="58"/>
      <c r="H305" s="58"/>
      <c r="I305" s="57">
        <v>320</v>
      </c>
      <c r="J305" s="79">
        <f t="shared" si="12"/>
        <v>249.6</v>
      </c>
      <c r="K305" s="59"/>
      <c r="L305" s="84">
        <f t="shared" si="13"/>
        <v>0</v>
      </c>
      <c r="M305" s="60" t="s">
        <v>1092</v>
      </c>
      <c r="N305" s="56" t="s">
        <v>1122</v>
      </c>
      <c r="O305" s="57"/>
      <c r="P305" s="57"/>
      <c r="Q305" s="17" t="s">
        <v>19</v>
      </c>
      <c r="R305" s="70" t="str">
        <f>HYPERLINK("http://search.books.com.tw/search/query/key/9789869670531/cat/all
","
9789869670531")</f>
        <v xml:space="preserve">
9789869670531</v>
      </c>
    </row>
    <row r="306" spans="1:18" ht="115.5" hidden="1" x14ac:dyDescent="0.25">
      <c r="A306" s="1">
        <v>302</v>
      </c>
      <c r="B306" s="56" t="s">
        <v>1123</v>
      </c>
      <c r="C306" s="57" t="s">
        <v>1124</v>
      </c>
      <c r="D306" s="57" t="s">
        <v>1125</v>
      </c>
      <c r="E306" s="58" t="s">
        <v>363</v>
      </c>
      <c r="F306" s="58" t="s">
        <v>1126</v>
      </c>
      <c r="G306" s="58"/>
      <c r="H306" s="58"/>
      <c r="I306" s="57">
        <v>580</v>
      </c>
      <c r="J306" s="79">
        <f t="shared" si="12"/>
        <v>452.4</v>
      </c>
      <c r="K306" s="59"/>
      <c r="L306" s="84">
        <f t="shared" si="13"/>
        <v>0</v>
      </c>
      <c r="M306" s="60" t="s">
        <v>1074</v>
      </c>
      <c r="N306" s="56" t="s">
        <v>1127</v>
      </c>
      <c r="O306" s="57"/>
      <c r="P306" s="57"/>
      <c r="Q306" s="17" t="s">
        <v>19</v>
      </c>
      <c r="R306" s="70" t="str">
        <f>HYPERLINK("http://search.books.com.tw/search/query/key/9789863571339/cat/all
","
9789863571339")</f>
        <v xml:space="preserve">
9789863571339</v>
      </c>
    </row>
    <row r="307" spans="1:18" ht="82.5" hidden="1" x14ac:dyDescent="0.25">
      <c r="A307" s="1">
        <v>303</v>
      </c>
      <c r="B307" s="56" t="s">
        <v>1128</v>
      </c>
      <c r="C307" s="57" t="s">
        <v>1129</v>
      </c>
      <c r="D307" s="57" t="s">
        <v>1125</v>
      </c>
      <c r="E307" s="58" t="s">
        <v>363</v>
      </c>
      <c r="F307" s="58" t="s">
        <v>1130</v>
      </c>
      <c r="G307" s="58"/>
      <c r="H307" s="58"/>
      <c r="I307" s="57">
        <v>450</v>
      </c>
      <c r="J307" s="79">
        <f t="shared" si="12"/>
        <v>351</v>
      </c>
      <c r="K307" s="59"/>
      <c r="L307" s="84">
        <f t="shared" si="13"/>
        <v>0</v>
      </c>
      <c r="M307" s="60" t="s">
        <v>1074</v>
      </c>
      <c r="N307" s="56" t="s">
        <v>1131</v>
      </c>
      <c r="O307" s="57"/>
      <c r="P307" s="57"/>
      <c r="Q307" s="17" t="s">
        <v>19</v>
      </c>
      <c r="R307" s="70" t="str">
        <f>HYPERLINK("http://search.books.com.tw/search/query/key/9789863571346/cat/all
","
9789863571346")</f>
        <v xml:space="preserve">
9789863571346</v>
      </c>
    </row>
    <row r="308" spans="1:18" hidden="1" x14ac:dyDescent="0.25">
      <c r="A308" s="1">
        <v>304</v>
      </c>
      <c r="B308" s="56" t="s">
        <v>1132</v>
      </c>
      <c r="C308" s="57" t="s">
        <v>1133</v>
      </c>
      <c r="D308" s="57" t="s">
        <v>1134</v>
      </c>
      <c r="E308" s="58" t="s">
        <v>368</v>
      </c>
      <c r="F308" s="58" t="s">
        <v>1135</v>
      </c>
      <c r="G308" s="58"/>
      <c r="H308" s="58"/>
      <c r="I308" s="57">
        <v>380</v>
      </c>
      <c r="J308" s="79">
        <f t="shared" si="12"/>
        <v>296.39999999999998</v>
      </c>
      <c r="K308" s="59"/>
      <c r="L308" s="84">
        <f t="shared" si="13"/>
        <v>0</v>
      </c>
      <c r="M308" s="60" t="s">
        <v>1092</v>
      </c>
      <c r="N308" s="57" t="s">
        <v>1136</v>
      </c>
      <c r="O308" s="57"/>
      <c r="P308" s="57"/>
      <c r="Q308" s="17" t="s">
        <v>19</v>
      </c>
      <c r="R308" s="70" t="str">
        <f>HYPERLINK("http://search.books.com.tw/search/query/key/9789869673419/cat/all
","
9789869673419")</f>
        <v xml:space="preserve">
9789869673419</v>
      </c>
    </row>
    <row r="309" spans="1:18" ht="33" hidden="1" x14ac:dyDescent="0.25">
      <c r="A309" s="1">
        <v>305</v>
      </c>
      <c r="B309" s="56" t="s">
        <v>1137</v>
      </c>
      <c r="C309" s="57" t="s">
        <v>1138</v>
      </c>
      <c r="D309" s="57" t="s">
        <v>930</v>
      </c>
      <c r="E309" s="58" t="s">
        <v>368</v>
      </c>
      <c r="F309" s="58" t="s">
        <v>1139</v>
      </c>
      <c r="G309" s="58"/>
      <c r="H309" s="58"/>
      <c r="I309" s="57">
        <v>430</v>
      </c>
      <c r="J309" s="79">
        <f t="shared" si="12"/>
        <v>335.4</v>
      </c>
      <c r="K309" s="59"/>
      <c r="L309" s="84">
        <f t="shared" si="13"/>
        <v>0</v>
      </c>
      <c r="M309" s="60" t="s">
        <v>1092</v>
      </c>
      <c r="N309" s="57" t="s">
        <v>1140</v>
      </c>
      <c r="O309" s="57"/>
      <c r="P309" s="57"/>
      <c r="Q309" s="17" t="s">
        <v>19</v>
      </c>
      <c r="R309" s="70" t="str">
        <f>HYPERLINK("http://search.books.com.tw/search/query/key/9789869634861/cat/all
","
9789869634861")</f>
        <v xml:space="preserve">
9789869634861</v>
      </c>
    </row>
    <row r="310" spans="1:18" ht="33" hidden="1" x14ac:dyDescent="0.25">
      <c r="A310" s="1">
        <v>306</v>
      </c>
      <c r="B310" s="56" t="s">
        <v>1141</v>
      </c>
      <c r="C310" s="57" t="s">
        <v>1142</v>
      </c>
      <c r="D310" s="57" t="s">
        <v>561</v>
      </c>
      <c r="E310" s="58" t="s">
        <v>363</v>
      </c>
      <c r="F310" s="58" t="s">
        <v>1143</v>
      </c>
      <c r="G310" s="58"/>
      <c r="H310" s="58"/>
      <c r="I310" s="57">
        <v>350</v>
      </c>
      <c r="J310" s="79">
        <f t="shared" si="12"/>
        <v>273</v>
      </c>
      <c r="K310" s="59"/>
      <c r="L310" s="84">
        <f t="shared" si="13"/>
        <v>0</v>
      </c>
      <c r="M310" s="60" t="s">
        <v>1074</v>
      </c>
      <c r="N310" s="57"/>
      <c r="O310" s="57"/>
      <c r="P310" s="57"/>
      <c r="Q310" s="17" t="s">
        <v>19</v>
      </c>
      <c r="R310" s="70" t="str">
        <f>HYPERLINK("http://search.books.com.tw/search/query/key/9789863843122/cat/all
","
9789863843122")</f>
        <v xml:space="preserve">
9789863843122</v>
      </c>
    </row>
    <row r="311" spans="1:18" ht="33" hidden="1" x14ac:dyDescent="0.25">
      <c r="A311" s="1">
        <v>307</v>
      </c>
      <c r="B311" s="56" t="s">
        <v>1144</v>
      </c>
      <c r="C311" s="57" t="s">
        <v>1145</v>
      </c>
      <c r="D311" s="57" t="s">
        <v>1146</v>
      </c>
      <c r="E311" s="58" t="s">
        <v>363</v>
      </c>
      <c r="F311" s="58" t="s">
        <v>1147</v>
      </c>
      <c r="G311" s="58"/>
      <c r="H311" s="58"/>
      <c r="I311" s="57">
        <v>300</v>
      </c>
      <c r="J311" s="79">
        <f t="shared" si="12"/>
        <v>234</v>
      </c>
      <c r="K311" s="59"/>
      <c r="L311" s="84">
        <f t="shared" si="13"/>
        <v>0</v>
      </c>
      <c r="M311" s="60" t="s">
        <v>1074</v>
      </c>
      <c r="N311" s="57"/>
      <c r="O311" s="57"/>
      <c r="P311" s="57"/>
      <c r="Q311" s="17" t="s">
        <v>19</v>
      </c>
      <c r="R311" s="70" t="str">
        <f>HYPERLINK("http://search.books.com.tw/search/query/key/9789869603041/cat/all
","
9789869603041")</f>
        <v xml:space="preserve">
9789869603041</v>
      </c>
    </row>
    <row r="312" spans="1:18" ht="33" hidden="1" x14ac:dyDescent="0.25">
      <c r="A312" s="1">
        <v>308</v>
      </c>
      <c r="B312" s="56" t="s">
        <v>1148</v>
      </c>
      <c r="C312" s="57" t="s">
        <v>1149</v>
      </c>
      <c r="D312" s="57" t="s">
        <v>773</v>
      </c>
      <c r="E312" s="58" t="s">
        <v>368</v>
      </c>
      <c r="F312" s="58" t="s">
        <v>1150</v>
      </c>
      <c r="G312" s="58"/>
      <c r="H312" s="58"/>
      <c r="I312" s="57">
        <v>320</v>
      </c>
      <c r="J312" s="79">
        <f t="shared" si="12"/>
        <v>249.6</v>
      </c>
      <c r="K312" s="59"/>
      <c r="L312" s="84">
        <f t="shared" si="13"/>
        <v>0</v>
      </c>
      <c r="M312" s="60" t="s">
        <v>1092</v>
      </c>
      <c r="N312" s="57"/>
      <c r="O312" s="57"/>
      <c r="P312" s="57"/>
      <c r="Q312" s="17" t="s">
        <v>19</v>
      </c>
      <c r="R312" s="70" t="str">
        <f>HYPERLINK("http://search.books.com.tw/search/query/key/9789578799530/cat/all
","
9789578799530")</f>
        <v xml:space="preserve">
9789578799530</v>
      </c>
    </row>
    <row r="313" spans="1:18" ht="33" hidden="1" x14ac:dyDescent="0.25">
      <c r="A313" s="1">
        <v>309</v>
      </c>
      <c r="B313" s="56" t="s">
        <v>1151</v>
      </c>
      <c r="C313" s="57" t="s">
        <v>1152</v>
      </c>
      <c r="D313" s="57" t="s">
        <v>1153</v>
      </c>
      <c r="E313" s="58" t="s">
        <v>363</v>
      </c>
      <c r="F313" s="58" t="s">
        <v>1154</v>
      </c>
      <c r="G313" s="58"/>
      <c r="H313" s="58"/>
      <c r="I313" s="57">
        <v>350</v>
      </c>
      <c r="J313" s="79">
        <f t="shared" si="12"/>
        <v>273</v>
      </c>
      <c r="K313" s="59"/>
      <c r="L313" s="84">
        <f t="shared" si="13"/>
        <v>0</v>
      </c>
      <c r="M313" s="60" t="s">
        <v>1092</v>
      </c>
      <c r="N313" s="56" t="s">
        <v>1155</v>
      </c>
      <c r="O313" s="57"/>
      <c r="P313" s="57"/>
      <c r="Q313" s="17" t="s">
        <v>19</v>
      </c>
      <c r="R313" s="70" t="str">
        <f>HYPERLINK("http://search.books.com.tw/search/query/key/9789865626785/cat/all
","
9789865626785")</f>
        <v xml:space="preserve">
9789865626785</v>
      </c>
    </row>
    <row r="314" spans="1:18" hidden="1" x14ac:dyDescent="0.25">
      <c r="A314" s="1">
        <v>310</v>
      </c>
      <c r="B314" s="56" t="s">
        <v>1156</v>
      </c>
      <c r="C314" s="57" t="s">
        <v>1157</v>
      </c>
      <c r="D314" s="57" t="s">
        <v>1153</v>
      </c>
      <c r="E314" s="58" t="s">
        <v>363</v>
      </c>
      <c r="F314" s="58" t="s">
        <v>1158</v>
      </c>
      <c r="G314" s="58"/>
      <c r="H314" s="58"/>
      <c r="I314" s="57">
        <v>350</v>
      </c>
      <c r="J314" s="79">
        <f t="shared" si="12"/>
        <v>273</v>
      </c>
      <c r="K314" s="59"/>
      <c r="L314" s="84">
        <f t="shared" si="13"/>
        <v>0</v>
      </c>
      <c r="M314" s="60" t="s">
        <v>1074</v>
      </c>
      <c r="N314" s="57"/>
      <c r="O314" s="57"/>
      <c r="P314" s="57"/>
      <c r="Q314" s="17" t="s">
        <v>19</v>
      </c>
      <c r="R314" s="70" t="str">
        <f>HYPERLINK("http://search.books.com.tw/search/query/key/9789865626792/cat/all
","
9789865626792")</f>
        <v xml:space="preserve">
9789865626792</v>
      </c>
    </row>
    <row r="315" spans="1:18" hidden="1" x14ac:dyDescent="0.25">
      <c r="A315" s="1">
        <v>311</v>
      </c>
      <c r="B315" s="56" t="s">
        <v>1159</v>
      </c>
      <c r="C315" s="57" t="s">
        <v>1160</v>
      </c>
      <c r="D315" s="57" t="s">
        <v>1161</v>
      </c>
      <c r="E315" s="58" t="s">
        <v>363</v>
      </c>
      <c r="F315" s="58" t="s">
        <v>1162</v>
      </c>
      <c r="G315" s="58"/>
      <c r="H315" s="58"/>
      <c r="I315" s="57">
        <v>320</v>
      </c>
      <c r="J315" s="79">
        <f t="shared" si="12"/>
        <v>249.6</v>
      </c>
      <c r="K315" s="59"/>
      <c r="L315" s="84">
        <f t="shared" si="13"/>
        <v>0</v>
      </c>
      <c r="M315" s="60" t="s">
        <v>1092</v>
      </c>
      <c r="N315" s="57"/>
      <c r="O315" s="57"/>
      <c r="P315" s="57"/>
      <c r="Q315" s="17" t="s">
        <v>19</v>
      </c>
      <c r="R315" s="70" t="str">
        <f>HYPERLINK("http://search.books.com.tw/search/query/key/9789861755113/cat/all
","
9789861755113")</f>
        <v xml:space="preserve">
9789861755113</v>
      </c>
    </row>
    <row r="316" spans="1:18" ht="33" hidden="1" x14ac:dyDescent="0.25">
      <c r="A316" s="1">
        <v>312</v>
      </c>
      <c r="B316" s="56" t="s">
        <v>1163</v>
      </c>
      <c r="C316" s="57" t="s">
        <v>1164</v>
      </c>
      <c r="D316" s="57" t="s">
        <v>1165</v>
      </c>
      <c r="E316" s="58" t="s">
        <v>363</v>
      </c>
      <c r="F316" s="58" t="s">
        <v>1166</v>
      </c>
      <c r="G316" s="58"/>
      <c r="H316" s="58"/>
      <c r="I316" s="57">
        <v>280</v>
      </c>
      <c r="J316" s="79">
        <f t="shared" si="12"/>
        <v>218.4</v>
      </c>
      <c r="K316" s="59"/>
      <c r="L316" s="84">
        <f t="shared" si="13"/>
        <v>0</v>
      </c>
      <c r="M316" s="60" t="s">
        <v>1092</v>
      </c>
      <c r="N316" s="57" t="s">
        <v>1167</v>
      </c>
      <c r="O316" s="57"/>
      <c r="P316" s="57"/>
      <c r="Q316" s="17" t="s">
        <v>19</v>
      </c>
      <c r="R316" s="70" t="str">
        <f>HYPERLINK("http://search.books.com.tw/search/query/key/9789861372648/cat/all
","
9789861372648")</f>
        <v xml:space="preserve">
9789861372648</v>
      </c>
    </row>
    <row r="317" spans="1:18" ht="66" hidden="1" x14ac:dyDescent="0.25">
      <c r="A317" s="1">
        <v>313</v>
      </c>
      <c r="B317" s="56" t="s">
        <v>1168</v>
      </c>
      <c r="C317" s="57" t="s">
        <v>1169</v>
      </c>
      <c r="D317" s="57" t="s">
        <v>1170</v>
      </c>
      <c r="E317" s="58" t="s">
        <v>363</v>
      </c>
      <c r="F317" s="58" t="s">
        <v>1171</v>
      </c>
      <c r="G317" s="58"/>
      <c r="H317" s="58"/>
      <c r="I317" s="57">
        <v>280</v>
      </c>
      <c r="J317" s="79">
        <f t="shared" si="12"/>
        <v>218.4</v>
      </c>
      <c r="K317" s="59"/>
      <c r="L317" s="84">
        <f t="shared" si="13"/>
        <v>0</v>
      </c>
      <c r="M317" s="60" t="s">
        <v>1092</v>
      </c>
      <c r="N317" s="56" t="s">
        <v>1172</v>
      </c>
      <c r="O317" s="57"/>
      <c r="P317" s="57"/>
      <c r="Q317" s="17" t="s">
        <v>19</v>
      </c>
      <c r="R317" s="70" t="str">
        <f>HYPERLINK("http://search.books.com.tw/search/query/key/9789861336732/cat/all
","
9789861336732")</f>
        <v xml:space="preserve">
9789861336732</v>
      </c>
    </row>
    <row r="318" spans="1:18" ht="33" hidden="1" x14ac:dyDescent="0.25">
      <c r="A318" s="1">
        <v>314</v>
      </c>
      <c r="B318" s="56" t="s">
        <v>1173</v>
      </c>
      <c r="C318" s="57" t="s">
        <v>1174</v>
      </c>
      <c r="D318" s="57" t="s">
        <v>569</v>
      </c>
      <c r="E318" s="58" t="s">
        <v>363</v>
      </c>
      <c r="F318" s="58" t="s">
        <v>1175</v>
      </c>
      <c r="G318" s="58"/>
      <c r="H318" s="58"/>
      <c r="I318" s="57">
        <v>300</v>
      </c>
      <c r="J318" s="79">
        <f t="shared" si="12"/>
        <v>234</v>
      </c>
      <c r="K318" s="59"/>
      <c r="L318" s="84">
        <f t="shared" si="13"/>
        <v>0</v>
      </c>
      <c r="M318" s="60" t="s">
        <v>1074</v>
      </c>
      <c r="N318" s="57"/>
      <c r="O318" s="57"/>
      <c r="P318" s="57"/>
      <c r="Q318" s="17" t="s">
        <v>19</v>
      </c>
      <c r="R318" s="70" t="str">
        <f>HYPERLINK("http://search.books.com.tw/search/query/key/9789864757985/cat/all
","
9789864757985")</f>
        <v xml:space="preserve">
9789864757985</v>
      </c>
    </row>
    <row r="319" spans="1:18" ht="33" hidden="1" x14ac:dyDescent="0.25">
      <c r="A319" s="1">
        <v>315</v>
      </c>
      <c r="B319" s="56" t="s">
        <v>1176</v>
      </c>
      <c r="C319" s="57" t="s">
        <v>1177</v>
      </c>
      <c r="D319" s="57" t="s">
        <v>1178</v>
      </c>
      <c r="E319" s="58" t="s">
        <v>363</v>
      </c>
      <c r="F319" s="58" t="s">
        <v>1179</v>
      </c>
      <c r="G319" s="58"/>
      <c r="H319" s="58"/>
      <c r="I319" s="57">
        <v>480</v>
      </c>
      <c r="J319" s="79">
        <f t="shared" si="12"/>
        <v>374.4</v>
      </c>
      <c r="K319" s="59"/>
      <c r="L319" s="84">
        <f t="shared" si="13"/>
        <v>0</v>
      </c>
      <c r="M319" s="60" t="s">
        <v>1092</v>
      </c>
      <c r="N319" s="57"/>
      <c r="O319" s="57"/>
      <c r="P319" s="57"/>
      <c r="Q319" s="17" t="s">
        <v>19</v>
      </c>
      <c r="R319" s="70" t="str">
        <f>HYPERLINK("http://search.books.com.tw/search/query/key/9789869704656/cat/all
","
9789869704656")</f>
        <v xml:space="preserve">
9789869704656</v>
      </c>
    </row>
    <row r="320" spans="1:18" ht="33" hidden="1" x14ac:dyDescent="0.25">
      <c r="A320" s="1">
        <v>316</v>
      </c>
      <c r="B320" s="56" t="s">
        <v>1180</v>
      </c>
      <c r="C320" s="57" t="s">
        <v>1181</v>
      </c>
      <c r="D320" s="57" t="s">
        <v>1178</v>
      </c>
      <c r="E320" s="58" t="s">
        <v>368</v>
      </c>
      <c r="F320" s="58" t="s">
        <v>1182</v>
      </c>
      <c r="G320" s="58"/>
      <c r="H320" s="58"/>
      <c r="I320" s="57">
        <v>300</v>
      </c>
      <c r="J320" s="79">
        <f t="shared" si="12"/>
        <v>234</v>
      </c>
      <c r="K320" s="59"/>
      <c r="L320" s="84">
        <f t="shared" si="13"/>
        <v>0</v>
      </c>
      <c r="M320" s="60" t="s">
        <v>1092</v>
      </c>
      <c r="N320" s="57"/>
      <c r="O320" s="57"/>
      <c r="P320" s="57"/>
      <c r="Q320" s="17" t="s">
        <v>19</v>
      </c>
      <c r="R320" s="70" t="str">
        <f>HYPERLINK("http://search.books.com.tw/search/query/key/9789869704632/cat/all
","
9789869704632")</f>
        <v xml:space="preserve">
9789869704632</v>
      </c>
    </row>
    <row r="321" spans="1:18" ht="49.5" hidden="1" x14ac:dyDescent="0.25">
      <c r="A321" s="1">
        <v>317</v>
      </c>
      <c r="B321" s="56" t="s">
        <v>1183</v>
      </c>
      <c r="C321" s="57" t="s">
        <v>1184</v>
      </c>
      <c r="D321" s="57" t="s">
        <v>956</v>
      </c>
      <c r="E321" s="58" t="s">
        <v>363</v>
      </c>
      <c r="F321" s="58" t="s">
        <v>1185</v>
      </c>
      <c r="G321" s="58"/>
      <c r="H321" s="58"/>
      <c r="I321" s="57">
        <v>399</v>
      </c>
      <c r="J321" s="79">
        <f t="shared" si="12"/>
        <v>311.22000000000003</v>
      </c>
      <c r="K321" s="59"/>
      <c r="L321" s="84">
        <f t="shared" si="13"/>
        <v>0</v>
      </c>
      <c r="M321" s="60" t="s">
        <v>1074</v>
      </c>
      <c r="N321" s="56" t="s">
        <v>1186</v>
      </c>
      <c r="O321" s="57"/>
      <c r="P321" s="57"/>
      <c r="Q321" s="17" t="s">
        <v>19</v>
      </c>
      <c r="R321" s="70" t="str">
        <f>HYPERLINK("http://search.books.com.tw/search/query/key/9789579164658/cat/all
","
9789579164658")</f>
        <v xml:space="preserve">
9789579164658</v>
      </c>
    </row>
    <row r="322" spans="1:18" ht="33" hidden="1" x14ac:dyDescent="0.25">
      <c r="A322" s="1">
        <v>318</v>
      </c>
      <c r="B322" s="56" t="s">
        <v>1187</v>
      </c>
      <c r="C322" s="57" t="s">
        <v>1188</v>
      </c>
      <c r="D322" s="57" t="s">
        <v>956</v>
      </c>
      <c r="E322" s="58" t="s">
        <v>363</v>
      </c>
      <c r="F322" s="58" t="s">
        <v>1189</v>
      </c>
      <c r="G322" s="58"/>
      <c r="H322" s="58"/>
      <c r="I322" s="57">
        <v>340</v>
      </c>
      <c r="J322" s="79">
        <f t="shared" si="12"/>
        <v>265.2</v>
      </c>
      <c r="K322" s="59"/>
      <c r="L322" s="84">
        <f t="shared" si="13"/>
        <v>0</v>
      </c>
      <c r="M322" s="60" t="s">
        <v>1074</v>
      </c>
      <c r="N322" s="57"/>
      <c r="O322" s="57"/>
      <c r="P322" s="57"/>
      <c r="Q322" s="17" t="s">
        <v>19</v>
      </c>
      <c r="R322" s="70" t="str">
        <f>HYPERLINK("http://search.books.com.tw/search/query/key/9789579164610/cat/all
","
9789579164610")</f>
        <v xml:space="preserve">
9789579164610</v>
      </c>
    </row>
    <row r="323" spans="1:18" hidden="1" x14ac:dyDescent="0.25">
      <c r="A323" s="1">
        <v>319</v>
      </c>
      <c r="B323" s="56" t="s">
        <v>1190</v>
      </c>
      <c r="C323" s="57" t="s">
        <v>1191</v>
      </c>
      <c r="D323" s="57" t="s">
        <v>1192</v>
      </c>
      <c r="E323" s="58" t="s">
        <v>368</v>
      </c>
      <c r="F323" s="58" t="s">
        <v>1193</v>
      </c>
      <c r="G323" s="58"/>
      <c r="H323" s="58"/>
      <c r="I323" s="57">
        <v>199</v>
      </c>
      <c r="J323" s="79">
        <f t="shared" si="12"/>
        <v>155.22</v>
      </c>
      <c r="K323" s="59"/>
      <c r="L323" s="84">
        <f t="shared" si="13"/>
        <v>0</v>
      </c>
      <c r="M323" s="60" t="s">
        <v>1092</v>
      </c>
      <c r="N323" s="57"/>
      <c r="O323" s="57"/>
      <c r="P323" s="57"/>
      <c r="Q323" s="17" t="s">
        <v>19</v>
      </c>
      <c r="R323" s="70" t="str">
        <f>HYPERLINK("http://search.books.com.tw/search/query/key/9789869624893/cat/all
","
9789869624893")</f>
        <v xml:space="preserve">
9789869624893</v>
      </c>
    </row>
    <row r="324" spans="1:18" hidden="1" x14ac:dyDescent="0.25">
      <c r="A324" s="1">
        <v>320</v>
      </c>
      <c r="B324" s="56" t="s">
        <v>1194</v>
      </c>
      <c r="C324" s="57" t="s">
        <v>1195</v>
      </c>
      <c r="D324" s="57" t="s">
        <v>1196</v>
      </c>
      <c r="E324" s="58" t="s">
        <v>363</v>
      </c>
      <c r="F324" s="58" t="s">
        <v>1197</v>
      </c>
      <c r="G324" s="58"/>
      <c r="H324" s="58"/>
      <c r="I324" s="57">
        <v>250</v>
      </c>
      <c r="J324" s="79">
        <f t="shared" si="12"/>
        <v>195</v>
      </c>
      <c r="K324" s="59"/>
      <c r="L324" s="84">
        <f t="shared" si="13"/>
        <v>0</v>
      </c>
      <c r="M324" s="60" t="s">
        <v>1074</v>
      </c>
      <c r="N324" s="57"/>
      <c r="O324" s="57"/>
      <c r="P324" s="57"/>
      <c r="Q324" s="17" t="s">
        <v>19</v>
      </c>
      <c r="R324" s="70" t="str">
        <f>HYPERLINK("http://search.books.com.tw/search/query/key/9789869642965/cat/all
","
9789869642965")</f>
        <v xml:space="preserve">
9789869642965</v>
      </c>
    </row>
    <row r="325" spans="1:18" hidden="1" x14ac:dyDescent="0.25">
      <c r="A325" s="1">
        <v>321</v>
      </c>
      <c r="B325" s="56" t="s">
        <v>1198</v>
      </c>
      <c r="C325" s="57" t="s">
        <v>1199</v>
      </c>
      <c r="D325" s="57" t="s">
        <v>1200</v>
      </c>
      <c r="E325" s="58" t="s">
        <v>368</v>
      </c>
      <c r="F325" s="58" t="s">
        <v>1201</v>
      </c>
      <c r="G325" s="58"/>
      <c r="H325" s="58"/>
      <c r="I325" s="57">
        <v>360</v>
      </c>
      <c r="J325" s="79">
        <f t="shared" si="12"/>
        <v>280.8</v>
      </c>
      <c r="K325" s="59"/>
      <c r="L325" s="84">
        <f t="shared" si="13"/>
        <v>0</v>
      </c>
      <c r="M325" s="60" t="s">
        <v>1092</v>
      </c>
      <c r="N325" s="57"/>
      <c r="O325" s="57"/>
      <c r="P325" s="57"/>
      <c r="Q325" s="17" t="s">
        <v>19</v>
      </c>
      <c r="R325" s="70" t="str">
        <f>HYPERLINK("http://search.books.com.tw/search/query/key/9789864452774/cat/all
","
9789864452774")</f>
        <v xml:space="preserve">
9789864452774</v>
      </c>
    </row>
    <row r="326" spans="1:18" ht="33" hidden="1" x14ac:dyDescent="0.25">
      <c r="A326" s="1">
        <v>322</v>
      </c>
      <c r="B326" s="56" t="s">
        <v>1202</v>
      </c>
      <c r="C326" s="57" t="s">
        <v>1203</v>
      </c>
      <c r="D326" s="57" t="s">
        <v>1204</v>
      </c>
      <c r="E326" s="58" t="s">
        <v>363</v>
      </c>
      <c r="F326" s="58" t="s">
        <v>1205</v>
      </c>
      <c r="G326" s="58"/>
      <c r="H326" s="58"/>
      <c r="I326" s="57">
        <v>340</v>
      </c>
      <c r="J326" s="79">
        <f t="shared" ref="J326:J389" si="14">ROUND(I326*0.78,2)</f>
        <v>265.2</v>
      </c>
      <c r="K326" s="59"/>
      <c r="L326" s="84">
        <f t="shared" ref="L326:L389" si="15">K326*J326</f>
        <v>0</v>
      </c>
      <c r="M326" s="60" t="s">
        <v>1074</v>
      </c>
      <c r="N326" s="57"/>
      <c r="O326" s="57"/>
      <c r="P326" s="57"/>
      <c r="Q326" s="17" t="s">
        <v>19</v>
      </c>
      <c r="R326" s="70" t="str">
        <f>HYPERLINK("http://search.books.com.tw/search/query/key/9789869693769/cat/all
","
9789869693769")</f>
        <v xml:space="preserve">
9789869693769</v>
      </c>
    </row>
    <row r="327" spans="1:18" ht="33" hidden="1" x14ac:dyDescent="0.25">
      <c r="A327" s="1">
        <v>323</v>
      </c>
      <c r="B327" s="56" t="s">
        <v>1206</v>
      </c>
      <c r="C327" s="57" t="s">
        <v>1207</v>
      </c>
      <c r="D327" s="57" t="s">
        <v>1208</v>
      </c>
      <c r="E327" s="58" t="s">
        <v>363</v>
      </c>
      <c r="F327" s="58" t="s">
        <v>1209</v>
      </c>
      <c r="G327" s="58"/>
      <c r="H327" s="58"/>
      <c r="I327" s="57">
        <v>270</v>
      </c>
      <c r="J327" s="79">
        <f t="shared" si="14"/>
        <v>210.6</v>
      </c>
      <c r="K327" s="59"/>
      <c r="L327" s="84">
        <f t="shared" si="15"/>
        <v>0</v>
      </c>
      <c r="M327" s="60" t="s">
        <v>1092</v>
      </c>
      <c r="N327" s="57"/>
      <c r="O327" s="57"/>
      <c r="P327" s="57"/>
      <c r="Q327" s="17" t="s">
        <v>19</v>
      </c>
      <c r="R327" s="70" t="str">
        <f>HYPERLINK("http://search.books.com.tw/search/query/key/9789578904583/cat/all
","
9789578904583")</f>
        <v xml:space="preserve">
9789578904583</v>
      </c>
    </row>
    <row r="328" spans="1:18" ht="49.5" hidden="1" x14ac:dyDescent="0.25">
      <c r="A328" s="1">
        <v>324</v>
      </c>
      <c r="B328" s="56" t="s">
        <v>1210</v>
      </c>
      <c r="C328" s="57" t="s">
        <v>1211</v>
      </c>
      <c r="D328" s="57" t="s">
        <v>1212</v>
      </c>
      <c r="E328" s="58" t="s">
        <v>363</v>
      </c>
      <c r="F328" s="58" t="s">
        <v>1213</v>
      </c>
      <c r="G328" s="58"/>
      <c r="H328" s="58"/>
      <c r="I328" s="57">
        <v>360</v>
      </c>
      <c r="J328" s="79">
        <f t="shared" si="14"/>
        <v>280.8</v>
      </c>
      <c r="K328" s="59"/>
      <c r="L328" s="84">
        <f t="shared" si="15"/>
        <v>0</v>
      </c>
      <c r="M328" s="60" t="s">
        <v>1092</v>
      </c>
      <c r="N328" s="57" t="s">
        <v>1214</v>
      </c>
      <c r="O328" s="57"/>
      <c r="P328" s="57"/>
      <c r="Q328" s="17" t="s">
        <v>19</v>
      </c>
      <c r="R328" s="70" t="str">
        <f>HYPERLINK("http://search.books.com.tw/search/query/key/9789578950702/cat/all
","
9789578950702")</f>
        <v xml:space="preserve">
9789578950702</v>
      </c>
    </row>
    <row r="329" spans="1:18" hidden="1" x14ac:dyDescent="0.25">
      <c r="A329" s="1">
        <v>325</v>
      </c>
      <c r="B329" s="56" t="s">
        <v>1215</v>
      </c>
      <c r="C329" s="57" t="s">
        <v>1216</v>
      </c>
      <c r="D329" s="57" t="s">
        <v>1217</v>
      </c>
      <c r="E329" s="58" t="s">
        <v>368</v>
      </c>
      <c r="F329" s="58" t="s">
        <v>1218</v>
      </c>
      <c r="G329" s="58"/>
      <c r="H329" s="58"/>
      <c r="I329" s="57">
        <v>280</v>
      </c>
      <c r="J329" s="79">
        <f t="shared" si="14"/>
        <v>218.4</v>
      </c>
      <c r="K329" s="59"/>
      <c r="L329" s="84">
        <f t="shared" si="15"/>
        <v>0</v>
      </c>
      <c r="M329" s="60" t="s">
        <v>1092</v>
      </c>
      <c r="N329" s="57"/>
      <c r="O329" s="57"/>
      <c r="P329" s="57"/>
      <c r="Q329" s="17" t="s">
        <v>19</v>
      </c>
      <c r="R329" s="70" t="str">
        <f>HYPERLINK("http://search.books.com.tw/search/query/key/9789573334149/cat/all
","
9789573334149")</f>
        <v xml:space="preserve">
9789573334149</v>
      </c>
    </row>
    <row r="330" spans="1:18" ht="33" hidden="1" x14ac:dyDescent="0.25">
      <c r="A330" s="1">
        <v>326</v>
      </c>
      <c r="B330" s="56" t="s">
        <v>1219</v>
      </c>
      <c r="C330" s="57" t="s">
        <v>1220</v>
      </c>
      <c r="D330" s="57" t="s">
        <v>1221</v>
      </c>
      <c r="E330" s="58" t="s">
        <v>363</v>
      </c>
      <c r="F330" s="58" t="s">
        <v>1222</v>
      </c>
      <c r="G330" s="58"/>
      <c r="H330" s="58"/>
      <c r="I330" s="57">
        <v>320</v>
      </c>
      <c r="J330" s="79">
        <f t="shared" si="14"/>
        <v>249.6</v>
      </c>
      <c r="K330" s="59"/>
      <c r="L330" s="84">
        <f t="shared" si="15"/>
        <v>0</v>
      </c>
      <c r="M330" s="60" t="s">
        <v>1092</v>
      </c>
      <c r="N330" s="57"/>
      <c r="O330" s="57"/>
      <c r="P330" s="57"/>
      <c r="Q330" s="17" t="s">
        <v>19</v>
      </c>
      <c r="R330" s="70" t="str">
        <f>HYPERLINK("http://search.books.com.tw/search/query/key/9789869691819/cat/all
","
9789869691819")</f>
        <v xml:space="preserve">
9789869691819</v>
      </c>
    </row>
    <row r="331" spans="1:18" ht="49.5" hidden="1" x14ac:dyDescent="0.25">
      <c r="A331" s="1">
        <v>327</v>
      </c>
      <c r="B331" s="56" t="s">
        <v>1223</v>
      </c>
      <c r="C331" s="57" t="s">
        <v>1224</v>
      </c>
      <c r="D331" s="57" t="s">
        <v>427</v>
      </c>
      <c r="E331" s="58" t="s">
        <v>363</v>
      </c>
      <c r="F331" s="58" t="s">
        <v>1225</v>
      </c>
      <c r="G331" s="58"/>
      <c r="H331" s="58"/>
      <c r="I331" s="57">
        <v>320</v>
      </c>
      <c r="J331" s="79">
        <f t="shared" si="14"/>
        <v>249.6</v>
      </c>
      <c r="K331" s="59"/>
      <c r="L331" s="84">
        <f t="shared" si="15"/>
        <v>0</v>
      </c>
      <c r="M331" s="60" t="s">
        <v>1092</v>
      </c>
      <c r="N331" s="57"/>
      <c r="O331" s="57"/>
      <c r="P331" s="57"/>
      <c r="Q331" s="17" t="s">
        <v>19</v>
      </c>
      <c r="R331" s="70" t="str">
        <f>HYPERLINK("http://search.books.com.tw/search/query/key/9789571376301/cat/all
","
9789571376301")</f>
        <v xml:space="preserve">
9789571376301</v>
      </c>
    </row>
    <row r="332" spans="1:18" hidden="1" x14ac:dyDescent="0.25">
      <c r="A332" s="1">
        <v>328</v>
      </c>
      <c r="B332" s="56" t="s">
        <v>1226</v>
      </c>
      <c r="C332" s="57" t="s">
        <v>1227</v>
      </c>
      <c r="D332" s="57" t="s">
        <v>427</v>
      </c>
      <c r="E332" s="58" t="s">
        <v>363</v>
      </c>
      <c r="F332" s="58" t="s">
        <v>1228</v>
      </c>
      <c r="G332" s="58"/>
      <c r="H332" s="58"/>
      <c r="I332" s="57">
        <v>380</v>
      </c>
      <c r="J332" s="79">
        <f t="shared" si="14"/>
        <v>296.39999999999998</v>
      </c>
      <c r="K332" s="59"/>
      <c r="L332" s="84">
        <f t="shared" si="15"/>
        <v>0</v>
      </c>
      <c r="M332" s="60" t="s">
        <v>1074</v>
      </c>
      <c r="N332" s="57"/>
      <c r="O332" s="57"/>
      <c r="P332" s="57"/>
      <c r="Q332" s="17" t="s">
        <v>19</v>
      </c>
      <c r="R332" s="70" t="str">
        <f>HYPERLINK("http://search.books.com.tw/search/query/key/9789571376097/cat/all
","
9789571376097")</f>
        <v xml:space="preserve">
9789571376097</v>
      </c>
    </row>
    <row r="333" spans="1:18" ht="33" hidden="1" x14ac:dyDescent="0.25">
      <c r="A333" s="1">
        <v>329</v>
      </c>
      <c r="B333" s="56" t="s">
        <v>1229</v>
      </c>
      <c r="C333" s="57" t="s">
        <v>1230</v>
      </c>
      <c r="D333" s="57" t="s">
        <v>427</v>
      </c>
      <c r="E333" s="58" t="s">
        <v>363</v>
      </c>
      <c r="F333" s="58" t="s">
        <v>1231</v>
      </c>
      <c r="G333" s="58"/>
      <c r="H333" s="58"/>
      <c r="I333" s="57">
        <v>320</v>
      </c>
      <c r="J333" s="79">
        <f t="shared" si="14"/>
        <v>249.6</v>
      </c>
      <c r="K333" s="59"/>
      <c r="L333" s="84">
        <f t="shared" si="15"/>
        <v>0</v>
      </c>
      <c r="M333" s="60" t="s">
        <v>1092</v>
      </c>
      <c r="N333" s="57"/>
      <c r="O333" s="57"/>
      <c r="P333" s="57"/>
      <c r="Q333" s="17" t="s">
        <v>19</v>
      </c>
      <c r="R333" s="70" t="str">
        <f>HYPERLINK("http://search.books.com.tw/search/query/key/9789571376165/cat/all
","
9789571376165")</f>
        <v xml:space="preserve">
9789571376165</v>
      </c>
    </row>
    <row r="334" spans="1:18" ht="49.5" hidden="1" x14ac:dyDescent="0.25">
      <c r="A334" s="1">
        <v>330</v>
      </c>
      <c r="B334" s="56" t="s">
        <v>1232</v>
      </c>
      <c r="C334" s="57" t="s">
        <v>1233</v>
      </c>
      <c r="D334" s="57" t="s">
        <v>427</v>
      </c>
      <c r="E334" s="58" t="s">
        <v>363</v>
      </c>
      <c r="F334" s="58" t="s">
        <v>1234</v>
      </c>
      <c r="G334" s="58"/>
      <c r="H334" s="58"/>
      <c r="I334" s="57">
        <v>400</v>
      </c>
      <c r="J334" s="79">
        <f t="shared" si="14"/>
        <v>312</v>
      </c>
      <c r="K334" s="59"/>
      <c r="L334" s="84">
        <f t="shared" si="15"/>
        <v>0</v>
      </c>
      <c r="M334" s="60" t="s">
        <v>1074</v>
      </c>
      <c r="N334" s="57" t="s">
        <v>1235</v>
      </c>
      <c r="O334" s="57"/>
      <c r="P334" s="57"/>
      <c r="Q334" s="17" t="s">
        <v>19</v>
      </c>
      <c r="R334" s="70" t="str">
        <f>HYPERLINK("http://search.books.com.tw/search/query/key/9789571375809/cat/all
","
9789571375809")</f>
        <v xml:space="preserve">
9789571375809</v>
      </c>
    </row>
    <row r="335" spans="1:18" ht="33" hidden="1" x14ac:dyDescent="0.25">
      <c r="A335" s="1">
        <v>331</v>
      </c>
      <c r="B335" s="56" t="s">
        <v>1236</v>
      </c>
      <c r="C335" s="57" t="s">
        <v>1237</v>
      </c>
      <c r="D335" s="57" t="s">
        <v>427</v>
      </c>
      <c r="E335" s="58" t="s">
        <v>363</v>
      </c>
      <c r="F335" s="58" t="s">
        <v>1238</v>
      </c>
      <c r="G335" s="58"/>
      <c r="H335" s="58"/>
      <c r="I335" s="57">
        <v>320</v>
      </c>
      <c r="J335" s="79">
        <f t="shared" si="14"/>
        <v>249.6</v>
      </c>
      <c r="K335" s="59"/>
      <c r="L335" s="84">
        <f t="shared" si="15"/>
        <v>0</v>
      </c>
      <c r="M335" s="60" t="s">
        <v>1074</v>
      </c>
      <c r="N335" s="57"/>
      <c r="O335" s="57"/>
      <c r="P335" s="57"/>
      <c r="Q335" s="17" t="s">
        <v>19</v>
      </c>
      <c r="R335" s="70" t="str">
        <f>HYPERLINK("http://search.books.com.tw/search/query/key/9789571375984/cat/all
","
9789571375984")</f>
        <v xml:space="preserve">
9789571375984</v>
      </c>
    </row>
    <row r="336" spans="1:18" hidden="1" x14ac:dyDescent="0.25">
      <c r="A336" s="1">
        <v>332</v>
      </c>
      <c r="B336" s="56" t="s">
        <v>1239</v>
      </c>
      <c r="C336" s="57" t="s">
        <v>1240</v>
      </c>
      <c r="D336" s="57" t="s">
        <v>1241</v>
      </c>
      <c r="E336" s="58" t="s">
        <v>368</v>
      </c>
      <c r="F336" s="58" t="s">
        <v>1242</v>
      </c>
      <c r="G336" s="58"/>
      <c r="H336" s="58"/>
      <c r="I336" s="57">
        <v>360</v>
      </c>
      <c r="J336" s="79">
        <f t="shared" si="14"/>
        <v>280.8</v>
      </c>
      <c r="K336" s="59"/>
      <c r="L336" s="84">
        <f t="shared" si="15"/>
        <v>0</v>
      </c>
      <c r="M336" s="60" t="s">
        <v>1092</v>
      </c>
      <c r="N336" s="57"/>
      <c r="O336" s="57"/>
      <c r="P336" s="57"/>
      <c r="Q336" s="17" t="s">
        <v>19</v>
      </c>
      <c r="R336" s="70" t="str">
        <f>HYPERLINK("http://search.books.com.tw/search/query/key/9789579699532/cat/all
","
9789579699532")</f>
        <v xml:space="preserve">
9789579699532</v>
      </c>
    </row>
    <row r="337" spans="1:18" hidden="1" x14ac:dyDescent="0.25">
      <c r="A337" s="1">
        <v>333</v>
      </c>
      <c r="B337" s="56" t="s">
        <v>1243</v>
      </c>
      <c r="C337" s="57" t="s">
        <v>1244</v>
      </c>
      <c r="D337" s="57" t="s">
        <v>1245</v>
      </c>
      <c r="E337" s="58" t="s">
        <v>359</v>
      </c>
      <c r="F337" s="58" t="s">
        <v>1246</v>
      </c>
      <c r="G337" s="58"/>
      <c r="H337" s="58"/>
      <c r="I337" s="57">
        <v>320</v>
      </c>
      <c r="J337" s="79">
        <f t="shared" si="14"/>
        <v>249.6</v>
      </c>
      <c r="K337" s="59"/>
      <c r="L337" s="84">
        <f t="shared" si="15"/>
        <v>0</v>
      </c>
      <c r="M337" s="60" t="s">
        <v>1074</v>
      </c>
      <c r="N337" s="57"/>
      <c r="O337" s="57"/>
      <c r="P337" s="57"/>
      <c r="Q337" s="17" t="s">
        <v>19</v>
      </c>
      <c r="R337" s="70" t="str">
        <f>HYPERLINK("http://search.books.com.tw/search/query/key/4717702904258/cat/all
","
4717702904258")</f>
        <v xml:space="preserve">
4717702904258</v>
      </c>
    </row>
    <row r="338" spans="1:18" ht="49.5" hidden="1" x14ac:dyDescent="0.25">
      <c r="A338" s="1">
        <v>334</v>
      </c>
      <c r="B338" s="56" t="s">
        <v>1247</v>
      </c>
      <c r="C338" s="57" t="s">
        <v>1248</v>
      </c>
      <c r="D338" s="57" t="s">
        <v>1245</v>
      </c>
      <c r="E338" s="58" t="s">
        <v>363</v>
      </c>
      <c r="F338" s="58" t="s">
        <v>1249</v>
      </c>
      <c r="G338" s="58"/>
      <c r="H338" s="58"/>
      <c r="I338" s="57">
        <v>320</v>
      </c>
      <c r="J338" s="79">
        <f t="shared" si="14"/>
        <v>249.6</v>
      </c>
      <c r="K338" s="59"/>
      <c r="L338" s="84">
        <f t="shared" si="15"/>
        <v>0</v>
      </c>
      <c r="M338" s="60" t="s">
        <v>1074</v>
      </c>
      <c r="N338" s="57"/>
      <c r="O338" s="57"/>
      <c r="P338" s="57"/>
      <c r="Q338" s="17" t="s">
        <v>19</v>
      </c>
      <c r="R338" s="70" t="str">
        <f>HYPERLINK("http://search.books.com.tw/search/query/key/9789864775712/cat/all
","
9789864775712")</f>
        <v xml:space="preserve">
9789864775712</v>
      </c>
    </row>
    <row r="339" spans="1:18" ht="33" hidden="1" x14ac:dyDescent="0.25">
      <c r="A339" s="1">
        <v>335</v>
      </c>
      <c r="B339" s="56" t="s">
        <v>1250</v>
      </c>
      <c r="C339" s="57" t="s">
        <v>1251</v>
      </c>
      <c r="D339" s="57" t="s">
        <v>1252</v>
      </c>
      <c r="E339" s="58" t="s">
        <v>363</v>
      </c>
      <c r="F339" s="58" t="s">
        <v>1253</v>
      </c>
      <c r="G339" s="58"/>
      <c r="H339" s="58"/>
      <c r="I339" s="57">
        <v>380</v>
      </c>
      <c r="J339" s="79">
        <f t="shared" si="14"/>
        <v>296.39999999999998</v>
      </c>
      <c r="K339" s="59"/>
      <c r="L339" s="84">
        <f t="shared" si="15"/>
        <v>0</v>
      </c>
      <c r="M339" s="60" t="s">
        <v>1254</v>
      </c>
      <c r="N339" s="57"/>
      <c r="O339" s="57"/>
      <c r="P339" s="57"/>
      <c r="Q339" s="17" t="s">
        <v>19</v>
      </c>
      <c r="R339" s="70" t="str">
        <f>HYPERLINK("http://search.books.com.tw/search/query/key/9789864084487/cat/all
","
9789864084487")</f>
        <v xml:space="preserve">
9789864084487</v>
      </c>
    </row>
    <row r="340" spans="1:18" ht="66" hidden="1" x14ac:dyDescent="0.25">
      <c r="A340" s="1">
        <v>336</v>
      </c>
      <c r="B340" s="56" t="s">
        <v>1255</v>
      </c>
      <c r="C340" s="57" t="s">
        <v>1256</v>
      </c>
      <c r="D340" s="57" t="s">
        <v>1257</v>
      </c>
      <c r="E340" s="58" t="s">
        <v>368</v>
      </c>
      <c r="F340" s="58" t="s">
        <v>1258</v>
      </c>
      <c r="G340" s="58"/>
      <c r="H340" s="58"/>
      <c r="I340" s="57">
        <v>380</v>
      </c>
      <c r="J340" s="79">
        <f t="shared" si="14"/>
        <v>296.39999999999998</v>
      </c>
      <c r="K340" s="59"/>
      <c r="L340" s="84">
        <f t="shared" si="15"/>
        <v>0</v>
      </c>
      <c r="M340" s="60" t="s">
        <v>1092</v>
      </c>
      <c r="N340" s="57" t="s">
        <v>1259</v>
      </c>
      <c r="O340" s="57"/>
      <c r="P340" s="57"/>
      <c r="Q340" s="17" t="s">
        <v>19</v>
      </c>
      <c r="R340" s="70" t="str">
        <f>HYPERLINK("http://search.books.com.tw/search/query/key/9789865613877/cat/all
","
9789865613877")</f>
        <v xml:space="preserve">
9789865613877</v>
      </c>
    </row>
    <row r="341" spans="1:18" ht="66" hidden="1" x14ac:dyDescent="0.25">
      <c r="A341" s="1">
        <v>337</v>
      </c>
      <c r="B341" s="56" t="s">
        <v>1260</v>
      </c>
      <c r="C341" s="57" t="s">
        <v>1261</v>
      </c>
      <c r="D341" s="57" t="s">
        <v>1262</v>
      </c>
      <c r="E341" s="58" t="s">
        <v>368</v>
      </c>
      <c r="F341" s="58" t="s">
        <v>1263</v>
      </c>
      <c r="G341" s="58"/>
      <c r="H341" s="58"/>
      <c r="I341" s="57">
        <v>280</v>
      </c>
      <c r="J341" s="79">
        <f t="shared" si="14"/>
        <v>218.4</v>
      </c>
      <c r="K341" s="59"/>
      <c r="L341" s="84">
        <f t="shared" si="15"/>
        <v>0</v>
      </c>
      <c r="M341" s="60" t="s">
        <v>1092</v>
      </c>
      <c r="N341" s="56" t="s">
        <v>1264</v>
      </c>
      <c r="O341" s="57"/>
      <c r="P341" s="57"/>
      <c r="Q341" s="17" t="s">
        <v>19</v>
      </c>
      <c r="R341" s="70" t="str">
        <f>HYPERLINK("http://search.books.com.tw/search/query/key/9789863616214/cat/all
","
9789863616214")</f>
        <v xml:space="preserve">
9789863616214</v>
      </c>
    </row>
    <row r="342" spans="1:18" hidden="1" x14ac:dyDescent="0.25">
      <c r="A342" s="1">
        <v>338</v>
      </c>
      <c r="B342" s="56" t="s">
        <v>1265</v>
      </c>
      <c r="C342" s="57" t="s">
        <v>1266</v>
      </c>
      <c r="D342" s="57" t="s">
        <v>1262</v>
      </c>
      <c r="E342" s="58" t="s">
        <v>363</v>
      </c>
      <c r="F342" s="58" t="s">
        <v>1267</v>
      </c>
      <c r="G342" s="58"/>
      <c r="H342" s="58"/>
      <c r="I342" s="57">
        <v>260</v>
      </c>
      <c r="J342" s="79">
        <f t="shared" si="14"/>
        <v>202.8</v>
      </c>
      <c r="K342" s="59"/>
      <c r="L342" s="84">
        <f t="shared" si="15"/>
        <v>0</v>
      </c>
      <c r="M342" s="60" t="s">
        <v>1074</v>
      </c>
      <c r="N342" s="57"/>
      <c r="O342" s="57"/>
      <c r="P342" s="57"/>
      <c r="Q342" s="17" t="s">
        <v>19</v>
      </c>
      <c r="R342" s="70" t="str">
        <f>HYPERLINK("http://search.books.com.tw/search/query/key/9789863616092/cat/all
","
9789863616092")</f>
        <v xml:space="preserve">
9789863616092</v>
      </c>
    </row>
    <row r="343" spans="1:18" ht="33" hidden="1" x14ac:dyDescent="0.25">
      <c r="A343" s="1">
        <v>339</v>
      </c>
      <c r="B343" s="56" t="s">
        <v>1268</v>
      </c>
      <c r="C343" s="57" t="s">
        <v>1269</v>
      </c>
      <c r="D343" s="57" t="s">
        <v>1262</v>
      </c>
      <c r="E343" s="58" t="s">
        <v>363</v>
      </c>
      <c r="F343" s="58" t="s">
        <v>1270</v>
      </c>
      <c r="G343" s="58"/>
      <c r="H343" s="58"/>
      <c r="I343" s="57">
        <v>380</v>
      </c>
      <c r="J343" s="79">
        <f t="shared" si="14"/>
        <v>296.39999999999998</v>
      </c>
      <c r="K343" s="59"/>
      <c r="L343" s="84">
        <f t="shared" si="15"/>
        <v>0</v>
      </c>
      <c r="M343" s="60" t="s">
        <v>1074</v>
      </c>
      <c r="N343" s="57"/>
      <c r="O343" s="57"/>
      <c r="P343" s="57"/>
      <c r="Q343" s="17" t="s">
        <v>19</v>
      </c>
      <c r="R343" s="70" t="str">
        <f>HYPERLINK("http://search.books.com.tw/search/query/key/9789863616153/cat/all
","
9789863616153")</f>
        <v xml:space="preserve">
9789863616153</v>
      </c>
    </row>
    <row r="344" spans="1:18" ht="33" hidden="1" x14ac:dyDescent="0.25">
      <c r="A344" s="1">
        <v>340</v>
      </c>
      <c r="B344" s="56" t="s">
        <v>1271</v>
      </c>
      <c r="C344" s="57" t="s">
        <v>1272</v>
      </c>
      <c r="D344" s="57" t="s">
        <v>1273</v>
      </c>
      <c r="E344" s="58" t="s">
        <v>363</v>
      </c>
      <c r="F344" s="58" t="s">
        <v>1274</v>
      </c>
      <c r="G344" s="58"/>
      <c r="H344" s="58"/>
      <c r="I344" s="57">
        <v>300</v>
      </c>
      <c r="J344" s="79">
        <f t="shared" si="14"/>
        <v>234</v>
      </c>
      <c r="K344" s="59"/>
      <c r="L344" s="84">
        <f t="shared" si="15"/>
        <v>0</v>
      </c>
      <c r="M344" s="60" t="s">
        <v>1074</v>
      </c>
      <c r="N344" s="57"/>
      <c r="O344" s="57"/>
      <c r="P344" s="57"/>
      <c r="Q344" s="17" t="s">
        <v>19</v>
      </c>
      <c r="R344" s="70" t="str">
        <f>HYPERLINK("http://search.books.com.tw/search/query/key/9789576939235/cat/all
","
9789576939235")</f>
        <v xml:space="preserve">
9789576939235</v>
      </c>
    </row>
    <row r="345" spans="1:18" ht="33" hidden="1" x14ac:dyDescent="0.25">
      <c r="A345" s="1">
        <v>341</v>
      </c>
      <c r="B345" s="56" t="s">
        <v>1275</v>
      </c>
      <c r="C345" s="57" t="s">
        <v>1276</v>
      </c>
      <c r="D345" s="57" t="s">
        <v>706</v>
      </c>
      <c r="E345" s="58" t="s">
        <v>363</v>
      </c>
      <c r="F345" s="58" t="s">
        <v>1277</v>
      </c>
      <c r="G345" s="58"/>
      <c r="H345" s="58"/>
      <c r="I345" s="57">
        <v>350</v>
      </c>
      <c r="J345" s="79">
        <f t="shared" si="14"/>
        <v>273</v>
      </c>
      <c r="K345" s="59"/>
      <c r="L345" s="84">
        <f t="shared" si="15"/>
        <v>0</v>
      </c>
      <c r="M345" s="60" t="s">
        <v>1074</v>
      </c>
      <c r="N345" s="57" t="s">
        <v>1278</v>
      </c>
      <c r="O345" s="57"/>
      <c r="P345" s="57"/>
      <c r="Q345" s="17" t="s">
        <v>19</v>
      </c>
      <c r="R345" s="70" t="str">
        <f>HYPERLINK("http://search.books.com.tw/search/query/key/9789864002283/cat/all
","
9789864002283")</f>
        <v xml:space="preserve">
9789864002283</v>
      </c>
    </row>
    <row r="346" spans="1:18" hidden="1" x14ac:dyDescent="0.25">
      <c r="A346" s="1">
        <v>342</v>
      </c>
      <c r="B346" s="56" t="s">
        <v>1279</v>
      </c>
      <c r="C346" s="57" t="s">
        <v>1280</v>
      </c>
      <c r="D346" s="57" t="s">
        <v>1281</v>
      </c>
      <c r="E346" s="58" t="s">
        <v>359</v>
      </c>
      <c r="F346" s="58" t="s">
        <v>1282</v>
      </c>
      <c r="G346" s="58"/>
      <c r="H346" s="58"/>
      <c r="I346" s="57">
        <v>250</v>
      </c>
      <c r="J346" s="79">
        <f t="shared" si="14"/>
        <v>195</v>
      </c>
      <c r="K346" s="59"/>
      <c r="L346" s="84">
        <f t="shared" si="15"/>
        <v>0</v>
      </c>
      <c r="M346" s="60" t="s">
        <v>1074</v>
      </c>
      <c r="N346" s="57" t="s">
        <v>1283</v>
      </c>
      <c r="O346" s="57"/>
      <c r="P346" s="57"/>
      <c r="Q346" s="17" t="s">
        <v>19</v>
      </c>
      <c r="R346" s="70" t="str">
        <f>HYPERLINK("http://search.books.com.tw/search/query/key/9789575568504/cat/all
","
9789575568504")</f>
        <v xml:space="preserve">
9789575568504</v>
      </c>
    </row>
    <row r="347" spans="1:18" ht="33" hidden="1" x14ac:dyDescent="0.25">
      <c r="A347" s="1">
        <v>343</v>
      </c>
      <c r="B347" s="56" t="s">
        <v>1284</v>
      </c>
      <c r="C347" s="57" t="s">
        <v>1285</v>
      </c>
      <c r="D347" s="57" t="s">
        <v>714</v>
      </c>
      <c r="E347" s="58" t="s">
        <v>363</v>
      </c>
      <c r="F347" s="58" t="s">
        <v>1286</v>
      </c>
      <c r="G347" s="58"/>
      <c r="H347" s="58"/>
      <c r="I347" s="57">
        <v>370</v>
      </c>
      <c r="J347" s="79">
        <f t="shared" si="14"/>
        <v>288.60000000000002</v>
      </c>
      <c r="K347" s="59"/>
      <c r="L347" s="84">
        <f t="shared" si="15"/>
        <v>0</v>
      </c>
      <c r="M347" s="60" t="s">
        <v>1074</v>
      </c>
      <c r="N347" s="57"/>
      <c r="O347" s="57"/>
      <c r="P347" s="57"/>
      <c r="Q347" s="17" t="s">
        <v>19</v>
      </c>
      <c r="R347" s="70" t="str">
        <f>HYPERLINK("http://search.books.com.tw/search/query/key/9789573284093/cat/all
","
9789573284093")</f>
        <v xml:space="preserve">
9789573284093</v>
      </c>
    </row>
    <row r="348" spans="1:18" ht="49.5" hidden="1" x14ac:dyDescent="0.25">
      <c r="A348" s="1">
        <v>344</v>
      </c>
      <c r="B348" s="56" t="s">
        <v>1287</v>
      </c>
      <c r="C348" s="57" t="s">
        <v>1288</v>
      </c>
      <c r="D348" s="57" t="s">
        <v>728</v>
      </c>
      <c r="E348" s="58" t="s">
        <v>368</v>
      </c>
      <c r="F348" s="58" t="s">
        <v>1289</v>
      </c>
      <c r="G348" s="58"/>
      <c r="H348" s="58"/>
      <c r="I348" s="57">
        <v>380</v>
      </c>
      <c r="J348" s="79">
        <f t="shared" si="14"/>
        <v>296.39999999999998</v>
      </c>
      <c r="K348" s="59"/>
      <c r="L348" s="84">
        <f t="shared" si="15"/>
        <v>0</v>
      </c>
      <c r="M348" s="60" t="s">
        <v>1092</v>
      </c>
      <c r="N348" s="57" t="s">
        <v>1290</v>
      </c>
      <c r="O348" s="57"/>
      <c r="P348" s="57"/>
      <c r="Q348" s="17" t="s">
        <v>19</v>
      </c>
      <c r="R348" s="70" t="str">
        <f>HYPERLINK("http://search.books.com.tw/search/query/key/9789862487709/cat/all
","
9789862487709")</f>
        <v xml:space="preserve">
9789862487709</v>
      </c>
    </row>
    <row r="349" spans="1:18" ht="33" hidden="1" x14ac:dyDescent="0.25">
      <c r="A349" s="1">
        <v>345</v>
      </c>
      <c r="B349" s="56" t="s">
        <v>1291</v>
      </c>
      <c r="C349" s="57" t="s">
        <v>1292</v>
      </c>
      <c r="D349" s="57" t="s">
        <v>1293</v>
      </c>
      <c r="E349" s="58" t="s">
        <v>363</v>
      </c>
      <c r="F349" s="58" t="s">
        <v>1294</v>
      </c>
      <c r="G349" s="58"/>
      <c r="H349" s="58"/>
      <c r="I349" s="57">
        <v>280</v>
      </c>
      <c r="J349" s="79">
        <f t="shared" si="14"/>
        <v>218.4</v>
      </c>
      <c r="K349" s="59"/>
      <c r="L349" s="84">
        <f t="shared" si="15"/>
        <v>0</v>
      </c>
      <c r="M349" s="60" t="s">
        <v>1074</v>
      </c>
      <c r="N349" s="57"/>
      <c r="O349" s="57"/>
      <c r="P349" s="57"/>
      <c r="Q349" s="17" t="s">
        <v>19</v>
      </c>
      <c r="R349" s="70" t="str">
        <f>HYPERLINK("http://search.books.com.tw/search/query/key/9789578679498/cat/all
","
9789578679498")</f>
        <v xml:space="preserve">
9789578679498</v>
      </c>
    </row>
    <row r="350" spans="1:18" ht="33" hidden="1" x14ac:dyDescent="0.25">
      <c r="A350" s="1">
        <v>346</v>
      </c>
      <c r="B350" s="56" t="s">
        <v>1295</v>
      </c>
      <c r="C350" s="57" t="s">
        <v>1296</v>
      </c>
      <c r="D350" s="57" t="s">
        <v>1297</v>
      </c>
      <c r="E350" s="58" t="s">
        <v>363</v>
      </c>
      <c r="F350" s="58" t="s">
        <v>1298</v>
      </c>
      <c r="G350" s="58"/>
      <c r="H350" s="58"/>
      <c r="I350" s="57">
        <v>450</v>
      </c>
      <c r="J350" s="79">
        <f t="shared" si="14"/>
        <v>351</v>
      </c>
      <c r="K350" s="59"/>
      <c r="L350" s="84">
        <f t="shared" si="15"/>
        <v>0</v>
      </c>
      <c r="M350" s="60" t="s">
        <v>1074</v>
      </c>
      <c r="N350" s="57"/>
      <c r="O350" s="57"/>
      <c r="P350" s="57"/>
      <c r="Q350" s="17" t="s">
        <v>19</v>
      </c>
      <c r="R350" s="70" t="str">
        <f>HYPERLINK("http://search.books.com.tw/search/query/key/9789869112499/cat/all
","
9789869112499")</f>
        <v xml:space="preserve">
9789869112499</v>
      </c>
    </row>
    <row r="351" spans="1:18" hidden="1" x14ac:dyDescent="0.25">
      <c r="A351" s="1">
        <v>347</v>
      </c>
      <c r="B351" s="56" t="s">
        <v>1299</v>
      </c>
      <c r="C351" s="57" t="s">
        <v>1300</v>
      </c>
      <c r="D351" s="57" t="s">
        <v>1301</v>
      </c>
      <c r="E351" s="58" t="s">
        <v>363</v>
      </c>
      <c r="F351" s="58" t="s">
        <v>1302</v>
      </c>
      <c r="G351" s="58"/>
      <c r="H351" s="58"/>
      <c r="I351" s="57">
        <v>360</v>
      </c>
      <c r="J351" s="79">
        <f t="shared" si="14"/>
        <v>280.8</v>
      </c>
      <c r="K351" s="59"/>
      <c r="L351" s="84">
        <f t="shared" si="15"/>
        <v>0</v>
      </c>
      <c r="M351" s="60" t="s">
        <v>1303</v>
      </c>
      <c r="N351" s="57"/>
      <c r="O351" s="57"/>
      <c r="P351" s="57"/>
      <c r="Q351" s="17" t="s">
        <v>19</v>
      </c>
      <c r="R351" s="70" t="str">
        <f>HYPERLINK("http://search.books.com.tw/search/query/key/9789864502226/cat/all
","
9789864502226")</f>
        <v xml:space="preserve">
9789864502226</v>
      </c>
    </row>
    <row r="352" spans="1:18" hidden="1" x14ac:dyDescent="0.25">
      <c r="A352" s="1">
        <v>348</v>
      </c>
      <c r="B352" s="56" t="s">
        <v>1304</v>
      </c>
      <c r="C352" s="57" t="s">
        <v>1305</v>
      </c>
      <c r="D352" s="57" t="s">
        <v>1301</v>
      </c>
      <c r="E352" s="58" t="s">
        <v>363</v>
      </c>
      <c r="F352" s="58" t="s">
        <v>1306</v>
      </c>
      <c r="G352" s="58"/>
      <c r="H352" s="58"/>
      <c r="I352" s="57">
        <v>260</v>
      </c>
      <c r="J352" s="79">
        <f t="shared" si="14"/>
        <v>202.8</v>
      </c>
      <c r="K352" s="59"/>
      <c r="L352" s="84">
        <f t="shared" si="15"/>
        <v>0</v>
      </c>
      <c r="M352" s="60" t="s">
        <v>1303</v>
      </c>
      <c r="N352" s="57"/>
      <c r="O352" s="57"/>
      <c r="P352" s="57"/>
      <c r="Q352" s="17" t="s">
        <v>19</v>
      </c>
      <c r="R352" s="70" t="str">
        <f>HYPERLINK("http://search.books.com.tw/search/query/key/9789864502233/cat/all
","
9789864502233")</f>
        <v xml:space="preserve">
9789864502233</v>
      </c>
    </row>
    <row r="353" spans="1:18" hidden="1" x14ac:dyDescent="0.25">
      <c r="A353" s="1">
        <v>349</v>
      </c>
      <c r="B353" s="56" t="s">
        <v>1307</v>
      </c>
      <c r="C353" s="57" t="s">
        <v>1308</v>
      </c>
      <c r="D353" s="57" t="s">
        <v>1301</v>
      </c>
      <c r="E353" s="58" t="s">
        <v>363</v>
      </c>
      <c r="F353" s="58" t="s">
        <v>1309</v>
      </c>
      <c r="G353" s="58"/>
      <c r="H353" s="58"/>
      <c r="I353" s="57">
        <v>260</v>
      </c>
      <c r="J353" s="79">
        <f t="shared" si="14"/>
        <v>202.8</v>
      </c>
      <c r="K353" s="59"/>
      <c r="L353" s="84">
        <f t="shared" si="15"/>
        <v>0</v>
      </c>
      <c r="M353" s="60" t="s">
        <v>1310</v>
      </c>
      <c r="N353" s="57"/>
      <c r="O353" s="57"/>
      <c r="P353" s="57"/>
      <c r="Q353" s="17" t="s">
        <v>19</v>
      </c>
      <c r="R353" s="70" t="str">
        <f>HYPERLINK("http://search.books.com.tw/search/query/key/9789864502240/cat/all
","
9789864502240")</f>
        <v xml:space="preserve">
9789864502240</v>
      </c>
    </row>
    <row r="354" spans="1:18" hidden="1" x14ac:dyDescent="0.25">
      <c r="A354" s="1">
        <v>350</v>
      </c>
      <c r="B354" s="56" t="s">
        <v>1311</v>
      </c>
      <c r="C354" s="57" t="s">
        <v>1312</v>
      </c>
      <c r="D354" s="57" t="s">
        <v>470</v>
      </c>
      <c r="E354" s="58" t="s">
        <v>368</v>
      </c>
      <c r="F354" s="58" t="s">
        <v>1313</v>
      </c>
      <c r="G354" s="58"/>
      <c r="H354" s="58"/>
      <c r="I354" s="57">
        <v>330</v>
      </c>
      <c r="J354" s="79">
        <f t="shared" si="14"/>
        <v>257.39999999999998</v>
      </c>
      <c r="K354" s="59"/>
      <c r="L354" s="84">
        <f t="shared" si="15"/>
        <v>0</v>
      </c>
      <c r="M354" s="60" t="s">
        <v>1310</v>
      </c>
      <c r="N354" s="57"/>
      <c r="O354" s="57"/>
      <c r="P354" s="57"/>
      <c r="Q354" s="17" t="s">
        <v>19</v>
      </c>
      <c r="R354" s="70" t="str">
        <f>HYPERLINK("http://search.books.com.tw/search/query/key/9789576580895/cat/all
","
9789576580895")</f>
        <v xml:space="preserve">
9789576580895</v>
      </c>
    </row>
    <row r="355" spans="1:18" hidden="1" x14ac:dyDescent="0.25">
      <c r="A355" s="1">
        <v>351</v>
      </c>
      <c r="B355" s="56" t="s">
        <v>1314</v>
      </c>
      <c r="C355" s="57" t="s">
        <v>1315</v>
      </c>
      <c r="D355" s="57" t="s">
        <v>470</v>
      </c>
      <c r="E355" s="58" t="s">
        <v>368</v>
      </c>
      <c r="F355" s="58" t="s">
        <v>1316</v>
      </c>
      <c r="G355" s="58"/>
      <c r="H355" s="58"/>
      <c r="I355" s="57">
        <v>380</v>
      </c>
      <c r="J355" s="79">
        <f t="shared" si="14"/>
        <v>296.39999999999998</v>
      </c>
      <c r="K355" s="59"/>
      <c r="L355" s="84">
        <f t="shared" si="15"/>
        <v>0</v>
      </c>
      <c r="M355" s="60" t="s">
        <v>1317</v>
      </c>
      <c r="N355" s="57" t="s">
        <v>1318</v>
      </c>
      <c r="O355" s="57"/>
      <c r="P355" s="57"/>
      <c r="Q355" s="17" t="s">
        <v>19</v>
      </c>
      <c r="R355" s="70" t="str">
        <f>HYPERLINK("http://search.books.com.tw/search/query/key/9789576580789/cat/all
","
9789576580789")</f>
        <v xml:space="preserve">
9789576580789</v>
      </c>
    </row>
    <row r="356" spans="1:18" ht="33" hidden="1" x14ac:dyDescent="0.25">
      <c r="A356" s="1">
        <v>352</v>
      </c>
      <c r="B356" s="56" t="s">
        <v>1319</v>
      </c>
      <c r="C356" s="57" t="s">
        <v>1320</v>
      </c>
      <c r="D356" s="57" t="s">
        <v>1321</v>
      </c>
      <c r="E356" s="58" t="s">
        <v>368</v>
      </c>
      <c r="F356" s="58" t="s">
        <v>1322</v>
      </c>
      <c r="G356" s="58"/>
      <c r="H356" s="58"/>
      <c r="I356" s="57">
        <v>380</v>
      </c>
      <c r="J356" s="79">
        <f t="shared" si="14"/>
        <v>296.39999999999998</v>
      </c>
      <c r="K356" s="59"/>
      <c r="L356" s="84">
        <f t="shared" si="15"/>
        <v>0</v>
      </c>
      <c r="M356" s="60" t="s">
        <v>1310</v>
      </c>
      <c r="N356" s="57" t="s">
        <v>1323</v>
      </c>
      <c r="O356" s="57"/>
      <c r="P356" s="57"/>
      <c r="Q356" s="17" t="s">
        <v>19</v>
      </c>
      <c r="R356" s="70" t="str">
        <f>HYPERLINK("http://search.books.com.tw/search/query/key/9789861795461/cat/all
","
9789861795461")</f>
        <v xml:space="preserve">
9789861795461</v>
      </c>
    </row>
    <row r="357" spans="1:18" hidden="1" x14ac:dyDescent="0.25">
      <c r="A357" s="1">
        <v>353</v>
      </c>
      <c r="B357" s="56" t="s">
        <v>1324</v>
      </c>
      <c r="C357" s="57" t="s">
        <v>1325</v>
      </c>
      <c r="D357" s="57" t="s">
        <v>1321</v>
      </c>
      <c r="E357" s="58" t="s">
        <v>363</v>
      </c>
      <c r="F357" s="58" t="s">
        <v>1326</v>
      </c>
      <c r="G357" s="58"/>
      <c r="H357" s="58"/>
      <c r="I357" s="57">
        <v>280</v>
      </c>
      <c r="J357" s="79">
        <f t="shared" si="14"/>
        <v>218.4</v>
      </c>
      <c r="K357" s="59"/>
      <c r="L357" s="84">
        <f t="shared" si="15"/>
        <v>0</v>
      </c>
      <c r="M357" s="60" t="s">
        <v>1327</v>
      </c>
      <c r="N357" s="57"/>
      <c r="O357" s="57"/>
      <c r="P357" s="57"/>
      <c r="Q357" s="17" t="s">
        <v>19</v>
      </c>
      <c r="R357" s="70" t="str">
        <f>HYPERLINK("http://search.books.com.tw/search/query/key/9789861795430/cat/all
","
9789861795430")</f>
        <v xml:space="preserve">
9789861795430</v>
      </c>
    </row>
    <row r="358" spans="1:18" hidden="1" x14ac:dyDescent="0.25">
      <c r="A358" s="1">
        <v>354</v>
      </c>
      <c r="B358" s="56" t="s">
        <v>1328</v>
      </c>
      <c r="C358" s="57" t="s">
        <v>1329</v>
      </c>
      <c r="D358" s="57" t="s">
        <v>892</v>
      </c>
      <c r="E358" s="58" t="s">
        <v>363</v>
      </c>
      <c r="F358" s="58" t="s">
        <v>1330</v>
      </c>
      <c r="G358" s="58"/>
      <c r="H358" s="58"/>
      <c r="I358" s="57">
        <v>299</v>
      </c>
      <c r="J358" s="79">
        <f t="shared" si="14"/>
        <v>233.22</v>
      </c>
      <c r="K358" s="59"/>
      <c r="L358" s="84">
        <f t="shared" si="15"/>
        <v>0</v>
      </c>
      <c r="M358" s="60" t="s">
        <v>1331</v>
      </c>
      <c r="N358" s="57"/>
      <c r="O358" s="57"/>
      <c r="P358" s="57"/>
      <c r="Q358" s="17" t="s">
        <v>19</v>
      </c>
      <c r="R358" s="70" t="str">
        <f>HYPERLINK("http://search.books.com.tw/search/query/key/9789861784731/cat/all
","
9789861784731")</f>
        <v xml:space="preserve">
9789861784731</v>
      </c>
    </row>
    <row r="359" spans="1:18" hidden="1" x14ac:dyDescent="0.25">
      <c r="A359" s="1">
        <v>355</v>
      </c>
      <c r="B359" s="56" t="s">
        <v>1332</v>
      </c>
      <c r="C359" s="57" t="s">
        <v>1333</v>
      </c>
      <c r="D359" s="57" t="s">
        <v>892</v>
      </c>
      <c r="E359" s="58" t="s">
        <v>363</v>
      </c>
      <c r="F359" s="58" t="s">
        <v>1334</v>
      </c>
      <c r="G359" s="58"/>
      <c r="H359" s="58"/>
      <c r="I359" s="57">
        <v>250</v>
      </c>
      <c r="J359" s="79">
        <f t="shared" si="14"/>
        <v>195</v>
      </c>
      <c r="K359" s="59"/>
      <c r="L359" s="84">
        <f t="shared" si="15"/>
        <v>0</v>
      </c>
      <c r="M359" s="60" t="s">
        <v>1335</v>
      </c>
      <c r="N359" s="57"/>
      <c r="O359" s="57"/>
      <c r="P359" s="57"/>
      <c r="Q359" s="17" t="s">
        <v>19</v>
      </c>
      <c r="R359" s="70" t="str">
        <f>HYPERLINK("http://search.books.com.tw/search/query/key/9789861784779/cat/all
","
9789861784779")</f>
        <v xml:space="preserve">
9789861784779</v>
      </c>
    </row>
    <row r="360" spans="1:18" hidden="1" x14ac:dyDescent="0.25">
      <c r="A360" s="1">
        <v>356</v>
      </c>
      <c r="B360" s="56" t="s">
        <v>1336</v>
      </c>
      <c r="C360" s="57" t="s">
        <v>1337</v>
      </c>
      <c r="D360" s="57" t="s">
        <v>892</v>
      </c>
      <c r="E360" s="58" t="s">
        <v>359</v>
      </c>
      <c r="F360" s="58" t="s">
        <v>1338</v>
      </c>
      <c r="G360" s="58"/>
      <c r="H360" s="58"/>
      <c r="I360" s="57">
        <v>250</v>
      </c>
      <c r="J360" s="79">
        <f t="shared" si="14"/>
        <v>195</v>
      </c>
      <c r="K360" s="59"/>
      <c r="L360" s="84">
        <f t="shared" si="15"/>
        <v>0</v>
      </c>
      <c r="M360" s="60" t="s">
        <v>1339</v>
      </c>
      <c r="N360" s="57" t="s">
        <v>1340</v>
      </c>
      <c r="O360" s="57"/>
      <c r="P360" s="57"/>
      <c r="Q360" s="17" t="s">
        <v>19</v>
      </c>
      <c r="R360" s="70" t="str">
        <f>HYPERLINK("http://search.books.com.tw/search/query/key/9789861784724/cat/all
","
9789861784724")</f>
        <v xml:space="preserve">
9789861784724</v>
      </c>
    </row>
    <row r="361" spans="1:18" hidden="1" x14ac:dyDescent="0.25">
      <c r="A361" s="1">
        <v>357</v>
      </c>
      <c r="B361" s="56" t="s">
        <v>1341</v>
      </c>
      <c r="C361" s="57" t="s">
        <v>1342</v>
      </c>
      <c r="D361" s="57" t="s">
        <v>500</v>
      </c>
      <c r="E361" s="58" t="s">
        <v>363</v>
      </c>
      <c r="F361" s="58" t="s">
        <v>1343</v>
      </c>
      <c r="G361" s="58"/>
      <c r="H361" s="58"/>
      <c r="I361" s="57">
        <v>1200</v>
      </c>
      <c r="J361" s="79">
        <f t="shared" si="14"/>
        <v>936</v>
      </c>
      <c r="K361" s="59"/>
      <c r="L361" s="84">
        <f t="shared" si="15"/>
        <v>0</v>
      </c>
      <c r="M361" s="60" t="s">
        <v>1344</v>
      </c>
      <c r="N361" s="57" t="s">
        <v>1345</v>
      </c>
      <c r="O361" s="57"/>
      <c r="P361" s="57"/>
      <c r="Q361" s="17" t="s">
        <v>19</v>
      </c>
      <c r="R361" s="70" t="str">
        <f>HYPERLINK("http://search.books.com.tw/search/query/key/9789864435388/cat/all
","
9789864435388")</f>
        <v xml:space="preserve">
9789864435388</v>
      </c>
    </row>
    <row r="362" spans="1:18" hidden="1" x14ac:dyDescent="0.25">
      <c r="A362" s="1">
        <v>358</v>
      </c>
      <c r="B362" s="56" t="s">
        <v>1346</v>
      </c>
      <c r="C362" s="57" t="s">
        <v>1347</v>
      </c>
      <c r="D362" s="57" t="s">
        <v>1086</v>
      </c>
      <c r="E362" s="58" t="s">
        <v>359</v>
      </c>
      <c r="F362" s="58" t="s">
        <v>1348</v>
      </c>
      <c r="G362" s="58"/>
      <c r="H362" s="58"/>
      <c r="I362" s="57">
        <v>450</v>
      </c>
      <c r="J362" s="79">
        <f t="shared" si="14"/>
        <v>351</v>
      </c>
      <c r="K362" s="59"/>
      <c r="L362" s="84">
        <f t="shared" si="15"/>
        <v>0</v>
      </c>
      <c r="M362" s="60" t="s">
        <v>1317</v>
      </c>
      <c r="N362" s="57" t="s">
        <v>1349</v>
      </c>
      <c r="O362" s="57"/>
      <c r="P362" s="57"/>
      <c r="Q362" s="17" t="s">
        <v>19</v>
      </c>
      <c r="R362" s="70" t="str">
        <f>HYPERLINK("http://search.books.com.tw/search/query/key/9789869678346/cat/all
","
9789869678346")</f>
        <v xml:space="preserve">
9789869678346</v>
      </c>
    </row>
    <row r="363" spans="1:18" ht="33" hidden="1" x14ac:dyDescent="0.25">
      <c r="A363" s="1">
        <v>359</v>
      </c>
      <c r="B363" s="56" t="s">
        <v>1350</v>
      </c>
      <c r="C363" s="57" t="s">
        <v>1351</v>
      </c>
      <c r="D363" s="57" t="s">
        <v>1352</v>
      </c>
      <c r="E363" s="58" t="s">
        <v>368</v>
      </c>
      <c r="F363" s="58" t="s">
        <v>1353</v>
      </c>
      <c r="G363" s="58"/>
      <c r="H363" s="58"/>
      <c r="I363" s="57">
        <v>280</v>
      </c>
      <c r="J363" s="79">
        <f t="shared" si="14"/>
        <v>218.4</v>
      </c>
      <c r="K363" s="59"/>
      <c r="L363" s="84">
        <f t="shared" si="15"/>
        <v>0</v>
      </c>
      <c r="M363" s="60" t="s">
        <v>1317</v>
      </c>
      <c r="N363" s="57" t="s">
        <v>1354</v>
      </c>
      <c r="O363" s="57"/>
      <c r="P363" s="57"/>
      <c r="Q363" s="17" t="s">
        <v>19</v>
      </c>
      <c r="R363" s="70" t="str">
        <f>HYPERLINK("http://search.books.com.tw/search/query/key/9789869605175/cat/all
","
9789869605175")</f>
        <v xml:space="preserve">
9789869605175</v>
      </c>
    </row>
    <row r="364" spans="1:18" hidden="1" x14ac:dyDescent="0.25">
      <c r="A364" s="1">
        <v>360</v>
      </c>
      <c r="B364" s="56" t="s">
        <v>1355</v>
      </c>
      <c r="C364" s="57" t="s">
        <v>1356</v>
      </c>
      <c r="D364" s="57" t="s">
        <v>1357</v>
      </c>
      <c r="E364" s="58" t="s">
        <v>368</v>
      </c>
      <c r="F364" s="58" t="s">
        <v>1358</v>
      </c>
      <c r="G364" s="58"/>
      <c r="H364" s="58"/>
      <c r="I364" s="57">
        <v>280</v>
      </c>
      <c r="J364" s="79">
        <f t="shared" si="14"/>
        <v>218.4</v>
      </c>
      <c r="K364" s="59"/>
      <c r="L364" s="84">
        <f t="shared" si="15"/>
        <v>0</v>
      </c>
      <c r="M364" s="60" t="s">
        <v>1310</v>
      </c>
      <c r="N364" s="57"/>
      <c r="O364" s="57"/>
      <c r="P364" s="57"/>
      <c r="Q364" s="17" t="s">
        <v>19</v>
      </c>
      <c r="R364" s="70" t="str">
        <f>HYPERLINK("http://search.books.com.tw/search/query/key/9789869672269/cat/all
","
9789869672269")</f>
        <v xml:space="preserve">
9789869672269</v>
      </c>
    </row>
    <row r="365" spans="1:18" hidden="1" x14ac:dyDescent="0.25">
      <c r="A365" s="1">
        <v>361</v>
      </c>
      <c r="B365" s="56" t="s">
        <v>1359</v>
      </c>
      <c r="C365" s="57" t="s">
        <v>1360</v>
      </c>
      <c r="D365" s="57" t="s">
        <v>1357</v>
      </c>
      <c r="E365" s="58" t="s">
        <v>363</v>
      </c>
      <c r="F365" s="58" t="s">
        <v>1361</v>
      </c>
      <c r="G365" s="58"/>
      <c r="H365" s="58"/>
      <c r="I365" s="57">
        <v>280</v>
      </c>
      <c r="J365" s="79">
        <f t="shared" si="14"/>
        <v>218.4</v>
      </c>
      <c r="K365" s="59"/>
      <c r="L365" s="84">
        <f t="shared" si="15"/>
        <v>0</v>
      </c>
      <c r="M365" s="60" t="s">
        <v>1303</v>
      </c>
      <c r="N365" s="57"/>
      <c r="O365" s="57"/>
      <c r="P365" s="57"/>
      <c r="Q365" s="17" t="s">
        <v>19</v>
      </c>
      <c r="R365" s="70" t="str">
        <f>HYPERLINK("http://search.books.com.tw/search/query/key/9789869672276/cat/all
","
9789869672276")</f>
        <v xml:space="preserve">
9789869672276</v>
      </c>
    </row>
    <row r="366" spans="1:18" hidden="1" x14ac:dyDescent="0.25">
      <c r="A366" s="1">
        <v>362</v>
      </c>
      <c r="B366" s="56" t="s">
        <v>1362</v>
      </c>
      <c r="C366" s="57" t="s">
        <v>1363</v>
      </c>
      <c r="D366" s="57" t="s">
        <v>1364</v>
      </c>
      <c r="E366" s="58" t="s">
        <v>368</v>
      </c>
      <c r="F366" s="58" t="s">
        <v>1365</v>
      </c>
      <c r="G366" s="58"/>
      <c r="H366" s="58"/>
      <c r="I366" s="57">
        <v>350</v>
      </c>
      <c r="J366" s="79">
        <f t="shared" si="14"/>
        <v>273</v>
      </c>
      <c r="K366" s="59"/>
      <c r="L366" s="84">
        <f t="shared" si="15"/>
        <v>0</v>
      </c>
      <c r="M366" s="60" t="s">
        <v>1339</v>
      </c>
      <c r="N366" s="57" t="s">
        <v>1366</v>
      </c>
      <c r="O366" s="57"/>
      <c r="P366" s="57"/>
      <c r="Q366" s="17" t="s">
        <v>19</v>
      </c>
      <c r="R366" s="70" t="str">
        <f>HYPERLINK("http://search.books.com.tw/search/query/key/9789869705110/cat/all
","
9789869705110")</f>
        <v xml:space="preserve">
9789869705110</v>
      </c>
    </row>
    <row r="367" spans="1:18" hidden="1" x14ac:dyDescent="0.25">
      <c r="A367" s="1">
        <v>363</v>
      </c>
      <c r="B367" s="56" t="s">
        <v>210</v>
      </c>
      <c r="C367" s="57" t="s">
        <v>1367</v>
      </c>
      <c r="D367" s="57" t="s">
        <v>1099</v>
      </c>
      <c r="E367" s="58" t="s">
        <v>363</v>
      </c>
      <c r="F367" s="58" t="s">
        <v>1368</v>
      </c>
      <c r="G367" s="58"/>
      <c r="H367" s="58"/>
      <c r="I367" s="57">
        <v>260</v>
      </c>
      <c r="J367" s="79">
        <f t="shared" si="14"/>
        <v>202.8</v>
      </c>
      <c r="K367" s="59"/>
      <c r="L367" s="84">
        <f t="shared" si="15"/>
        <v>0</v>
      </c>
      <c r="M367" s="60" t="s">
        <v>1369</v>
      </c>
      <c r="N367" s="57" t="s">
        <v>1370</v>
      </c>
      <c r="O367" s="57"/>
      <c r="P367" s="57"/>
      <c r="Q367" s="17" t="s">
        <v>19</v>
      </c>
      <c r="R367" s="70" t="str">
        <f>HYPERLINK("http://search.books.com.tw/search/query/key/9789864061396/cat/all
","
9789864061396")</f>
        <v xml:space="preserve">
9789864061396</v>
      </c>
    </row>
    <row r="368" spans="1:18" ht="33" hidden="1" x14ac:dyDescent="0.25">
      <c r="A368" s="1">
        <v>364</v>
      </c>
      <c r="B368" s="56" t="s">
        <v>1371</v>
      </c>
      <c r="C368" s="57" t="s">
        <v>1372</v>
      </c>
      <c r="D368" s="57" t="s">
        <v>1373</v>
      </c>
      <c r="E368" s="58" t="s">
        <v>368</v>
      </c>
      <c r="F368" s="58" t="s">
        <v>1374</v>
      </c>
      <c r="G368" s="58"/>
      <c r="H368" s="58"/>
      <c r="I368" s="57">
        <v>450</v>
      </c>
      <c r="J368" s="79">
        <f t="shared" si="14"/>
        <v>351</v>
      </c>
      <c r="K368" s="59"/>
      <c r="L368" s="84">
        <f t="shared" si="15"/>
        <v>0</v>
      </c>
      <c r="M368" s="60" t="s">
        <v>1375</v>
      </c>
      <c r="N368" s="57"/>
      <c r="O368" s="57"/>
      <c r="P368" s="57"/>
      <c r="Q368" s="17" t="s">
        <v>19</v>
      </c>
      <c r="R368" s="70" t="str">
        <f>HYPERLINK("http://search.books.com.tw/search/query/key/9789579689274/cat/all
","
9789579689274")</f>
        <v xml:space="preserve">
9789579689274</v>
      </c>
    </row>
    <row r="369" spans="1:18" ht="33" hidden="1" x14ac:dyDescent="0.25">
      <c r="A369" s="1">
        <v>365</v>
      </c>
      <c r="B369" s="56" t="s">
        <v>1376</v>
      </c>
      <c r="C369" s="57" t="s">
        <v>1377</v>
      </c>
      <c r="D369" s="57" t="s">
        <v>1378</v>
      </c>
      <c r="E369" s="58" t="s">
        <v>359</v>
      </c>
      <c r="F369" s="58" t="s">
        <v>1379</v>
      </c>
      <c r="G369" s="58"/>
      <c r="H369" s="58"/>
      <c r="I369" s="57">
        <v>320</v>
      </c>
      <c r="J369" s="79">
        <f t="shared" si="14"/>
        <v>249.6</v>
      </c>
      <c r="K369" s="59"/>
      <c r="L369" s="84">
        <f t="shared" si="15"/>
        <v>0</v>
      </c>
      <c r="M369" s="60" t="s">
        <v>1380</v>
      </c>
      <c r="N369" s="57" t="s">
        <v>1381</v>
      </c>
      <c r="O369" s="57"/>
      <c r="P369" s="57"/>
      <c r="Q369" s="17" t="s">
        <v>19</v>
      </c>
      <c r="R369" s="70" t="str">
        <f>HYPERLINK("http://search.books.com.tw/search/query/key/9789869689618/cat/all
","
9789869689618")</f>
        <v xml:space="preserve">
9789869689618</v>
      </c>
    </row>
    <row r="370" spans="1:18" ht="33" hidden="1" x14ac:dyDescent="0.25">
      <c r="A370" s="1">
        <v>366</v>
      </c>
      <c r="B370" s="56" t="s">
        <v>1382</v>
      </c>
      <c r="C370" s="57" t="s">
        <v>1377</v>
      </c>
      <c r="D370" s="57" t="s">
        <v>1378</v>
      </c>
      <c r="E370" s="58" t="s">
        <v>359</v>
      </c>
      <c r="F370" s="58" t="s">
        <v>1383</v>
      </c>
      <c r="G370" s="58"/>
      <c r="H370" s="58"/>
      <c r="I370" s="57">
        <v>320</v>
      </c>
      <c r="J370" s="79">
        <f t="shared" si="14"/>
        <v>249.6</v>
      </c>
      <c r="K370" s="59"/>
      <c r="L370" s="84">
        <f t="shared" si="15"/>
        <v>0</v>
      </c>
      <c r="M370" s="60" t="s">
        <v>1380</v>
      </c>
      <c r="N370" s="57" t="s">
        <v>1384</v>
      </c>
      <c r="O370" s="57"/>
      <c r="P370" s="57"/>
      <c r="Q370" s="17" t="s">
        <v>19</v>
      </c>
      <c r="R370" s="70" t="str">
        <f>HYPERLINK("http://search.books.com.tw/search/query/key/9789869689625/cat/all
","
9789869689625")</f>
        <v xml:space="preserve">
9789869689625</v>
      </c>
    </row>
    <row r="371" spans="1:18" ht="33" hidden="1" x14ac:dyDescent="0.25">
      <c r="A371" s="1">
        <v>367</v>
      </c>
      <c r="B371" s="62" t="s">
        <v>1385</v>
      </c>
      <c r="C371" s="57" t="s">
        <v>1386</v>
      </c>
      <c r="D371" s="57" t="s">
        <v>1387</v>
      </c>
      <c r="E371" s="58" t="s">
        <v>363</v>
      </c>
      <c r="F371" s="58" t="s">
        <v>1388</v>
      </c>
      <c r="G371" s="58"/>
      <c r="H371" s="58"/>
      <c r="I371" s="57">
        <v>450</v>
      </c>
      <c r="J371" s="79">
        <f t="shared" si="14"/>
        <v>351</v>
      </c>
      <c r="K371" s="59"/>
      <c r="L371" s="84">
        <f t="shared" si="15"/>
        <v>0</v>
      </c>
      <c r="M371" s="60" t="s">
        <v>1339</v>
      </c>
      <c r="N371" s="57"/>
      <c r="O371" s="57"/>
      <c r="P371" s="57"/>
      <c r="Q371" s="17" t="s">
        <v>19</v>
      </c>
      <c r="R371" s="70" t="str">
        <f>HYPERLINK("http://search.books.com.tw/search/query/key/9789864893133/cat/all
","
9789864893133")</f>
        <v xml:space="preserve">
9789864893133</v>
      </c>
    </row>
    <row r="372" spans="1:18" hidden="1" x14ac:dyDescent="0.25">
      <c r="A372" s="1">
        <v>368</v>
      </c>
      <c r="B372" s="56" t="s">
        <v>1389</v>
      </c>
      <c r="C372" s="57" t="s">
        <v>811</v>
      </c>
      <c r="D372" s="57" t="s">
        <v>1117</v>
      </c>
      <c r="E372" s="58" t="s">
        <v>363</v>
      </c>
      <c r="F372" s="58" t="s">
        <v>1390</v>
      </c>
      <c r="G372" s="58"/>
      <c r="H372" s="58"/>
      <c r="I372" s="57">
        <v>390</v>
      </c>
      <c r="J372" s="79">
        <f t="shared" si="14"/>
        <v>304.2</v>
      </c>
      <c r="K372" s="59"/>
      <c r="L372" s="84">
        <f t="shared" si="15"/>
        <v>0</v>
      </c>
      <c r="M372" s="60" t="s">
        <v>1375</v>
      </c>
      <c r="N372" s="57"/>
      <c r="O372" s="57"/>
      <c r="P372" s="57"/>
      <c r="Q372" s="17" t="s">
        <v>19</v>
      </c>
      <c r="R372" s="70" t="str">
        <f>HYPERLINK("http://search.books.com.tw/search/query/key/9789863983934/cat/all
","
9789863983934")</f>
        <v xml:space="preserve">
9789863983934</v>
      </c>
    </row>
    <row r="373" spans="1:18" ht="33" hidden="1" x14ac:dyDescent="0.25">
      <c r="A373" s="1">
        <v>369</v>
      </c>
      <c r="B373" s="56" t="s">
        <v>1391</v>
      </c>
      <c r="C373" s="57" t="s">
        <v>1392</v>
      </c>
      <c r="D373" s="57" t="s">
        <v>1393</v>
      </c>
      <c r="E373" s="58" t="s">
        <v>363</v>
      </c>
      <c r="F373" s="58" t="s">
        <v>1394</v>
      </c>
      <c r="G373" s="58"/>
      <c r="H373" s="58"/>
      <c r="I373" s="57">
        <v>350</v>
      </c>
      <c r="J373" s="79">
        <f t="shared" si="14"/>
        <v>273</v>
      </c>
      <c r="K373" s="59"/>
      <c r="L373" s="84">
        <f t="shared" si="15"/>
        <v>0</v>
      </c>
      <c r="M373" s="60" t="s">
        <v>1369</v>
      </c>
      <c r="N373" s="57" t="s">
        <v>1395</v>
      </c>
      <c r="O373" s="57"/>
      <c r="P373" s="57"/>
      <c r="Q373" s="17" t="s">
        <v>19</v>
      </c>
      <c r="R373" s="70" t="str">
        <f>HYPERLINK("http://search.books.com.tw/search/query/key/9789869664493/cat/all
","
9789869664493")</f>
        <v xml:space="preserve">
9789869664493</v>
      </c>
    </row>
    <row r="374" spans="1:18" ht="49.5" hidden="1" x14ac:dyDescent="0.25">
      <c r="A374" s="1">
        <v>370</v>
      </c>
      <c r="B374" s="56" t="s">
        <v>1396</v>
      </c>
      <c r="C374" s="57" t="s">
        <v>1397</v>
      </c>
      <c r="D374" s="57" t="s">
        <v>1398</v>
      </c>
      <c r="E374" s="58" t="s">
        <v>363</v>
      </c>
      <c r="F374" s="58" t="s">
        <v>1399</v>
      </c>
      <c r="G374" s="58"/>
      <c r="H374" s="58"/>
      <c r="I374" s="57">
        <v>350</v>
      </c>
      <c r="J374" s="79">
        <f t="shared" si="14"/>
        <v>273</v>
      </c>
      <c r="K374" s="59"/>
      <c r="L374" s="84">
        <f t="shared" si="15"/>
        <v>0</v>
      </c>
      <c r="M374" s="60" t="s">
        <v>1369</v>
      </c>
      <c r="N374" s="56" t="s">
        <v>1400</v>
      </c>
      <c r="O374" s="57"/>
      <c r="P374" s="57"/>
      <c r="Q374" s="17" t="s">
        <v>19</v>
      </c>
      <c r="R374" s="70" t="str">
        <f>HYPERLINK("http://search.books.com.tw/search/query/key/9789869706902/cat/all
","
9789869706902")</f>
        <v xml:space="preserve">
9789869706902</v>
      </c>
    </row>
    <row r="375" spans="1:18" hidden="1" x14ac:dyDescent="0.25">
      <c r="A375" s="1">
        <v>371</v>
      </c>
      <c r="B375" s="56" t="s">
        <v>1401</v>
      </c>
      <c r="C375" s="57" t="s">
        <v>1402</v>
      </c>
      <c r="D375" s="57" t="s">
        <v>924</v>
      </c>
      <c r="E375" s="58" t="s">
        <v>368</v>
      </c>
      <c r="F375" s="58" t="s">
        <v>1403</v>
      </c>
      <c r="G375" s="58"/>
      <c r="H375" s="58"/>
      <c r="I375" s="57">
        <v>380</v>
      </c>
      <c r="J375" s="79">
        <f t="shared" si="14"/>
        <v>296.39999999999998</v>
      </c>
      <c r="K375" s="59"/>
      <c r="L375" s="84">
        <f t="shared" si="15"/>
        <v>0</v>
      </c>
      <c r="M375" s="60" t="s">
        <v>1327</v>
      </c>
      <c r="N375" s="57"/>
      <c r="O375" s="57"/>
      <c r="P375" s="57"/>
      <c r="Q375" s="17" t="s">
        <v>19</v>
      </c>
      <c r="R375" s="70" t="str">
        <f>HYPERLINK("http://search.books.com.tw/search/query/key/9789863596226/cat/all
","
9789863596226")</f>
        <v xml:space="preserve">
9789863596226</v>
      </c>
    </row>
    <row r="376" spans="1:18" hidden="1" x14ac:dyDescent="0.25">
      <c r="A376" s="1">
        <v>372</v>
      </c>
      <c r="B376" s="56" t="s">
        <v>1404</v>
      </c>
      <c r="C376" s="57" t="s">
        <v>1405</v>
      </c>
      <c r="D376" s="57" t="s">
        <v>924</v>
      </c>
      <c r="E376" s="58" t="s">
        <v>1406</v>
      </c>
      <c r="F376" s="58" t="s">
        <v>1407</v>
      </c>
      <c r="G376" s="58"/>
      <c r="H376" s="58"/>
      <c r="I376" s="57">
        <v>2800</v>
      </c>
      <c r="J376" s="79">
        <f t="shared" si="14"/>
        <v>2184</v>
      </c>
      <c r="K376" s="59"/>
      <c r="L376" s="84">
        <f t="shared" si="15"/>
        <v>0</v>
      </c>
      <c r="M376" s="60" t="s">
        <v>1310</v>
      </c>
      <c r="N376" s="57" t="s">
        <v>1408</v>
      </c>
      <c r="O376" s="57"/>
      <c r="P376" s="57"/>
      <c r="Q376" s="17" t="s">
        <v>19</v>
      </c>
      <c r="R376" s="70" t="s">
        <v>1409</v>
      </c>
    </row>
    <row r="377" spans="1:18" hidden="1" x14ac:dyDescent="0.25">
      <c r="A377" s="1">
        <v>373</v>
      </c>
      <c r="B377" s="56" t="s">
        <v>1410</v>
      </c>
      <c r="C377" s="57" t="s">
        <v>1411</v>
      </c>
      <c r="D377" s="57" t="s">
        <v>924</v>
      </c>
      <c r="E377" s="58" t="s">
        <v>363</v>
      </c>
      <c r="F377" s="58" t="s">
        <v>1412</v>
      </c>
      <c r="G377" s="58"/>
      <c r="H377" s="58"/>
      <c r="I377" s="57">
        <v>360</v>
      </c>
      <c r="J377" s="79">
        <f t="shared" si="14"/>
        <v>280.8</v>
      </c>
      <c r="K377" s="59"/>
      <c r="L377" s="84">
        <f t="shared" si="15"/>
        <v>0</v>
      </c>
      <c r="M377" s="60" t="s">
        <v>1339</v>
      </c>
      <c r="N377" s="57"/>
      <c r="O377" s="57"/>
      <c r="P377" s="57"/>
      <c r="Q377" s="17" t="s">
        <v>19</v>
      </c>
      <c r="R377" s="70" t="str">
        <f>HYPERLINK("http://search.books.com.tw/search/query/key/9789863596134/cat/all
","
9789863596134")</f>
        <v xml:space="preserve">
9789863596134</v>
      </c>
    </row>
    <row r="378" spans="1:18" hidden="1" x14ac:dyDescent="0.25">
      <c r="A378" s="1">
        <v>374</v>
      </c>
      <c r="B378" s="56" t="s">
        <v>1413</v>
      </c>
      <c r="C378" s="57" t="s">
        <v>1411</v>
      </c>
      <c r="D378" s="57" t="s">
        <v>924</v>
      </c>
      <c r="E378" s="58" t="s">
        <v>363</v>
      </c>
      <c r="F378" s="58" t="s">
        <v>1414</v>
      </c>
      <c r="G378" s="58"/>
      <c r="H378" s="58"/>
      <c r="I378" s="57">
        <v>330</v>
      </c>
      <c r="J378" s="79">
        <f t="shared" si="14"/>
        <v>257.39999999999998</v>
      </c>
      <c r="K378" s="59"/>
      <c r="L378" s="84">
        <f t="shared" si="15"/>
        <v>0</v>
      </c>
      <c r="M378" s="60" t="s">
        <v>1369</v>
      </c>
      <c r="N378" s="57" t="s">
        <v>1415</v>
      </c>
      <c r="O378" s="57"/>
      <c r="P378" s="57"/>
      <c r="Q378" s="17" t="s">
        <v>19</v>
      </c>
      <c r="R378" s="70" t="str">
        <f>HYPERLINK("http://search.books.com.tw/search/query/key/9789863596189/cat/all
","
9789863596189")</f>
        <v xml:space="preserve">
9789863596189</v>
      </c>
    </row>
    <row r="379" spans="1:18" hidden="1" x14ac:dyDescent="0.25">
      <c r="A379" s="1">
        <v>375</v>
      </c>
      <c r="B379" s="56" t="s">
        <v>1416</v>
      </c>
      <c r="C379" s="57" t="s">
        <v>1417</v>
      </c>
      <c r="D379" s="57" t="s">
        <v>1418</v>
      </c>
      <c r="E379" s="58" t="s">
        <v>368</v>
      </c>
      <c r="F379" s="58" t="s">
        <v>1419</v>
      </c>
      <c r="G379" s="58"/>
      <c r="H379" s="58"/>
      <c r="I379" s="57">
        <v>300</v>
      </c>
      <c r="J379" s="79">
        <f t="shared" si="14"/>
        <v>234</v>
      </c>
      <c r="K379" s="59"/>
      <c r="L379" s="84">
        <f t="shared" si="15"/>
        <v>0</v>
      </c>
      <c r="M379" s="60" t="s">
        <v>1339</v>
      </c>
      <c r="N379" s="57" t="s">
        <v>1420</v>
      </c>
      <c r="O379" s="57"/>
      <c r="P379" s="57"/>
      <c r="Q379" s="17" t="s">
        <v>19</v>
      </c>
      <c r="R379" s="70" t="str">
        <f>HYPERLINK("http://search.books.com.tw/search/query/key/9789869697415/cat/all
","
9789869697415")</f>
        <v xml:space="preserve">
9789869697415</v>
      </c>
    </row>
    <row r="380" spans="1:18" hidden="1" x14ac:dyDescent="0.25">
      <c r="A380" s="1">
        <v>376</v>
      </c>
      <c r="B380" s="56" t="s">
        <v>1421</v>
      </c>
      <c r="C380" s="57" t="s">
        <v>1417</v>
      </c>
      <c r="D380" s="57" t="s">
        <v>1418</v>
      </c>
      <c r="E380" s="58" t="s">
        <v>1422</v>
      </c>
      <c r="F380" s="58" t="s">
        <v>1423</v>
      </c>
      <c r="G380" s="58"/>
      <c r="H380" s="58"/>
      <c r="I380" s="57">
        <v>300</v>
      </c>
      <c r="J380" s="79">
        <f t="shared" si="14"/>
        <v>234</v>
      </c>
      <c r="K380" s="59"/>
      <c r="L380" s="84">
        <f t="shared" si="15"/>
        <v>0</v>
      </c>
      <c r="M380" s="60" t="s">
        <v>1339</v>
      </c>
      <c r="N380" s="57" t="s">
        <v>1420</v>
      </c>
      <c r="O380" s="57"/>
      <c r="P380" s="57"/>
      <c r="Q380" s="17" t="s">
        <v>19</v>
      </c>
      <c r="R380" s="70" t="s">
        <v>1424</v>
      </c>
    </row>
    <row r="381" spans="1:18" ht="33" hidden="1" x14ac:dyDescent="0.25">
      <c r="A381" s="1">
        <v>377</v>
      </c>
      <c r="B381" s="56" t="s">
        <v>1425</v>
      </c>
      <c r="C381" s="57" t="s">
        <v>1426</v>
      </c>
      <c r="D381" s="57" t="s">
        <v>1427</v>
      </c>
      <c r="E381" s="58" t="s">
        <v>363</v>
      </c>
      <c r="F381" s="58" t="s">
        <v>1428</v>
      </c>
      <c r="G381" s="58"/>
      <c r="H381" s="58"/>
      <c r="I381" s="57">
        <v>320</v>
      </c>
      <c r="J381" s="79">
        <f t="shared" si="14"/>
        <v>249.6</v>
      </c>
      <c r="K381" s="59"/>
      <c r="L381" s="84">
        <f t="shared" si="15"/>
        <v>0</v>
      </c>
      <c r="M381" s="60" t="s">
        <v>1369</v>
      </c>
      <c r="N381" s="57" t="s">
        <v>1429</v>
      </c>
      <c r="O381" s="57"/>
      <c r="P381" s="57"/>
      <c r="Q381" s="17" t="s">
        <v>19</v>
      </c>
      <c r="R381" s="70" t="str">
        <f>HYPERLINK("http://search.books.com.tw/search/query/key/9789869695824/cat/all
","
9789869695824")</f>
        <v xml:space="preserve">
9789869695824</v>
      </c>
    </row>
    <row r="382" spans="1:18" ht="82.5" hidden="1" x14ac:dyDescent="0.25">
      <c r="A382" s="1">
        <v>378</v>
      </c>
      <c r="B382" s="56" t="s">
        <v>1430</v>
      </c>
      <c r="C382" s="57" t="s">
        <v>1431</v>
      </c>
      <c r="D382" s="57" t="s">
        <v>1427</v>
      </c>
      <c r="E382" s="58" t="s">
        <v>368</v>
      </c>
      <c r="F382" s="58" t="s">
        <v>1432</v>
      </c>
      <c r="G382" s="58"/>
      <c r="H382" s="58"/>
      <c r="I382" s="57">
        <v>420</v>
      </c>
      <c r="J382" s="79">
        <f t="shared" si="14"/>
        <v>327.60000000000002</v>
      </c>
      <c r="K382" s="59"/>
      <c r="L382" s="84">
        <f t="shared" si="15"/>
        <v>0</v>
      </c>
      <c r="M382" s="60" t="s">
        <v>1310</v>
      </c>
      <c r="N382" s="56" t="s">
        <v>1433</v>
      </c>
      <c r="O382" s="57"/>
      <c r="P382" s="57"/>
      <c r="Q382" s="17" t="s">
        <v>19</v>
      </c>
      <c r="R382" s="70" t="str">
        <f>HYPERLINK("http://search.books.com.tw/search/query/key/9789869695831/cat/all
","
9789869695831")</f>
        <v xml:space="preserve">
9789869695831</v>
      </c>
    </row>
    <row r="383" spans="1:18" ht="82.5" hidden="1" x14ac:dyDescent="0.25">
      <c r="A383" s="1">
        <v>379</v>
      </c>
      <c r="B383" s="56" t="s">
        <v>1434</v>
      </c>
      <c r="C383" s="57" t="s">
        <v>1435</v>
      </c>
      <c r="D383" s="57" t="s">
        <v>561</v>
      </c>
      <c r="E383" s="58" t="s">
        <v>363</v>
      </c>
      <c r="F383" s="58" t="s">
        <v>1436</v>
      </c>
      <c r="G383" s="58"/>
      <c r="H383" s="58"/>
      <c r="I383" s="57">
        <v>350</v>
      </c>
      <c r="J383" s="79">
        <f t="shared" si="14"/>
        <v>273</v>
      </c>
      <c r="K383" s="59"/>
      <c r="L383" s="84">
        <f t="shared" si="15"/>
        <v>0</v>
      </c>
      <c r="M383" s="60" t="s">
        <v>1369</v>
      </c>
      <c r="N383" s="56" t="s">
        <v>1437</v>
      </c>
      <c r="O383" s="57"/>
      <c r="P383" s="57"/>
      <c r="Q383" s="17" t="s">
        <v>19</v>
      </c>
      <c r="R383" s="70" t="str">
        <f>HYPERLINK("http://search.books.com.tw/search/query/key/9789863843252/cat/all
","
9789863843252")</f>
        <v xml:space="preserve">
9789863843252</v>
      </c>
    </row>
    <row r="384" spans="1:18" ht="49.5" hidden="1" x14ac:dyDescent="0.25">
      <c r="A384" s="1">
        <v>380</v>
      </c>
      <c r="B384" s="56" t="s">
        <v>1438</v>
      </c>
      <c r="C384" s="57" t="s">
        <v>1439</v>
      </c>
      <c r="D384" s="57" t="s">
        <v>561</v>
      </c>
      <c r="E384" s="58" t="s">
        <v>363</v>
      </c>
      <c r="F384" s="58" t="s">
        <v>1440</v>
      </c>
      <c r="G384" s="58"/>
      <c r="H384" s="58"/>
      <c r="I384" s="57">
        <v>400</v>
      </c>
      <c r="J384" s="79">
        <f t="shared" si="14"/>
        <v>312</v>
      </c>
      <c r="K384" s="59"/>
      <c r="L384" s="84">
        <f t="shared" si="15"/>
        <v>0</v>
      </c>
      <c r="M384" s="60" t="s">
        <v>1441</v>
      </c>
      <c r="N384" s="57"/>
      <c r="O384" s="57"/>
      <c r="P384" s="57"/>
      <c r="Q384" s="17" t="s">
        <v>19</v>
      </c>
      <c r="R384" s="70" t="str">
        <f>HYPERLINK("http://search.books.com.tw/search/query/key/9789863843245/cat/all
","
9789863843245")</f>
        <v xml:space="preserve">
9789863843245</v>
      </c>
    </row>
    <row r="385" spans="1:18" hidden="1" x14ac:dyDescent="0.25">
      <c r="A385" s="1">
        <v>381</v>
      </c>
      <c r="B385" s="56" t="s">
        <v>1442</v>
      </c>
      <c r="C385" s="57" t="s">
        <v>1443</v>
      </c>
      <c r="D385" s="57" t="s">
        <v>1444</v>
      </c>
      <c r="E385" s="58" t="s">
        <v>363</v>
      </c>
      <c r="F385" s="58" t="s">
        <v>1445</v>
      </c>
      <c r="G385" s="58"/>
      <c r="H385" s="58"/>
      <c r="I385" s="57">
        <v>380</v>
      </c>
      <c r="J385" s="79">
        <f t="shared" si="14"/>
        <v>296.39999999999998</v>
      </c>
      <c r="K385" s="59"/>
      <c r="L385" s="84">
        <f t="shared" si="15"/>
        <v>0</v>
      </c>
      <c r="M385" s="60" t="s">
        <v>1369</v>
      </c>
      <c r="N385" s="57"/>
      <c r="O385" s="57"/>
      <c r="P385" s="57"/>
      <c r="Q385" s="17" t="s">
        <v>19</v>
      </c>
      <c r="R385" s="70" t="str">
        <f>HYPERLINK("http://search.books.com.tw/search/query/key/9789869351881/cat/all
","
9789869351881")</f>
        <v xml:space="preserve">
9789869351881</v>
      </c>
    </row>
    <row r="386" spans="1:18" hidden="1" x14ac:dyDescent="0.25">
      <c r="A386" s="1">
        <v>382</v>
      </c>
      <c r="B386" s="56" t="s">
        <v>1446</v>
      </c>
      <c r="C386" s="57" t="s">
        <v>1447</v>
      </c>
      <c r="D386" s="57" t="s">
        <v>1448</v>
      </c>
      <c r="E386" s="58" t="s">
        <v>363</v>
      </c>
      <c r="F386" s="58" t="s">
        <v>1449</v>
      </c>
      <c r="G386" s="58"/>
      <c r="H386" s="58"/>
      <c r="I386" s="57">
        <v>320</v>
      </c>
      <c r="J386" s="79">
        <f t="shared" si="14"/>
        <v>249.6</v>
      </c>
      <c r="K386" s="59"/>
      <c r="L386" s="84">
        <f t="shared" si="15"/>
        <v>0</v>
      </c>
      <c r="M386" s="60" t="s">
        <v>1303</v>
      </c>
      <c r="N386" s="57"/>
      <c r="O386" s="57"/>
      <c r="P386" s="57"/>
      <c r="Q386" s="17" t="s">
        <v>19</v>
      </c>
      <c r="R386" s="70" t="str">
        <f>HYPERLINK("http://search.books.com.tw/search/query/key/9789863901488/cat/all
","
9789863901488")</f>
        <v xml:space="preserve">
9789863901488</v>
      </c>
    </row>
    <row r="387" spans="1:18" ht="33" hidden="1" x14ac:dyDescent="0.25">
      <c r="A387" s="1">
        <v>383</v>
      </c>
      <c r="B387" s="56" t="s">
        <v>1450</v>
      </c>
      <c r="C387" s="57" t="s">
        <v>1451</v>
      </c>
      <c r="D387" s="57" t="s">
        <v>1170</v>
      </c>
      <c r="E387" s="58" t="s">
        <v>363</v>
      </c>
      <c r="F387" s="58" t="s">
        <v>1452</v>
      </c>
      <c r="G387" s="58"/>
      <c r="H387" s="58"/>
      <c r="I387" s="57">
        <v>320</v>
      </c>
      <c r="J387" s="79">
        <f t="shared" si="14"/>
        <v>249.6</v>
      </c>
      <c r="K387" s="59"/>
      <c r="L387" s="84">
        <f t="shared" si="15"/>
        <v>0</v>
      </c>
      <c r="M387" s="60" t="s">
        <v>1310</v>
      </c>
      <c r="N387" s="57" t="s">
        <v>1453</v>
      </c>
      <c r="O387" s="57"/>
      <c r="P387" s="57"/>
      <c r="Q387" s="17" t="s">
        <v>19</v>
      </c>
      <c r="R387" s="70" t="str">
        <f>HYPERLINK("http://search.books.com.tw/search/query/key/9789861336725/cat/all
","
9789861336725")</f>
        <v xml:space="preserve">
9789861336725</v>
      </c>
    </row>
    <row r="388" spans="1:18" ht="49.5" hidden="1" x14ac:dyDescent="0.25">
      <c r="A388" s="1">
        <v>384</v>
      </c>
      <c r="B388" s="56" t="s">
        <v>1454</v>
      </c>
      <c r="C388" s="57" t="s">
        <v>1455</v>
      </c>
      <c r="D388" s="57" t="s">
        <v>1170</v>
      </c>
      <c r="E388" s="58" t="s">
        <v>363</v>
      </c>
      <c r="F388" s="58" t="s">
        <v>1456</v>
      </c>
      <c r="G388" s="58"/>
      <c r="H388" s="58"/>
      <c r="I388" s="57">
        <v>360</v>
      </c>
      <c r="J388" s="79">
        <f t="shared" si="14"/>
        <v>280.8</v>
      </c>
      <c r="K388" s="59"/>
      <c r="L388" s="84">
        <f t="shared" si="15"/>
        <v>0</v>
      </c>
      <c r="M388" s="60" t="s">
        <v>1317</v>
      </c>
      <c r="N388" s="56" t="s">
        <v>1457</v>
      </c>
      <c r="O388" s="57"/>
      <c r="P388" s="57"/>
      <c r="Q388" s="17" t="s">
        <v>19</v>
      </c>
      <c r="R388" s="70" t="str">
        <f>HYPERLINK("http://search.books.com.tw/search/query/key/9789861336701/cat/all
","
9789861336701")</f>
        <v xml:space="preserve">
9789861336701</v>
      </c>
    </row>
    <row r="389" spans="1:18" hidden="1" x14ac:dyDescent="0.25">
      <c r="A389" s="1">
        <v>385</v>
      </c>
      <c r="B389" s="56" t="s">
        <v>1458</v>
      </c>
      <c r="C389" s="57" t="s">
        <v>1459</v>
      </c>
      <c r="D389" s="57" t="s">
        <v>1460</v>
      </c>
      <c r="E389" s="58" t="s">
        <v>363</v>
      </c>
      <c r="F389" s="58" t="s">
        <v>1461</v>
      </c>
      <c r="G389" s="58"/>
      <c r="H389" s="58"/>
      <c r="I389" s="57">
        <v>380</v>
      </c>
      <c r="J389" s="79">
        <f t="shared" si="14"/>
        <v>296.39999999999998</v>
      </c>
      <c r="K389" s="59"/>
      <c r="L389" s="84">
        <f t="shared" si="15"/>
        <v>0</v>
      </c>
      <c r="M389" s="60" t="s">
        <v>1310</v>
      </c>
      <c r="N389" s="57"/>
      <c r="O389" s="57"/>
      <c r="P389" s="57"/>
      <c r="Q389" s="17" t="s">
        <v>19</v>
      </c>
      <c r="R389" s="70" t="str">
        <f>HYPERLINK("http://search.books.com.tw/search/query/key/9789578661189/cat/all
","
9789578661189")</f>
        <v xml:space="preserve">
9789578661189</v>
      </c>
    </row>
    <row r="390" spans="1:18" ht="33" hidden="1" x14ac:dyDescent="0.25">
      <c r="A390" s="1">
        <v>386</v>
      </c>
      <c r="B390" s="56" t="s">
        <v>1462</v>
      </c>
      <c r="C390" s="57" t="s">
        <v>1463</v>
      </c>
      <c r="D390" s="57" t="s">
        <v>1464</v>
      </c>
      <c r="E390" s="58" t="s">
        <v>363</v>
      </c>
      <c r="F390" s="58" t="s">
        <v>1465</v>
      </c>
      <c r="G390" s="58"/>
      <c r="H390" s="58"/>
      <c r="I390" s="57">
        <v>290</v>
      </c>
      <c r="J390" s="79">
        <f t="shared" ref="J390:J453" si="16">ROUND(I390*0.78,2)</f>
        <v>226.2</v>
      </c>
      <c r="K390" s="59"/>
      <c r="L390" s="84">
        <f t="shared" ref="L390:L453" si="17">K390*J390</f>
        <v>0</v>
      </c>
      <c r="M390" s="60" t="s">
        <v>1369</v>
      </c>
      <c r="N390" s="56" t="s">
        <v>1466</v>
      </c>
      <c r="O390" s="57"/>
      <c r="P390" s="57"/>
      <c r="Q390" s="17" t="s">
        <v>19</v>
      </c>
      <c r="R390" s="70" t="str">
        <f>HYPERLINK("http://search.books.com.tw/search/query/key/9789579609630/cat/all
","
9789579609630")</f>
        <v xml:space="preserve">
9789579609630</v>
      </c>
    </row>
    <row r="391" spans="1:18" hidden="1" x14ac:dyDescent="0.25">
      <c r="A391" s="1">
        <v>387</v>
      </c>
      <c r="B391" s="56" t="s">
        <v>1467</v>
      </c>
      <c r="C391" s="57" t="s">
        <v>1468</v>
      </c>
      <c r="D391" s="57" t="s">
        <v>1464</v>
      </c>
      <c r="E391" s="58" t="s">
        <v>359</v>
      </c>
      <c r="F391" s="58" t="s">
        <v>1469</v>
      </c>
      <c r="G391" s="58"/>
      <c r="H391" s="58"/>
      <c r="I391" s="57">
        <v>299</v>
      </c>
      <c r="J391" s="79">
        <f t="shared" si="16"/>
        <v>233.22</v>
      </c>
      <c r="K391" s="59"/>
      <c r="L391" s="84">
        <f t="shared" si="17"/>
        <v>0</v>
      </c>
      <c r="M391" s="60" t="s">
        <v>1317</v>
      </c>
      <c r="N391" s="57" t="s">
        <v>1470</v>
      </c>
      <c r="O391" s="57"/>
      <c r="P391" s="57"/>
      <c r="Q391" s="17" t="s">
        <v>19</v>
      </c>
      <c r="R391" s="70" t="str">
        <f>HYPERLINK("http://search.books.com.tw/search/query/key/9789579609951/cat/all
","
9789579609951")</f>
        <v xml:space="preserve">
9789579609951</v>
      </c>
    </row>
    <row r="392" spans="1:18" hidden="1" x14ac:dyDescent="0.25">
      <c r="A392" s="1">
        <v>388</v>
      </c>
      <c r="B392" s="56" t="s">
        <v>1471</v>
      </c>
      <c r="C392" s="57" t="s">
        <v>1472</v>
      </c>
      <c r="D392" s="57" t="s">
        <v>1464</v>
      </c>
      <c r="E392" s="58" t="s">
        <v>359</v>
      </c>
      <c r="F392" s="58" t="s">
        <v>1473</v>
      </c>
      <c r="G392" s="58"/>
      <c r="H392" s="58"/>
      <c r="I392" s="57">
        <v>399</v>
      </c>
      <c r="J392" s="79">
        <f t="shared" si="16"/>
        <v>311.22000000000003</v>
      </c>
      <c r="K392" s="59"/>
      <c r="L392" s="84">
        <f t="shared" si="17"/>
        <v>0</v>
      </c>
      <c r="M392" s="60" t="s">
        <v>1380</v>
      </c>
      <c r="N392" s="57" t="s">
        <v>1474</v>
      </c>
      <c r="O392" s="57"/>
      <c r="P392" s="57"/>
      <c r="Q392" s="17" t="s">
        <v>19</v>
      </c>
      <c r="R392" s="70" t="str">
        <f>HYPERLINK("http://search.books.com.tw/search/query/key/9789579609838/cat/all
","
9789579609838")</f>
        <v xml:space="preserve">
9789579609838</v>
      </c>
    </row>
    <row r="393" spans="1:18" hidden="1" x14ac:dyDescent="0.25">
      <c r="A393" s="1">
        <v>389</v>
      </c>
      <c r="B393" s="56" t="s">
        <v>1475</v>
      </c>
      <c r="C393" s="57" t="s">
        <v>1476</v>
      </c>
      <c r="D393" s="57" t="s">
        <v>1464</v>
      </c>
      <c r="E393" s="58" t="s">
        <v>363</v>
      </c>
      <c r="F393" s="58" t="s">
        <v>1477</v>
      </c>
      <c r="G393" s="58"/>
      <c r="H393" s="58"/>
      <c r="I393" s="57">
        <v>370</v>
      </c>
      <c r="J393" s="79">
        <f t="shared" si="16"/>
        <v>288.60000000000002</v>
      </c>
      <c r="K393" s="59"/>
      <c r="L393" s="84">
        <f t="shared" si="17"/>
        <v>0</v>
      </c>
      <c r="M393" s="60" t="s">
        <v>1317</v>
      </c>
      <c r="N393" s="57" t="s">
        <v>1478</v>
      </c>
      <c r="O393" s="57"/>
      <c r="P393" s="57"/>
      <c r="Q393" s="17" t="s">
        <v>19</v>
      </c>
      <c r="R393" s="70" t="str">
        <f>HYPERLINK("http://search.books.com.tw/search/query/key/9789579609982/cat/all
","
9789579609982")</f>
        <v xml:space="preserve">
9789579609982</v>
      </c>
    </row>
    <row r="394" spans="1:18" ht="82.5" hidden="1" x14ac:dyDescent="0.25">
      <c r="A394" s="1">
        <v>390</v>
      </c>
      <c r="B394" s="56" t="s">
        <v>1479</v>
      </c>
      <c r="C394" s="57" t="s">
        <v>1480</v>
      </c>
      <c r="D394" s="57" t="s">
        <v>1464</v>
      </c>
      <c r="E394" s="58" t="s">
        <v>363</v>
      </c>
      <c r="F394" s="58" t="s">
        <v>1481</v>
      </c>
      <c r="G394" s="58"/>
      <c r="H394" s="58"/>
      <c r="I394" s="57">
        <v>320</v>
      </c>
      <c r="J394" s="79">
        <f t="shared" si="16"/>
        <v>249.6</v>
      </c>
      <c r="K394" s="59"/>
      <c r="L394" s="84">
        <f t="shared" si="17"/>
        <v>0</v>
      </c>
      <c r="M394" s="60" t="s">
        <v>1369</v>
      </c>
      <c r="N394" s="56" t="s">
        <v>1482</v>
      </c>
      <c r="O394" s="57"/>
      <c r="P394" s="57"/>
      <c r="Q394" s="17" t="s">
        <v>19</v>
      </c>
      <c r="R394" s="70" t="str">
        <f>HYPERLINK("http://search.books.com.tw/search/query/key/9789577411754/cat/all
","
9789577411754")</f>
        <v xml:space="preserve">
9789577411754</v>
      </c>
    </row>
    <row r="395" spans="1:18" hidden="1" x14ac:dyDescent="0.25">
      <c r="A395" s="1">
        <v>391</v>
      </c>
      <c r="B395" s="56" t="s">
        <v>1483</v>
      </c>
      <c r="C395" s="57" t="s">
        <v>1484</v>
      </c>
      <c r="D395" s="57" t="s">
        <v>1464</v>
      </c>
      <c r="E395" s="58" t="s">
        <v>363</v>
      </c>
      <c r="F395" s="58" t="s">
        <v>1485</v>
      </c>
      <c r="G395" s="58"/>
      <c r="H395" s="58"/>
      <c r="I395" s="57">
        <v>270</v>
      </c>
      <c r="J395" s="79">
        <f t="shared" si="16"/>
        <v>210.6</v>
      </c>
      <c r="K395" s="59"/>
      <c r="L395" s="84">
        <f t="shared" si="17"/>
        <v>0</v>
      </c>
      <c r="M395" s="60" t="s">
        <v>1369</v>
      </c>
      <c r="N395" s="57" t="s">
        <v>1486</v>
      </c>
      <c r="O395" s="57"/>
      <c r="P395" s="57"/>
      <c r="Q395" s="17" t="s">
        <v>19</v>
      </c>
      <c r="R395" s="70" t="str">
        <f>HYPERLINK("http://search.books.com.tw/search/query/key/9789579609975/cat/all
","
9789579609975")</f>
        <v xml:space="preserve">
9789579609975</v>
      </c>
    </row>
    <row r="396" spans="1:18" hidden="1" x14ac:dyDescent="0.25">
      <c r="A396" s="1">
        <v>392</v>
      </c>
      <c r="B396" s="56" t="s">
        <v>1487</v>
      </c>
      <c r="C396" s="57" t="s">
        <v>1488</v>
      </c>
      <c r="D396" s="57" t="s">
        <v>1464</v>
      </c>
      <c r="E396" s="58" t="s">
        <v>363</v>
      </c>
      <c r="F396" s="58" t="s">
        <v>1489</v>
      </c>
      <c r="G396" s="58"/>
      <c r="H396" s="58"/>
      <c r="I396" s="57">
        <v>250</v>
      </c>
      <c r="J396" s="79">
        <f t="shared" si="16"/>
        <v>195</v>
      </c>
      <c r="K396" s="59"/>
      <c r="L396" s="84">
        <f t="shared" si="17"/>
        <v>0</v>
      </c>
      <c r="M396" s="60" t="s">
        <v>1490</v>
      </c>
      <c r="N396" s="57" t="s">
        <v>1491</v>
      </c>
      <c r="O396" s="57"/>
      <c r="P396" s="57"/>
      <c r="Q396" s="17" t="s">
        <v>19</v>
      </c>
      <c r="R396" s="70" t="str">
        <f>HYPERLINK("http://search.books.com.tw/search/query/key/9789579609494/cat/all
","
9789579609494")</f>
        <v xml:space="preserve">
9789579609494</v>
      </c>
    </row>
    <row r="397" spans="1:18" hidden="1" x14ac:dyDescent="0.25">
      <c r="A397" s="1">
        <v>393</v>
      </c>
      <c r="B397" s="56" t="s">
        <v>1492</v>
      </c>
      <c r="C397" s="57" t="s">
        <v>1493</v>
      </c>
      <c r="D397" s="57" t="s">
        <v>1494</v>
      </c>
      <c r="E397" s="58" t="s">
        <v>359</v>
      </c>
      <c r="F397" s="58" t="s">
        <v>1495</v>
      </c>
      <c r="G397" s="58"/>
      <c r="H397" s="58"/>
      <c r="I397" s="57">
        <v>300</v>
      </c>
      <c r="J397" s="79">
        <f t="shared" si="16"/>
        <v>234</v>
      </c>
      <c r="K397" s="59"/>
      <c r="L397" s="84">
        <f t="shared" si="17"/>
        <v>0</v>
      </c>
      <c r="M397" s="60" t="s">
        <v>1369</v>
      </c>
      <c r="N397" s="57"/>
      <c r="O397" s="57"/>
      <c r="P397" s="57"/>
      <c r="Q397" s="17" t="s">
        <v>19</v>
      </c>
      <c r="R397" s="70" t="str">
        <f>HYPERLINK("http://search.books.com.tw/search/query/key/9789869447935/cat/all
","
9789869447935")</f>
        <v xml:space="preserve">
9789869447935</v>
      </c>
    </row>
    <row r="398" spans="1:18" ht="33" hidden="1" x14ac:dyDescent="0.25">
      <c r="A398" s="1">
        <v>394</v>
      </c>
      <c r="B398" s="56" t="s">
        <v>1496</v>
      </c>
      <c r="C398" s="57" t="s">
        <v>1497</v>
      </c>
      <c r="D398" s="57" t="s">
        <v>1498</v>
      </c>
      <c r="E398" s="58" t="s">
        <v>359</v>
      </c>
      <c r="F398" s="58" t="s">
        <v>1499</v>
      </c>
      <c r="G398" s="58"/>
      <c r="H398" s="58"/>
      <c r="I398" s="57">
        <v>199</v>
      </c>
      <c r="J398" s="79">
        <f t="shared" si="16"/>
        <v>155.22</v>
      </c>
      <c r="K398" s="59"/>
      <c r="L398" s="84">
        <f t="shared" si="17"/>
        <v>0</v>
      </c>
      <c r="M398" s="60" t="s">
        <v>1369</v>
      </c>
      <c r="N398" s="57"/>
      <c r="O398" s="57"/>
      <c r="P398" s="57"/>
      <c r="Q398" s="17" t="s">
        <v>19</v>
      </c>
      <c r="R398" s="70" t="str">
        <f>HYPERLINK("http://search.books.com.tw/search/query/key/9789863872665/cat/all
","
9789863872665")</f>
        <v xml:space="preserve">
9789863872665</v>
      </c>
    </row>
    <row r="399" spans="1:18" hidden="1" x14ac:dyDescent="0.25">
      <c r="A399" s="1">
        <v>395</v>
      </c>
      <c r="B399" s="56" t="s">
        <v>1500</v>
      </c>
      <c r="C399" s="57" t="s">
        <v>1501</v>
      </c>
      <c r="D399" s="57" t="s">
        <v>1498</v>
      </c>
      <c r="E399" s="58" t="s">
        <v>363</v>
      </c>
      <c r="F399" s="58" t="s">
        <v>1502</v>
      </c>
      <c r="G399" s="58"/>
      <c r="H399" s="58"/>
      <c r="I399" s="57">
        <v>330</v>
      </c>
      <c r="J399" s="79">
        <f t="shared" si="16"/>
        <v>257.39999999999998</v>
      </c>
      <c r="K399" s="59"/>
      <c r="L399" s="84">
        <f t="shared" si="17"/>
        <v>0</v>
      </c>
      <c r="M399" s="60" t="s">
        <v>1327</v>
      </c>
      <c r="N399" s="57"/>
      <c r="O399" s="57"/>
      <c r="P399" s="57"/>
      <c r="Q399" s="17" t="s">
        <v>19</v>
      </c>
      <c r="R399" s="70" t="str">
        <f>HYPERLINK("http://search.books.com.tw/search/query/key/9789863872634/cat/all
","
9789863872634")</f>
        <v xml:space="preserve">
9789863872634</v>
      </c>
    </row>
    <row r="400" spans="1:18" hidden="1" x14ac:dyDescent="0.25">
      <c r="A400" s="1">
        <v>396</v>
      </c>
      <c r="B400" s="56" t="s">
        <v>1503</v>
      </c>
      <c r="C400" s="57" t="s">
        <v>1504</v>
      </c>
      <c r="D400" s="57" t="s">
        <v>1505</v>
      </c>
      <c r="E400" s="58" t="s">
        <v>1506</v>
      </c>
      <c r="F400" s="58" t="s">
        <v>1507</v>
      </c>
      <c r="G400" s="58"/>
      <c r="H400" s="58"/>
      <c r="I400" s="57">
        <v>280</v>
      </c>
      <c r="J400" s="79">
        <f t="shared" si="16"/>
        <v>218.4</v>
      </c>
      <c r="K400" s="59"/>
      <c r="L400" s="84">
        <f t="shared" si="17"/>
        <v>0</v>
      </c>
      <c r="M400" s="60" t="s">
        <v>1508</v>
      </c>
      <c r="N400" s="57"/>
      <c r="O400" s="57"/>
      <c r="P400" s="57"/>
      <c r="Q400" s="17" t="s">
        <v>19</v>
      </c>
      <c r="R400" s="70" t="s">
        <v>1509</v>
      </c>
    </row>
    <row r="401" spans="1:18" hidden="1" x14ac:dyDescent="0.25">
      <c r="A401" s="1">
        <v>397</v>
      </c>
      <c r="B401" s="56" t="s">
        <v>1510</v>
      </c>
      <c r="C401" s="57" t="s">
        <v>1504</v>
      </c>
      <c r="D401" s="57" t="s">
        <v>1505</v>
      </c>
      <c r="E401" s="58" t="s">
        <v>368</v>
      </c>
      <c r="F401" s="58" t="s">
        <v>1511</v>
      </c>
      <c r="G401" s="58"/>
      <c r="H401" s="58"/>
      <c r="I401" s="57">
        <v>280</v>
      </c>
      <c r="J401" s="79">
        <f t="shared" si="16"/>
        <v>218.4</v>
      </c>
      <c r="K401" s="59"/>
      <c r="L401" s="84">
        <f t="shared" si="17"/>
        <v>0</v>
      </c>
      <c r="M401" s="60" t="s">
        <v>1508</v>
      </c>
      <c r="N401" s="57"/>
      <c r="O401" s="57"/>
      <c r="P401" s="57"/>
      <c r="Q401" s="17" t="s">
        <v>19</v>
      </c>
      <c r="R401" s="70" t="str">
        <f>HYPERLINK("http://search.books.com.tw/search/query/key/9789571084299/cat/all
","
9789571084299")</f>
        <v xml:space="preserve">
9789571084299</v>
      </c>
    </row>
    <row r="402" spans="1:18" ht="66" hidden="1" x14ac:dyDescent="0.25">
      <c r="A402" s="1">
        <v>398</v>
      </c>
      <c r="B402" s="56" t="s">
        <v>1512</v>
      </c>
      <c r="C402" s="57" t="s">
        <v>1513</v>
      </c>
      <c r="D402" s="57" t="s">
        <v>1505</v>
      </c>
      <c r="E402" s="58" t="s">
        <v>368</v>
      </c>
      <c r="F402" s="58" t="s">
        <v>1514</v>
      </c>
      <c r="G402" s="58"/>
      <c r="H402" s="58"/>
      <c r="I402" s="57">
        <v>280</v>
      </c>
      <c r="J402" s="79">
        <f t="shared" si="16"/>
        <v>218.4</v>
      </c>
      <c r="K402" s="59"/>
      <c r="L402" s="84">
        <f t="shared" si="17"/>
        <v>0</v>
      </c>
      <c r="M402" s="60" t="s">
        <v>1317</v>
      </c>
      <c r="N402" s="56" t="s">
        <v>1515</v>
      </c>
      <c r="O402" s="57"/>
      <c r="P402" s="57"/>
      <c r="Q402" s="17" t="s">
        <v>19</v>
      </c>
      <c r="R402" s="70" t="str">
        <f>HYPERLINK("http://search.books.com.tw/search/query/key/9789571083100/cat/all
","
9789571083100")</f>
        <v xml:space="preserve">
9789571083100</v>
      </c>
    </row>
    <row r="403" spans="1:18" hidden="1" x14ac:dyDescent="0.25">
      <c r="A403" s="1">
        <v>399</v>
      </c>
      <c r="B403" s="56" t="s">
        <v>1516</v>
      </c>
      <c r="C403" s="57" t="s">
        <v>1517</v>
      </c>
      <c r="D403" s="57" t="s">
        <v>1505</v>
      </c>
      <c r="E403" s="58" t="s">
        <v>363</v>
      </c>
      <c r="F403" s="58" t="s">
        <v>1518</v>
      </c>
      <c r="G403" s="58"/>
      <c r="H403" s="58"/>
      <c r="I403" s="57">
        <v>340</v>
      </c>
      <c r="J403" s="79">
        <f t="shared" si="16"/>
        <v>265.2</v>
      </c>
      <c r="K403" s="59"/>
      <c r="L403" s="84">
        <f t="shared" si="17"/>
        <v>0</v>
      </c>
      <c r="M403" s="60" t="s">
        <v>1519</v>
      </c>
      <c r="N403" s="57" t="s">
        <v>1520</v>
      </c>
      <c r="O403" s="57"/>
      <c r="P403" s="57"/>
      <c r="Q403" s="17" t="s">
        <v>19</v>
      </c>
      <c r="R403" s="70" t="str">
        <f>HYPERLINK("http://search.books.com.tw/search/query/key/9789571083377/cat/all
","
9789571083377")</f>
        <v xml:space="preserve">
9789571083377</v>
      </c>
    </row>
    <row r="404" spans="1:18" hidden="1" x14ac:dyDescent="0.25">
      <c r="A404" s="1">
        <v>400</v>
      </c>
      <c r="B404" s="56" t="s">
        <v>1521</v>
      </c>
      <c r="C404" s="57" t="s">
        <v>1522</v>
      </c>
      <c r="D404" s="57" t="s">
        <v>1505</v>
      </c>
      <c r="E404" s="58" t="s">
        <v>363</v>
      </c>
      <c r="F404" s="58" t="s">
        <v>1523</v>
      </c>
      <c r="G404" s="58"/>
      <c r="H404" s="58"/>
      <c r="I404" s="57">
        <v>280</v>
      </c>
      <c r="J404" s="79">
        <f t="shared" si="16"/>
        <v>218.4</v>
      </c>
      <c r="K404" s="59"/>
      <c r="L404" s="84">
        <f t="shared" si="17"/>
        <v>0</v>
      </c>
      <c r="M404" s="60" t="s">
        <v>1317</v>
      </c>
      <c r="N404" s="57"/>
      <c r="O404" s="57"/>
      <c r="P404" s="57"/>
      <c r="Q404" s="17" t="s">
        <v>19</v>
      </c>
      <c r="R404" s="70" t="str">
        <f>HYPERLINK("http://search.books.com.tw/search/query/key/9789571083094/cat/all
","
9789571083094")</f>
        <v xml:space="preserve">
9789571083094</v>
      </c>
    </row>
    <row r="405" spans="1:18" hidden="1" x14ac:dyDescent="0.25">
      <c r="A405" s="1">
        <v>401</v>
      </c>
      <c r="B405" s="56" t="s">
        <v>1524</v>
      </c>
      <c r="C405" s="57" t="s">
        <v>1525</v>
      </c>
      <c r="D405" s="57" t="s">
        <v>1526</v>
      </c>
      <c r="E405" s="58" t="s">
        <v>363</v>
      </c>
      <c r="F405" s="58" t="s">
        <v>1527</v>
      </c>
      <c r="G405" s="58"/>
      <c r="H405" s="58"/>
      <c r="I405" s="57">
        <v>398</v>
      </c>
      <c r="J405" s="79">
        <f t="shared" si="16"/>
        <v>310.44</v>
      </c>
      <c r="K405" s="59"/>
      <c r="L405" s="84">
        <f t="shared" si="17"/>
        <v>0</v>
      </c>
      <c r="M405" s="60" t="s">
        <v>1528</v>
      </c>
      <c r="N405" s="57"/>
      <c r="O405" s="57"/>
      <c r="P405" s="57"/>
      <c r="Q405" s="17" t="s">
        <v>19</v>
      </c>
      <c r="R405" s="70" t="str">
        <f>HYPERLINK("http://search.books.com.tw/search/query/key/9789869652476/cat/all
","
9789869652476")</f>
        <v xml:space="preserve">
9789869652476</v>
      </c>
    </row>
    <row r="406" spans="1:18" hidden="1" x14ac:dyDescent="0.25">
      <c r="A406" s="1">
        <v>402</v>
      </c>
      <c r="B406" s="56" t="s">
        <v>1529</v>
      </c>
      <c r="C406" s="57" t="s">
        <v>1530</v>
      </c>
      <c r="D406" s="57" t="s">
        <v>1526</v>
      </c>
      <c r="E406" s="58" t="s">
        <v>363</v>
      </c>
      <c r="F406" s="58" t="s">
        <v>1531</v>
      </c>
      <c r="G406" s="58"/>
      <c r="H406" s="58"/>
      <c r="I406" s="57">
        <v>380</v>
      </c>
      <c r="J406" s="79">
        <f t="shared" si="16"/>
        <v>296.39999999999998</v>
      </c>
      <c r="K406" s="59"/>
      <c r="L406" s="84">
        <f t="shared" si="17"/>
        <v>0</v>
      </c>
      <c r="M406" s="60" t="s">
        <v>1528</v>
      </c>
      <c r="N406" s="57"/>
      <c r="O406" s="57"/>
      <c r="P406" s="57"/>
      <c r="Q406" s="17" t="s">
        <v>19</v>
      </c>
      <c r="R406" s="70" t="str">
        <f>HYPERLINK("http://search.books.com.tw/search/query/key/9789863895619/cat/all
","
9789863895619")</f>
        <v xml:space="preserve">
9789863895619</v>
      </c>
    </row>
    <row r="407" spans="1:18" hidden="1" x14ac:dyDescent="0.25">
      <c r="A407" s="1">
        <v>403</v>
      </c>
      <c r="B407" s="56" t="s">
        <v>1532</v>
      </c>
      <c r="C407" s="57" t="s">
        <v>1530</v>
      </c>
      <c r="D407" s="57" t="s">
        <v>1526</v>
      </c>
      <c r="E407" s="58" t="s">
        <v>368</v>
      </c>
      <c r="F407" s="58" t="s">
        <v>1533</v>
      </c>
      <c r="G407" s="58"/>
      <c r="H407" s="58"/>
      <c r="I407" s="57">
        <v>380</v>
      </c>
      <c r="J407" s="79">
        <f t="shared" si="16"/>
        <v>296.39999999999998</v>
      </c>
      <c r="K407" s="59"/>
      <c r="L407" s="84">
        <f t="shared" si="17"/>
        <v>0</v>
      </c>
      <c r="M407" s="60" t="s">
        <v>1528</v>
      </c>
      <c r="N407" s="57"/>
      <c r="O407" s="57"/>
      <c r="P407" s="57"/>
      <c r="Q407" s="17" t="s">
        <v>19</v>
      </c>
      <c r="R407" s="70" t="str">
        <f>HYPERLINK("http://search.books.com.tw/search/query/key/9789863895626/cat/all
","
9789863895626")</f>
        <v xml:space="preserve">
9789863895626</v>
      </c>
    </row>
    <row r="408" spans="1:18" ht="33" hidden="1" x14ac:dyDescent="0.25">
      <c r="A408" s="1">
        <v>404</v>
      </c>
      <c r="B408" s="56" t="s">
        <v>1534</v>
      </c>
      <c r="C408" s="57" t="s">
        <v>1535</v>
      </c>
      <c r="D408" s="57" t="s">
        <v>1526</v>
      </c>
      <c r="E408" s="58" t="s">
        <v>363</v>
      </c>
      <c r="F408" s="58" t="s">
        <v>1536</v>
      </c>
      <c r="G408" s="58"/>
      <c r="H408" s="58"/>
      <c r="I408" s="57">
        <v>399</v>
      </c>
      <c r="J408" s="79">
        <f t="shared" si="16"/>
        <v>311.22000000000003</v>
      </c>
      <c r="K408" s="59"/>
      <c r="L408" s="84">
        <f t="shared" si="17"/>
        <v>0</v>
      </c>
      <c r="M408" s="60" t="s">
        <v>1537</v>
      </c>
      <c r="N408" s="57"/>
      <c r="O408" s="57"/>
      <c r="P408" s="57"/>
      <c r="Q408" s="17" t="s">
        <v>19</v>
      </c>
      <c r="R408" s="70" t="str">
        <f>HYPERLINK("http://search.books.com.tw/search/query/key/9789863895657/cat/all
","
9789863895657")</f>
        <v xml:space="preserve">
9789863895657</v>
      </c>
    </row>
    <row r="409" spans="1:18" hidden="1" x14ac:dyDescent="0.25">
      <c r="A409" s="1">
        <v>405</v>
      </c>
      <c r="B409" s="56" t="s">
        <v>1538</v>
      </c>
      <c r="C409" s="57" t="s">
        <v>1539</v>
      </c>
      <c r="D409" s="57" t="s">
        <v>966</v>
      </c>
      <c r="E409" s="58" t="s">
        <v>368</v>
      </c>
      <c r="F409" s="58" t="s">
        <v>1540</v>
      </c>
      <c r="G409" s="58"/>
      <c r="H409" s="58"/>
      <c r="I409" s="57">
        <v>320</v>
      </c>
      <c r="J409" s="79">
        <f t="shared" si="16"/>
        <v>249.6</v>
      </c>
      <c r="K409" s="59"/>
      <c r="L409" s="84">
        <f t="shared" si="17"/>
        <v>0</v>
      </c>
      <c r="M409" s="60" t="s">
        <v>1303</v>
      </c>
      <c r="N409" s="57"/>
      <c r="O409" s="57"/>
      <c r="P409" s="57"/>
      <c r="Q409" s="17" t="s">
        <v>19</v>
      </c>
      <c r="R409" s="70" t="str">
        <f>HYPERLINK("http://search.books.com.tw/search/query/key/9789863266204/cat/all
","
9789863266204")</f>
        <v xml:space="preserve">
9789863266204</v>
      </c>
    </row>
    <row r="410" spans="1:18" ht="33" hidden="1" x14ac:dyDescent="0.25">
      <c r="A410" s="1">
        <v>406</v>
      </c>
      <c r="B410" s="56" t="s">
        <v>1541</v>
      </c>
      <c r="C410" s="57" t="s">
        <v>1542</v>
      </c>
      <c r="D410" s="57" t="s">
        <v>966</v>
      </c>
      <c r="E410" s="58" t="s">
        <v>368</v>
      </c>
      <c r="F410" s="58" t="s">
        <v>1543</v>
      </c>
      <c r="G410" s="58"/>
      <c r="H410" s="58"/>
      <c r="I410" s="57">
        <v>590</v>
      </c>
      <c r="J410" s="79">
        <f t="shared" si="16"/>
        <v>460.2</v>
      </c>
      <c r="K410" s="59"/>
      <c r="L410" s="84">
        <f t="shared" si="17"/>
        <v>0</v>
      </c>
      <c r="M410" s="60" t="s">
        <v>1303</v>
      </c>
      <c r="N410" s="57"/>
      <c r="O410" s="57"/>
      <c r="P410" s="57"/>
      <c r="Q410" s="17" t="s">
        <v>19</v>
      </c>
      <c r="R410" s="70" t="str">
        <f>HYPERLINK("http://search.books.com.tw/search/query/key/9789869618694/cat/all
","
9789869618694")</f>
        <v xml:space="preserve">
9789869618694</v>
      </c>
    </row>
    <row r="411" spans="1:18" hidden="1" x14ac:dyDescent="0.25">
      <c r="A411" s="1">
        <v>407</v>
      </c>
      <c r="B411" s="56" t="s">
        <v>1544</v>
      </c>
      <c r="C411" s="57" t="s">
        <v>1545</v>
      </c>
      <c r="D411" s="57" t="s">
        <v>966</v>
      </c>
      <c r="E411" s="58" t="s">
        <v>368</v>
      </c>
      <c r="F411" s="58" t="s">
        <v>1546</v>
      </c>
      <c r="G411" s="58"/>
      <c r="H411" s="58"/>
      <c r="I411" s="57">
        <v>250</v>
      </c>
      <c r="J411" s="79">
        <f t="shared" si="16"/>
        <v>195</v>
      </c>
      <c r="K411" s="59"/>
      <c r="L411" s="84">
        <f t="shared" si="17"/>
        <v>0</v>
      </c>
      <c r="M411" s="60" t="s">
        <v>1303</v>
      </c>
      <c r="N411" s="57"/>
      <c r="O411" s="57"/>
      <c r="P411" s="57"/>
      <c r="Q411" s="17" t="s">
        <v>19</v>
      </c>
      <c r="R411" s="70" t="str">
        <f>HYPERLINK("http://search.books.com.tw/search/query/key/9789863266334/cat/all
","
9789863266334")</f>
        <v xml:space="preserve">
9789863266334</v>
      </c>
    </row>
    <row r="412" spans="1:18" hidden="1" x14ac:dyDescent="0.25">
      <c r="A412" s="1">
        <v>408</v>
      </c>
      <c r="B412" s="56" t="s">
        <v>1547</v>
      </c>
      <c r="C412" s="57" t="s">
        <v>1548</v>
      </c>
      <c r="D412" s="57" t="s">
        <v>966</v>
      </c>
      <c r="E412" s="58" t="s">
        <v>368</v>
      </c>
      <c r="F412" s="58" t="s">
        <v>1549</v>
      </c>
      <c r="G412" s="58"/>
      <c r="H412" s="58"/>
      <c r="I412" s="57">
        <v>420</v>
      </c>
      <c r="J412" s="79">
        <f t="shared" si="16"/>
        <v>327.60000000000002</v>
      </c>
      <c r="K412" s="59"/>
      <c r="L412" s="84">
        <f t="shared" si="17"/>
        <v>0</v>
      </c>
      <c r="M412" s="60" t="s">
        <v>1375</v>
      </c>
      <c r="N412" s="57"/>
      <c r="O412" s="57"/>
      <c r="P412" s="57"/>
      <c r="Q412" s="17" t="s">
        <v>19</v>
      </c>
      <c r="R412" s="70" t="str">
        <f>HYPERLINK("http://search.books.com.tw/search/query/key/9789869705301/cat/all
","
9789869705301")</f>
        <v xml:space="preserve">
9789869705301</v>
      </c>
    </row>
    <row r="413" spans="1:18" hidden="1" x14ac:dyDescent="0.25">
      <c r="A413" s="1">
        <v>409</v>
      </c>
      <c r="B413" s="56" t="s">
        <v>1550</v>
      </c>
      <c r="C413" s="57" t="s">
        <v>1551</v>
      </c>
      <c r="D413" s="57" t="s">
        <v>966</v>
      </c>
      <c r="E413" s="58" t="s">
        <v>368</v>
      </c>
      <c r="F413" s="58" t="s">
        <v>1552</v>
      </c>
      <c r="G413" s="58"/>
      <c r="H413" s="58"/>
      <c r="I413" s="57">
        <v>360</v>
      </c>
      <c r="J413" s="79">
        <f t="shared" si="16"/>
        <v>280.8</v>
      </c>
      <c r="K413" s="59"/>
      <c r="L413" s="84">
        <f t="shared" si="17"/>
        <v>0</v>
      </c>
      <c r="M413" s="60" t="s">
        <v>1303</v>
      </c>
      <c r="N413" s="57"/>
      <c r="O413" s="57"/>
      <c r="P413" s="57"/>
      <c r="Q413" s="17" t="s">
        <v>19</v>
      </c>
      <c r="R413" s="70" t="str">
        <f>HYPERLINK("http://search.books.com.tw/search/query/key/9789863266310/cat/all
","
9789863266310")</f>
        <v xml:space="preserve">
9789863266310</v>
      </c>
    </row>
    <row r="414" spans="1:18" hidden="1" x14ac:dyDescent="0.25">
      <c r="A414" s="1">
        <v>410</v>
      </c>
      <c r="B414" s="56" t="s">
        <v>1553</v>
      </c>
      <c r="C414" s="57" t="s">
        <v>1554</v>
      </c>
      <c r="D414" s="57" t="s">
        <v>966</v>
      </c>
      <c r="E414" s="58" t="s">
        <v>368</v>
      </c>
      <c r="F414" s="58" t="s">
        <v>1555</v>
      </c>
      <c r="G414" s="58"/>
      <c r="H414" s="58"/>
      <c r="I414" s="57">
        <v>320</v>
      </c>
      <c r="J414" s="79">
        <f t="shared" si="16"/>
        <v>249.6</v>
      </c>
      <c r="K414" s="59"/>
      <c r="L414" s="84">
        <f t="shared" si="17"/>
        <v>0</v>
      </c>
      <c r="M414" s="60" t="s">
        <v>1303</v>
      </c>
      <c r="N414" s="57"/>
      <c r="O414" s="57"/>
      <c r="P414" s="57"/>
      <c r="Q414" s="17" t="s">
        <v>19</v>
      </c>
      <c r="R414" s="70" t="str">
        <f>HYPERLINK("http://search.books.com.tw/search/query/key/9789863266365/cat/all
","
9789863266365")</f>
        <v xml:space="preserve">
9789863266365</v>
      </c>
    </row>
    <row r="415" spans="1:18" hidden="1" x14ac:dyDescent="0.25">
      <c r="A415" s="1">
        <v>411</v>
      </c>
      <c r="B415" s="56" t="s">
        <v>1556</v>
      </c>
      <c r="C415" s="57" t="s">
        <v>1557</v>
      </c>
      <c r="D415" s="57" t="s">
        <v>966</v>
      </c>
      <c r="E415" s="58" t="s">
        <v>368</v>
      </c>
      <c r="F415" s="58" t="s">
        <v>1558</v>
      </c>
      <c r="G415" s="58"/>
      <c r="H415" s="58"/>
      <c r="I415" s="57">
        <v>470</v>
      </c>
      <c r="J415" s="79">
        <f t="shared" si="16"/>
        <v>366.6</v>
      </c>
      <c r="K415" s="59"/>
      <c r="L415" s="84">
        <f t="shared" si="17"/>
        <v>0</v>
      </c>
      <c r="M415" s="60" t="s">
        <v>1303</v>
      </c>
      <c r="N415" s="57"/>
      <c r="O415" s="57"/>
      <c r="P415" s="57"/>
      <c r="Q415" s="17" t="s">
        <v>19</v>
      </c>
      <c r="R415" s="70" t="str">
        <f>HYPERLINK("http://search.books.com.tw/search/query/key/9789863266426/cat/all
","
9789863266426")</f>
        <v xml:space="preserve">
9789863266426</v>
      </c>
    </row>
    <row r="416" spans="1:18" hidden="1" x14ac:dyDescent="0.25">
      <c r="A416" s="1">
        <v>412</v>
      </c>
      <c r="B416" s="56" t="s">
        <v>1559</v>
      </c>
      <c r="C416" s="57" t="s">
        <v>1560</v>
      </c>
      <c r="D416" s="57" t="s">
        <v>966</v>
      </c>
      <c r="E416" s="58" t="s">
        <v>368</v>
      </c>
      <c r="F416" s="58" t="s">
        <v>1561</v>
      </c>
      <c r="G416" s="58"/>
      <c r="H416" s="58"/>
      <c r="I416" s="57">
        <v>420</v>
      </c>
      <c r="J416" s="79">
        <f t="shared" si="16"/>
        <v>327.60000000000002</v>
      </c>
      <c r="K416" s="59"/>
      <c r="L416" s="84">
        <f t="shared" si="17"/>
        <v>0</v>
      </c>
      <c r="M416" s="60" t="s">
        <v>1303</v>
      </c>
      <c r="N416" s="57"/>
      <c r="O416" s="57"/>
      <c r="P416" s="57"/>
      <c r="Q416" s="17" t="s">
        <v>19</v>
      </c>
      <c r="R416" s="70" t="str">
        <f>HYPERLINK("http://search.books.com.tw/search/query/key/9789863266303/cat/all
","
9789863266303")</f>
        <v xml:space="preserve">
9789863266303</v>
      </c>
    </row>
    <row r="417" spans="1:18" hidden="1" x14ac:dyDescent="0.25">
      <c r="A417" s="1">
        <v>413</v>
      </c>
      <c r="B417" s="56" t="s">
        <v>1562</v>
      </c>
      <c r="C417" s="57" t="s">
        <v>1563</v>
      </c>
      <c r="D417" s="57" t="s">
        <v>966</v>
      </c>
      <c r="E417" s="58" t="s">
        <v>368</v>
      </c>
      <c r="F417" s="58" t="s">
        <v>1564</v>
      </c>
      <c r="G417" s="58"/>
      <c r="H417" s="58"/>
      <c r="I417" s="57">
        <v>430</v>
      </c>
      <c r="J417" s="79">
        <f t="shared" si="16"/>
        <v>335.4</v>
      </c>
      <c r="K417" s="59"/>
      <c r="L417" s="84">
        <f t="shared" si="17"/>
        <v>0</v>
      </c>
      <c r="M417" s="60" t="s">
        <v>1303</v>
      </c>
      <c r="N417" s="57"/>
      <c r="O417" s="57"/>
      <c r="P417" s="57"/>
      <c r="Q417" s="17" t="s">
        <v>19</v>
      </c>
      <c r="R417" s="70" t="str">
        <f>HYPERLINK("http://search.books.com.tw/search/query/key/9789863266280/cat/all
","
9789863266280")</f>
        <v xml:space="preserve">
9789863266280</v>
      </c>
    </row>
    <row r="418" spans="1:18" hidden="1" x14ac:dyDescent="0.25">
      <c r="A418" s="1">
        <v>414</v>
      </c>
      <c r="B418" s="56" t="s">
        <v>1565</v>
      </c>
      <c r="C418" s="57" t="s">
        <v>1566</v>
      </c>
      <c r="D418" s="57" t="s">
        <v>966</v>
      </c>
      <c r="E418" s="58" t="s">
        <v>368</v>
      </c>
      <c r="F418" s="58" t="s">
        <v>1567</v>
      </c>
      <c r="G418" s="58"/>
      <c r="H418" s="58"/>
      <c r="I418" s="57">
        <v>310</v>
      </c>
      <c r="J418" s="79">
        <f t="shared" si="16"/>
        <v>241.8</v>
      </c>
      <c r="K418" s="59"/>
      <c r="L418" s="84">
        <f t="shared" si="17"/>
        <v>0</v>
      </c>
      <c r="M418" s="60" t="s">
        <v>1303</v>
      </c>
      <c r="N418" s="57"/>
      <c r="O418" s="57"/>
      <c r="P418" s="57"/>
      <c r="Q418" s="17" t="s">
        <v>19</v>
      </c>
      <c r="R418" s="70" t="str">
        <f>HYPERLINK("http://search.books.com.tw/search/query/key/9789863266440/cat/all
","
9789863266440")</f>
        <v xml:space="preserve">
9789863266440</v>
      </c>
    </row>
    <row r="419" spans="1:18" hidden="1" x14ac:dyDescent="0.25">
      <c r="A419" s="1">
        <v>415</v>
      </c>
      <c r="B419" s="56" t="s">
        <v>1568</v>
      </c>
      <c r="C419" s="57" t="s">
        <v>1569</v>
      </c>
      <c r="D419" s="57" t="s">
        <v>966</v>
      </c>
      <c r="E419" s="58" t="s">
        <v>368</v>
      </c>
      <c r="F419" s="58" t="s">
        <v>1570</v>
      </c>
      <c r="G419" s="58"/>
      <c r="H419" s="58"/>
      <c r="I419" s="57">
        <v>220</v>
      </c>
      <c r="J419" s="79">
        <f t="shared" si="16"/>
        <v>171.6</v>
      </c>
      <c r="K419" s="59"/>
      <c r="L419" s="84">
        <f t="shared" si="17"/>
        <v>0</v>
      </c>
      <c r="M419" s="60" t="s">
        <v>1303</v>
      </c>
      <c r="N419" s="57"/>
      <c r="O419" s="57"/>
      <c r="P419" s="57"/>
      <c r="Q419" s="17" t="s">
        <v>19</v>
      </c>
      <c r="R419" s="70" t="str">
        <f>HYPERLINK("http://search.books.com.tw/search/query/key/9789863266457/cat/all
","
9789863266457")</f>
        <v xml:space="preserve">
9789863266457</v>
      </c>
    </row>
    <row r="420" spans="1:18" hidden="1" x14ac:dyDescent="0.25">
      <c r="A420" s="1">
        <v>416</v>
      </c>
      <c r="B420" s="56" t="s">
        <v>1571</v>
      </c>
      <c r="C420" s="57" t="s">
        <v>1572</v>
      </c>
      <c r="D420" s="57" t="s">
        <v>966</v>
      </c>
      <c r="E420" s="58" t="s">
        <v>363</v>
      </c>
      <c r="F420" s="58" t="s">
        <v>1573</v>
      </c>
      <c r="G420" s="58"/>
      <c r="H420" s="58"/>
      <c r="I420" s="57">
        <v>400</v>
      </c>
      <c r="J420" s="79">
        <f t="shared" si="16"/>
        <v>312</v>
      </c>
      <c r="K420" s="59"/>
      <c r="L420" s="84">
        <f t="shared" si="17"/>
        <v>0</v>
      </c>
      <c r="M420" s="60" t="s">
        <v>1303</v>
      </c>
      <c r="N420" s="57"/>
      <c r="O420" s="57"/>
      <c r="P420" s="57"/>
      <c r="Q420" s="17" t="s">
        <v>19</v>
      </c>
      <c r="R420" s="70" t="str">
        <f>HYPERLINK("http://search.books.com.tw/search/query/key/9789863266198/cat/all
","
9789863266198")</f>
        <v xml:space="preserve">
9789863266198</v>
      </c>
    </row>
    <row r="421" spans="1:18" hidden="1" x14ac:dyDescent="0.25">
      <c r="A421" s="1">
        <v>417</v>
      </c>
      <c r="B421" s="56" t="s">
        <v>1574</v>
      </c>
      <c r="C421" s="57" t="s">
        <v>1575</v>
      </c>
      <c r="D421" s="57" t="s">
        <v>1576</v>
      </c>
      <c r="E421" s="58" t="s">
        <v>363</v>
      </c>
      <c r="F421" s="58" t="s">
        <v>1577</v>
      </c>
      <c r="G421" s="58"/>
      <c r="H421" s="58"/>
      <c r="I421" s="57">
        <v>330</v>
      </c>
      <c r="J421" s="79">
        <f t="shared" si="16"/>
        <v>257.39999999999998</v>
      </c>
      <c r="K421" s="59"/>
      <c r="L421" s="84">
        <f t="shared" si="17"/>
        <v>0</v>
      </c>
      <c r="M421" s="60" t="s">
        <v>1369</v>
      </c>
      <c r="N421" s="57" t="s">
        <v>1578</v>
      </c>
      <c r="O421" s="57"/>
      <c r="P421" s="57"/>
      <c r="Q421" s="17" t="s">
        <v>19</v>
      </c>
      <c r="R421" s="70" t="str">
        <f>HYPERLINK("http://search.books.com.tw/search/query/key/9789869669382/cat/all
","
9789869669382")</f>
        <v xml:space="preserve">
9789869669382</v>
      </c>
    </row>
    <row r="422" spans="1:18" hidden="1" x14ac:dyDescent="0.25">
      <c r="A422" s="1">
        <v>418</v>
      </c>
      <c r="B422" s="56" t="s">
        <v>1579</v>
      </c>
      <c r="C422" s="57" t="s">
        <v>1580</v>
      </c>
      <c r="D422" s="57" t="s">
        <v>1581</v>
      </c>
      <c r="E422" s="58" t="s">
        <v>363</v>
      </c>
      <c r="F422" s="58" t="s">
        <v>1582</v>
      </c>
      <c r="G422" s="58"/>
      <c r="H422" s="58"/>
      <c r="I422" s="57">
        <v>350</v>
      </c>
      <c r="J422" s="79">
        <f t="shared" si="16"/>
        <v>273</v>
      </c>
      <c r="K422" s="59"/>
      <c r="L422" s="84">
        <f t="shared" si="17"/>
        <v>0</v>
      </c>
      <c r="M422" s="60" t="s">
        <v>1583</v>
      </c>
      <c r="N422" s="57"/>
      <c r="O422" s="57"/>
      <c r="P422" s="57"/>
      <c r="Q422" s="17" t="s">
        <v>19</v>
      </c>
      <c r="R422" s="70" t="str">
        <f>HYPERLINK("http://search.books.com.tw/search/query/key/9789869698535/cat/all
","
9789869698535")</f>
        <v xml:space="preserve">
9789869698535</v>
      </c>
    </row>
    <row r="423" spans="1:18" hidden="1" x14ac:dyDescent="0.25">
      <c r="A423" s="1">
        <v>419</v>
      </c>
      <c r="B423" s="56" t="s">
        <v>1584</v>
      </c>
      <c r="C423" s="57" t="s">
        <v>1585</v>
      </c>
      <c r="D423" s="57" t="s">
        <v>1200</v>
      </c>
      <c r="E423" s="58" t="s">
        <v>368</v>
      </c>
      <c r="F423" s="58" t="s">
        <v>1586</v>
      </c>
      <c r="G423" s="58"/>
      <c r="H423" s="58"/>
      <c r="I423" s="57">
        <v>420</v>
      </c>
      <c r="J423" s="79">
        <f t="shared" si="16"/>
        <v>327.60000000000002</v>
      </c>
      <c r="K423" s="59"/>
      <c r="L423" s="84">
        <f t="shared" si="17"/>
        <v>0</v>
      </c>
      <c r="M423" s="60" t="s">
        <v>1310</v>
      </c>
      <c r="N423" s="57"/>
      <c r="O423" s="57"/>
      <c r="P423" s="57"/>
      <c r="Q423" s="17" t="s">
        <v>19</v>
      </c>
      <c r="R423" s="70" t="str">
        <f>HYPERLINK("http://search.books.com.tw/search/query/key/9789864452859/cat/all
","
9789864452859")</f>
        <v xml:space="preserve">
9789864452859</v>
      </c>
    </row>
    <row r="424" spans="1:18" ht="49.5" hidden="1" x14ac:dyDescent="0.25">
      <c r="A424" s="1">
        <v>420</v>
      </c>
      <c r="B424" s="56" t="s">
        <v>1587</v>
      </c>
      <c r="C424" s="57" t="s">
        <v>1588</v>
      </c>
      <c r="D424" s="57" t="s">
        <v>1200</v>
      </c>
      <c r="E424" s="58" t="s">
        <v>368</v>
      </c>
      <c r="F424" s="58" t="s">
        <v>1589</v>
      </c>
      <c r="G424" s="58"/>
      <c r="H424" s="58"/>
      <c r="I424" s="57">
        <v>300</v>
      </c>
      <c r="J424" s="79">
        <f t="shared" si="16"/>
        <v>234</v>
      </c>
      <c r="K424" s="59"/>
      <c r="L424" s="84">
        <f t="shared" si="17"/>
        <v>0</v>
      </c>
      <c r="M424" s="60" t="s">
        <v>1303</v>
      </c>
      <c r="N424" s="57"/>
      <c r="O424" s="57"/>
      <c r="P424" s="57"/>
      <c r="Q424" s="17" t="s">
        <v>19</v>
      </c>
      <c r="R424" s="70" t="str">
        <f>HYPERLINK("http://search.books.com.tw/search/query/key/9789864452972/cat/all
","
9789864452972")</f>
        <v xml:space="preserve">
9789864452972</v>
      </c>
    </row>
    <row r="425" spans="1:18" hidden="1" x14ac:dyDescent="0.25">
      <c r="A425" s="1">
        <v>421</v>
      </c>
      <c r="B425" s="56" t="s">
        <v>1590</v>
      </c>
      <c r="C425" s="57" t="s">
        <v>1591</v>
      </c>
      <c r="D425" s="57" t="s">
        <v>1200</v>
      </c>
      <c r="E425" s="58" t="s">
        <v>368</v>
      </c>
      <c r="F425" s="58" t="s">
        <v>1592</v>
      </c>
      <c r="G425" s="58"/>
      <c r="H425" s="58"/>
      <c r="I425" s="57">
        <v>310</v>
      </c>
      <c r="J425" s="79">
        <f t="shared" si="16"/>
        <v>241.8</v>
      </c>
      <c r="K425" s="59"/>
      <c r="L425" s="84">
        <f t="shared" si="17"/>
        <v>0</v>
      </c>
      <c r="M425" s="60" t="s">
        <v>1508</v>
      </c>
      <c r="N425" s="57" t="s">
        <v>1593</v>
      </c>
      <c r="O425" s="57"/>
      <c r="P425" s="57"/>
      <c r="Q425" s="17" t="s">
        <v>19</v>
      </c>
      <c r="R425" s="70" t="str">
        <f>HYPERLINK("http://search.books.com.tw/search/query/key/9789864453016/cat/all
","
9789864453016")</f>
        <v xml:space="preserve">
9789864453016</v>
      </c>
    </row>
    <row r="426" spans="1:18" ht="33" hidden="1" x14ac:dyDescent="0.25">
      <c r="A426" s="1">
        <v>422</v>
      </c>
      <c r="B426" s="56" t="s">
        <v>1594</v>
      </c>
      <c r="C426" s="57" t="s">
        <v>1595</v>
      </c>
      <c r="D426" s="57" t="s">
        <v>1200</v>
      </c>
      <c r="E426" s="58" t="s">
        <v>368</v>
      </c>
      <c r="F426" s="58" t="s">
        <v>1596</v>
      </c>
      <c r="G426" s="58"/>
      <c r="H426" s="58"/>
      <c r="I426" s="57">
        <v>490</v>
      </c>
      <c r="J426" s="79">
        <f t="shared" si="16"/>
        <v>382.2</v>
      </c>
      <c r="K426" s="59"/>
      <c r="L426" s="84">
        <f t="shared" si="17"/>
        <v>0</v>
      </c>
      <c r="M426" s="60" t="s">
        <v>1310</v>
      </c>
      <c r="N426" s="57" t="s">
        <v>1597</v>
      </c>
      <c r="O426" s="57"/>
      <c r="P426" s="57"/>
      <c r="Q426" s="17" t="s">
        <v>19</v>
      </c>
      <c r="R426" s="70" t="str">
        <f>HYPERLINK("http://search.books.com.tw/search/query/key/9789864452866/cat/all
","
9789864452866")</f>
        <v xml:space="preserve">
9789864452866</v>
      </c>
    </row>
    <row r="427" spans="1:18" hidden="1" x14ac:dyDescent="0.25">
      <c r="A427" s="1">
        <v>423</v>
      </c>
      <c r="B427" s="56" t="s">
        <v>1598</v>
      </c>
      <c r="C427" s="57" t="s">
        <v>1599</v>
      </c>
      <c r="D427" s="57" t="s">
        <v>1200</v>
      </c>
      <c r="E427" s="58" t="s">
        <v>368</v>
      </c>
      <c r="F427" s="58" t="s">
        <v>1600</v>
      </c>
      <c r="G427" s="58"/>
      <c r="H427" s="58"/>
      <c r="I427" s="57">
        <v>300</v>
      </c>
      <c r="J427" s="79">
        <f t="shared" si="16"/>
        <v>234</v>
      </c>
      <c r="K427" s="59"/>
      <c r="L427" s="84">
        <f t="shared" si="17"/>
        <v>0</v>
      </c>
      <c r="M427" s="60" t="s">
        <v>1303</v>
      </c>
      <c r="N427" s="57"/>
      <c r="O427" s="57"/>
      <c r="P427" s="57"/>
      <c r="Q427" s="17" t="s">
        <v>19</v>
      </c>
      <c r="R427" s="70" t="str">
        <f>HYPERLINK("http://search.books.com.tw/search/query/key/9789864453023/cat/all
","
9789864453023")</f>
        <v xml:space="preserve">
9789864453023</v>
      </c>
    </row>
    <row r="428" spans="1:18" hidden="1" x14ac:dyDescent="0.25">
      <c r="A428" s="1">
        <v>424</v>
      </c>
      <c r="B428" s="56" t="s">
        <v>1601</v>
      </c>
      <c r="C428" s="57" t="s">
        <v>1602</v>
      </c>
      <c r="D428" s="57" t="s">
        <v>1200</v>
      </c>
      <c r="E428" s="58" t="s">
        <v>368</v>
      </c>
      <c r="F428" s="58" t="s">
        <v>1603</v>
      </c>
      <c r="G428" s="58"/>
      <c r="H428" s="58"/>
      <c r="I428" s="57">
        <v>320</v>
      </c>
      <c r="J428" s="79">
        <f t="shared" si="16"/>
        <v>249.6</v>
      </c>
      <c r="K428" s="59"/>
      <c r="L428" s="84">
        <f t="shared" si="17"/>
        <v>0</v>
      </c>
      <c r="M428" s="60" t="s">
        <v>1604</v>
      </c>
      <c r="N428" s="57"/>
      <c r="O428" s="57"/>
      <c r="P428" s="57"/>
      <c r="Q428" s="17" t="s">
        <v>19</v>
      </c>
      <c r="R428" s="70" t="str">
        <f>HYPERLINK("http://search.books.com.tw/search/query/key/9789864452958/cat/all
","
9789864452958")</f>
        <v xml:space="preserve">
9789864452958</v>
      </c>
    </row>
    <row r="429" spans="1:18" ht="33" hidden="1" x14ac:dyDescent="0.25">
      <c r="A429" s="1">
        <v>425</v>
      </c>
      <c r="B429" s="56" t="s">
        <v>1605</v>
      </c>
      <c r="C429" s="57" t="s">
        <v>1606</v>
      </c>
      <c r="D429" s="57" t="s">
        <v>1204</v>
      </c>
      <c r="E429" s="58" t="s">
        <v>363</v>
      </c>
      <c r="F429" s="58" t="s">
        <v>1607</v>
      </c>
      <c r="G429" s="58"/>
      <c r="H429" s="58"/>
      <c r="I429" s="57">
        <v>480</v>
      </c>
      <c r="J429" s="79">
        <f t="shared" si="16"/>
        <v>374.4</v>
      </c>
      <c r="K429" s="59"/>
      <c r="L429" s="84">
        <f t="shared" si="17"/>
        <v>0</v>
      </c>
      <c r="M429" s="60" t="s">
        <v>1369</v>
      </c>
      <c r="N429" s="57"/>
      <c r="O429" s="57"/>
      <c r="P429" s="57"/>
      <c r="Q429" s="17" t="s">
        <v>19</v>
      </c>
      <c r="R429" s="70" t="str">
        <f>HYPERLINK("http://search.books.com.tw/search/query/key/9789869693721/cat/all
","
9789869693721")</f>
        <v xml:space="preserve">
9789869693721</v>
      </c>
    </row>
    <row r="430" spans="1:18" ht="33" hidden="1" x14ac:dyDescent="0.25">
      <c r="A430" s="1">
        <v>426</v>
      </c>
      <c r="B430" s="56" t="s">
        <v>1608</v>
      </c>
      <c r="C430" s="57" t="s">
        <v>1609</v>
      </c>
      <c r="D430" s="57" t="s">
        <v>1610</v>
      </c>
      <c r="E430" s="58" t="s">
        <v>363</v>
      </c>
      <c r="F430" s="58" t="s">
        <v>1611</v>
      </c>
      <c r="G430" s="58"/>
      <c r="H430" s="58"/>
      <c r="I430" s="57">
        <v>380</v>
      </c>
      <c r="J430" s="79">
        <f t="shared" si="16"/>
        <v>296.39999999999998</v>
      </c>
      <c r="K430" s="59"/>
      <c r="L430" s="84">
        <f t="shared" si="17"/>
        <v>0</v>
      </c>
      <c r="M430" s="60" t="s">
        <v>1303</v>
      </c>
      <c r="N430" s="57"/>
      <c r="O430" s="57"/>
      <c r="P430" s="57"/>
      <c r="Q430" s="17" t="s">
        <v>19</v>
      </c>
      <c r="R430" s="70" t="str">
        <f>HYPERLINK("http://search.books.com.tw/search/query/key/9789869566582/cat/all
","
9789869566582")</f>
        <v xml:space="preserve">
9789869566582</v>
      </c>
    </row>
    <row r="431" spans="1:18" hidden="1" x14ac:dyDescent="0.25">
      <c r="A431" s="1">
        <v>427</v>
      </c>
      <c r="B431" s="56" t="s">
        <v>1612</v>
      </c>
      <c r="C431" s="57" t="s">
        <v>1613</v>
      </c>
      <c r="D431" s="57" t="s">
        <v>1610</v>
      </c>
      <c r="E431" s="58" t="s">
        <v>363</v>
      </c>
      <c r="F431" s="58" t="s">
        <v>1614</v>
      </c>
      <c r="G431" s="58"/>
      <c r="H431" s="58"/>
      <c r="I431" s="57">
        <v>280</v>
      </c>
      <c r="J431" s="79">
        <f t="shared" si="16"/>
        <v>218.4</v>
      </c>
      <c r="K431" s="59"/>
      <c r="L431" s="84">
        <f t="shared" si="17"/>
        <v>0</v>
      </c>
      <c r="M431" s="60" t="s">
        <v>1303</v>
      </c>
      <c r="N431" s="57"/>
      <c r="O431" s="57"/>
      <c r="P431" s="57"/>
      <c r="Q431" s="17" t="s">
        <v>19</v>
      </c>
      <c r="R431" s="70" t="str">
        <f>HYPERLINK("http://search.books.com.tw/search/query/key/9789869566551/cat/all
","
9789869566551")</f>
        <v xml:space="preserve">
9789869566551</v>
      </c>
    </row>
    <row r="432" spans="1:18" hidden="1" x14ac:dyDescent="0.25">
      <c r="A432" s="1">
        <v>428</v>
      </c>
      <c r="B432" s="56" t="s">
        <v>1615</v>
      </c>
      <c r="C432" s="57" t="s">
        <v>1616</v>
      </c>
      <c r="D432" s="57" t="s">
        <v>1617</v>
      </c>
      <c r="E432" s="58" t="s">
        <v>363</v>
      </c>
      <c r="F432" s="58" t="s">
        <v>1618</v>
      </c>
      <c r="G432" s="58"/>
      <c r="H432" s="58"/>
      <c r="I432" s="57">
        <v>380</v>
      </c>
      <c r="J432" s="79">
        <f t="shared" si="16"/>
        <v>296.39999999999998</v>
      </c>
      <c r="K432" s="59"/>
      <c r="L432" s="84">
        <f t="shared" si="17"/>
        <v>0</v>
      </c>
      <c r="M432" s="60" t="s">
        <v>1369</v>
      </c>
      <c r="N432" s="57"/>
      <c r="O432" s="57"/>
      <c r="P432" s="57"/>
      <c r="Q432" s="17" t="s">
        <v>19</v>
      </c>
      <c r="R432" s="70" t="str">
        <f>HYPERLINK("http://search.books.com.tw/search/query/key/9789578612563/cat/all
","
9789578612563")</f>
        <v xml:space="preserve">
9789578612563</v>
      </c>
    </row>
    <row r="433" spans="1:18" hidden="1" x14ac:dyDescent="0.25">
      <c r="A433" s="1">
        <v>429</v>
      </c>
      <c r="B433" s="56" t="s">
        <v>1619</v>
      </c>
      <c r="C433" s="57" t="s">
        <v>1620</v>
      </c>
      <c r="D433" s="57" t="s">
        <v>1621</v>
      </c>
      <c r="E433" s="58" t="s">
        <v>363</v>
      </c>
      <c r="F433" s="58" t="s">
        <v>1622</v>
      </c>
      <c r="G433" s="58"/>
      <c r="H433" s="58"/>
      <c r="I433" s="57">
        <v>280</v>
      </c>
      <c r="J433" s="79">
        <f t="shared" si="16"/>
        <v>218.4</v>
      </c>
      <c r="K433" s="59"/>
      <c r="L433" s="84">
        <f t="shared" si="17"/>
        <v>0</v>
      </c>
      <c r="M433" s="60" t="s">
        <v>1508</v>
      </c>
      <c r="N433" s="57" t="s">
        <v>1623</v>
      </c>
      <c r="O433" s="57"/>
      <c r="P433" s="57"/>
      <c r="Q433" s="17" t="s">
        <v>19</v>
      </c>
      <c r="R433" s="70" t="str">
        <f>HYPERLINK("http://search.books.com.tw/search/query/key/9789869670685/cat/all
","
9789869670685")</f>
        <v xml:space="preserve">
9789869670685</v>
      </c>
    </row>
    <row r="434" spans="1:18" hidden="1" x14ac:dyDescent="0.25">
      <c r="A434" s="1">
        <v>430</v>
      </c>
      <c r="B434" s="56" t="s">
        <v>1624</v>
      </c>
      <c r="C434" s="57" t="s">
        <v>1625</v>
      </c>
      <c r="D434" s="57" t="s">
        <v>1626</v>
      </c>
      <c r="E434" s="58" t="s">
        <v>363</v>
      </c>
      <c r="F434" s="58" t="s">
        <v>1627</v>
      </c>
      <c r="G434" s="58"/>
      <c r="H434" s="58"/>
      <c r="I434" s="57">
        <v>350</v>
      </c>
      <c r="J434" s="79">
        <f t="shared" si="16"/>
        <v>273</v>
      </c>
      <c r="K434" s="59"/>
      <c r="L434" s="84">
        <f t="shared" si="17"/>
        <v>0</v>
      </c>
      <c r="M434" s="60" t="s">
        <v>1339</v>
      </c>
      <c r="N434" s="57" t="s">
        <v>1623</v>
      </c>
      <c r="O434" s="57"/>
      <c r="P434" s="57"/>
      <c r="Q434" s="17" t="s">
        <v>19</v>
      </c>
      <c r="R434" s="70" t="str">
        <f>HYPERLINK("http://search.books.com.tw/search/query/key/9789867101822/cat/all
","
9789867101822")</f>
        <v xml:space="preserve">
9789867101822</v>
      </c>
    </row>
    <row r="435" spans="1:18" hidden="1" x14ac:dyDescent="0.25">
      <c r="A435" s="1">
        <v>431</v>
      </c>
      <c r="B435" s="56" t="s">
        <v>1628</v>
      </c>
      <c r="C435" s="57" t="s">
        <v>1629</v>
      </c>
      <c r="D435" s="57" t="s">
        <v>1217</v>
      </c>
      <c r="E435" s="58" t="s">
        <v>368</v>
      </c>
      <c r="F435" s="58" t="s">
        <v>1630</v>
      </c>
      <c r="G435" s="58"/>
      <c r="H435" s="58"/>
      <c r="I435" s="57">
        <v>420</v>
      </c>
      <c r="J435" s="79">
        <f t="shared" si="16"/>
        <v>327.60000000000002</v>
      </c>
      <c r="K435" s="59"/>
      <c r="L435" s="84">
        <f t="shared" si="17"/>
        <v>0</v>
      </c>
      <c r="M435" s="60" t="s">
        <v>1310</v>
      </c>
      <c r="N435" s="57" t="s">
        <v>1631</v>
      </c>
      <c r="O435" s="57"/>
      <c r="P435" s="57"/>
      <c r="Q435" s="17" t="s">
        <v>19</v>
      </c>
      <c r="R435" s="70" t="str">
        <f>HYPERLINK("http://search.books.com.tw/search/query/key/9789573334132/cat/all
","
9789573334132")</f>
        <v xml:space="preserve">
9789573334132</v>
      </c>
    </row>
    <row r="436" spans="1:18" ht="33" hidden="1" x14ac:dyDescent="0.25">
      <c r="A436" s="1">
        <v>432</v>
      </c>
      <c r="B436" s="56" t="s">
        <v>1632</v>
      </c>
      <c r="C436" s="57" t="s">
        <v>1633</v>
      </c>
      <c r="D436" s="57" t="s">
        <v>1217</v>
      </c>
      <c r="E436" s="58" t="s">
        <v>363</v>
      </c>
      <c r="F436" s="58" t="s">
        <v>1634</v>
      </c>
      <c r="G436" s="58"/>
      <c r="H436" s="58"/>
      <c r="I436" s="57">
        <v>380</v>
      </c>
      <c r="J436" s="79">
        <f t="shared" si="16"/>
        <v>296.39999999999998</v>
      </c>
      <c r="K436" s="59"/>
      <c r="L436" s="84">
        <f t="shared" si="17"/>
        <v>0</v>
      </c>
      <c r="M436" s="60" t="s">
        <v>1537</v>
      </c>
      <c r="N436" s="57" t="s">
        <v>1635</v>
      </c>
      <c r="O436" s="57"/>
      <c r="P436" s="57"/>
      <c r="Q436" s="17" t="s">
        <v>19</v>
      </c>
      <c r="R436" s="70" t="str">
        <f>HYPERLINK("http://search.books.com.tw/search/query/key/9789573334101/cat/all
","
9789573334101")</f>
        <v xml:space="preserve">
9789573334101</v>
      </c>
    </row>
    <row r="437" spans="1:18" hidden="1" x14ac:dyDescent="0.25">
      <c r="A437" s="1">
        <v>433</v>
      </c>
      <c r="B437" s="56" t="s">
        <v>1636</v>
      </c>
      <c r="C437" s="57" t="s">
        <v>1637</v>
      </c>
      <c r="D437" s="57" t="s">
        <v>1217</v>
      </c>
      <c r="E437" s="58" t="s">
        <v>363</v>
      </c>
      <c r="F437" s="58" t="s">
        <v>1638</v>
      </c>
      <c r="G437" s="58"/>
      <c r="H437" s="58"/>
      <c r="I437" s="57">
        <v>260</v>
      </c>
      <c r="J437" s="79">
        <f t="shared" si="16"/>
        <v>202.8</v>
      </c>
      <c r="K437" s="59"/>
      <c r="L437" s="84">
        <f t="shared" si="17"/>
        <v>0</v>
      </c>
      <c r="M437" s="60" t="s">
        <v>1380</v>
      </c>
      <c r="N437" s="57" t="s">
        <v>1639</v>
      </c>
      <c r="O437" s="57"/>
      <c r="P437" s="57"/>
      <c r="Q437" s="17" t="s">
        <v>19</v>
      </c>
      <c r="R437" s="70" t="str">
        <f>HYPERLINK("http://search.books.com.tw/search/query/key/9789573334118/cat/all
","
9789573334118")</f>
        <v xml:space="preserve">
9789573334118</v>
      </c>
    </row>
    <row r="438" spans="1:18" ht="33" hidden="1" x14ac:dyDescent="0.25">
      <c r="A438" s="1">
        <v>434</v>
      </c>
      <c r="B438" s="56" t="s">
        <v>1640</v>
      </c>
      <c r="C438" s="57" t="s">
        <v>1641</v>
      </c>
      <c r="D438" s="57" t="s">
        <v>853</v>
      </c>
      <c r="E438" s="58" t="s">
        <v>363</v>
      </c>
      <c r="F438" s="58" t="s">
        <v>1642</v>
      </c>
      <c r="G438" s="58"/>
      <c r="H438" s="58"/>
      <c r="I438" s="57">
        <v>1340</v>
      </c>
      <c r="J438" s="79">
        <f t="shared" si="16"/>
        <v>1045.2</v>
      </c>
      <c r="K438" s="59"/>
      <c r="L438" s="84">
        <f t="shared" si="17"/>
        <v>0</v>
      </c>
      <c r="M438" s="60" t="s">
        <v>1310</v>
      </c>
      <c r="N438" s="57"/>
      <c r="O438" s="57"/>
      <c r="P438" s="57"/>
      <c r="Q438" s="17" t="s">
        <v>19</v>
      </c>
      <c r="R438" s="70" t="str">
        <f>HYPERLINK("http://search.books.com.tw/search/query/key/9789863526568/cat/all
","
9789863526568")</f>
        <v xml:space="preserve">
9789863526568</v>
      </c>
    </row>
    <row r="439" spans="1:18" ht="33" hidden="1" x14ac:dyDescent="0.25">
      <c r="A439" s="1">
        <v>435</v>
      </c>
      <c r="B439" s="56" t="s">
        <v>1643</v>
      </c>
      <c r="C439" s="57" t="s">
        <v>1644</v>
      </c>
      <c r="D439" s="57" t="s">
        <v>853</v>
      </c>
      <c r="E439" s="58" t="s">
        <v>359</v>
      </c>
      <c r="F439" s="58" t="s">
        <v>1645</v>
      </c>
      <c r="G439" s="58"/>
      <c r="H439" s="58"/>
      <c r="I439" s="57">
        <v>220</v>
      </c>
      <c r="J439" s="79">
        <f t="shared" si="16"/>
        <v>171.6</v>
      </c>
      <c r="K439" s="59"/>
      <c r="L439" s="84">
        <f t="shared" si="17"/>
        <v>0</v>
      </c>
      <c r="M439" s="60" t="s">
        <v>1369</v>
      </c>
      <c r="N439" s="57"/>
      <c r="O439" s="57"/>
      <c r="P439" s="57"/>
      <c r="Q439" s="17" t="s">
        <v>19</v>
      </c>
      <c r="R439" s="70" t="str">
        <f>HYPERLINK("http://search.books.com.tw/search/query/key/9789863526360/cat/all
","
9789863526360")</f>
        <v xml:space="preserve">
9789863526360</v>
      </c>
    </row>
    <row r="440" spans="1:18" ht="33" hidden="1" x14ac:dyDescent="0.25">
      <c r="A440" s="1">
        <v>436</v>
      </c>
      <c r="B440" s="56" t="s">
        <v>1646</v>
      </c>
      <c r="C440" s="57" t="s">
        <v>1647</v>
      </c>
      <c r="D440" s="57" t="s">
        <v>853</v>
      </c>
      <c r="E440" s="58" t="s">
        <v>363</v>
      </c>
      <c r="F440" s="58" t="s">
        <v>1648</v>
      </c>
      <c r="G440" s="58"/>
      <c r="H440" s="58"/>
      <c r="I440" s="57">
        <v>220</v>
      </c>
      <c r="J440" s="79">
        <f t="shared" si="16"/>
        <v>171.6</v>
      </c>
      <c r="K440" s="59"/>
      <c r="L440" s="84">
        <f t="shared" si="17"/>
        <v>0</v>
      </c>
      <c r="M440" s="60" t="s">
        <v>1369</v>
      </c>
      <c r="N440" s="57"/>
      <c r="O440" s="57"/>
      <c r="P440" s="57"/>
      <c r="Q440" s="17" t="s">
        <v>19</v>
      </c>
      <c r="R440" s="70" t="str">
        <f>HYPERLINK("http://search.books.com.tw/search/query/key/9789863526452/cat/all
","
9789863526452")</f>
        <v xml:space="preserve">
9789863526452</v>
      </c>
    </row>
    <row r="441" spans="1:18" ht="33" hidden="1" x14ac:dyDescent="0.25">
      <c r="A441" s="1">
        <v>437</v>
      </c>
      <c r="B441" s="56" t="s">
        <v>1649</v>
      </c>
      <c r="C441" s="57" t="s">
        <v>1647</v>
      </c>
      <c r="D441" s="57" t="s">
        <v>853</v>
      </c>
      <c r="E441" s="58" t="s">
        <v>368</v>
      </c>
      <c r="F441" s="58" t="s">
        <v>1650</v>
      </c>
      <c r="G441" s="58"/>
      <c r="H441" s="58"/>
      <c r="I441" s="57">
        <v>220</v>
      </c>
      <c r="J441" s="79">
        <f t="shared" si="16"/>
        <v>171.6</v>
      </c>
      <c r="K441" s="59"/>
      <c r="L441" s="84">
        <f t="shared" si="17"/>
        <v>0</v>
      </c>
      <c r="M441" s="60" t="s">
        <v>1310</v>
      </c>
      <c r="N441" s="57"/>
      <c r="O441" s="57"/>
      <c r="P441" s="57"/>
      <c r="Q441" s="17" t="s">
        <v>19</v>
      </c>
      <c r="R441" s="70" t="str">
        <f>HYPERLINK("http://search.books.com.tw/search/query/key/9789863525332/cat/all
","
9789863525332")</f>
        <v xml:space="preserve">
9789863525332</v>
      </c>
    </row>
    <row r="442" spans="1:18" hidden="1" x14ac:dyDescent="0.25">
      <c r="A442" s="1">
        <v>438</v>
      </c>
      <c r="B442" s="56" t="s">
        <v>1651</v>
      </c>
      <c r="C442" s="57" t="s">
        <v>1652</v>
      </c>
      <c r="D442" s="57" t="s">
        <v>853</v>
      </c>
      <c r="E442" s="58" t="s">
        <v>368</v>
      </c>
      <c r="F442" s="58" t="s">
        <v>1653</v>
      </c>
      <c r="G442" s="58"/>
      <c r="H442" s="58"/>
      <c r="I442" s="57">
        <v>199</v>
      </c>
      <c r="J442" s="79">
        <f t="shared" si="16"/>
        <v>155.22</v>
      </c>
      <c r="K442" s="59"/>
      <c r="L442" s="84">
        <f t="shared" si="17"/>
        <v>0</v>
      </c>
      <c r="M442" s="60" t="s">
        <v>1310</v>
      </c>
      <c r="N442" s="57"/>
      <c r="O442" s="57"/>
      <c r="P442" s="57"/>
      <c r="Q442" s="17" t="s">
        <v>19</v>
      </c>
      <c r="R442" s="70" t="str">
        <f>HYPERLINK("http://search.books.com.tw/search/query/key/9789863526612/cat/all
","
9789863526612")</f>
        <v xml:space="preserve">
9789863526612</v>
      </c>
    </row>
    <row r="443" spans="1:18" hidden="1" x14ac:dyDescent="0.25">
      <c r="A443" s="1">
        <v>439</v>
      </c>
      <c r="B443" s="56" t="s">
        <v>1654</v>
      </c>
      <c r="C443" s="57" t="s">
        <v>1652</v>
      </c>
      <c r="D443" s="57" t="s">
        <v>853</v>
      </c>
      <c r="E443" s="58" t="s">
        <v>368</v>
      </c>
      <c r="F443" s="58" t="s">
        <v>1655</v>
      </c>
      <c r="G443" s="58"/>
      <c r="H443" s="58"/>
      <c r="I443" s="57">
        <v>199</v>
      </c>
      <c r="J443" s="79">
        <f t="shared" si="16"/>
        <v>155.22</v>
      </c>
      <c r="K443" s="59"/>
      <c r="L443" s="84">
        <f t="shared" si="17"/>
        <v>0</v>
      </c>
      <c r="M443" s="60" t="s">
        <v>1310</v>
      </c>
      <c r="N443" s="57"/>
      <c r="O443" s="57"/>
      <c r="P443" s="57"/>
      <c r="Q443" s="17" t="s">
        <v>19</v>
      </c>
      <c r="R443" s="70" t="str">
        <f>HYPERLINK("http://search.books.com.tw/search/query/key/9789863526629/cat/all
","
9789863526629")</f>
        <v xml:space="preserve">
9789863526629</v>
      </c>
    </row>
    <row r="444" spans="1:18" hidden="1" x14ac:dyDescent="0.25">
      <c r="A444" s="1">
        <v>440</v>
      </c>
      <c r="B444" s="56" t="s">
        <v>1656</v>
      </c>
      <c r="C444" s="57" t="s">
        <v>852</v>
      </c>
      <c r="D444" s="57" t="s">
        <v>853</v>
      </c>
      <c r="E444" s="58" t="s">
        <v>368</v>
      </c>
      <c r="F444" s="58" t="s">
        <v>1657</v>
      </c>
      <c r="G444" s="58"/>
      <c r="H444" s="58"/>
      <c r="I444" s="57">
        <v>280</v>
      </c>
      <c r="J444" s="79">
        <f t="shared" si="16"/>
        <v>218.4</v>
      </c>
      <c r="K444" s="59"/>
      <c r="L444" s="84">
        <f t="shared" si="17"/>
        <v>0</v>
      </c>
      <c r="M444" s="60" t="s">
        <v>783</v>
      </c>
      <c r="N444" s="57" t="s">
        <v>1658</v>
      </c>
      <c r="O444" s="57"/>
      <c r="P444" s="57"/>
      <c r="Q444" s="17" t="s">
        <v>19</v>
      </c>
      <c r="R444" s="70" t="str">
        <f>HYPERLINK("http://search.books.com.tw/search/query/key/9789863526605/cat/all
","
9789863526605")</f>
        <v xml:space="preserve">
9789863526605</v>
      </c>
    </row>
    <row r="445" spans="1:18" ht="33" hidden="1" x14ac:dyDescent="0.25">
      <c r="A445" s="1">
        <v>441</v>
      </c>
      <c r="B445" s="56" t="s">
        <v>1659</v>
      </c>
      <c r="C445" s="57" t="s">
        <v>1660</v>
      </c>
      <c r="D445" s="57" t="s">
        <v>853</v>
      </c>
      <c r="E445" s="58" t="s">
        <v>363</v>
      </c>
      <c r="F445" s="58" t="s">
        <v>1661</v>
      </c>
      <c r="G445" s="58"/>
      <c r="H445" s="58"/>
      <c r="I445" s="57">
        <v>340</v>
      </c>
      <c r="J445" s="79">
        <f t="shared" si="16"/>
        <v>265.2</v>
      </c>
      <c r="K445" s="59"/>
      <c r="L445" s="84">
        <f t="shared" si="17"/>
        <v>0</v>
      </c>
      <c r="M445" s="60" t="s">
        <v>1310</v>
      </c>
      <c r="N445" s="57"/>
      <c r="O445" s="57"/>
      <c r="P445" s="57"/>
      <c r="Q445" s="17" t="s">
        <v>19</v>
      </c>
      <c r="R445" s="70" t="str">
        <f>HYPERLINK("http://search.books.com.tw/search/query/key/9789863526476/cat/all
","
9789863526476")</f>
        <v xml:space="preserve">
9789863526476</v>
      </c>
    </row>
    <row r="446" spans="1:18" ht="33" hidden="1" x14ac:dyDescent="0.25">
      <c r="A446" s="1">
        <v>442</v>
      </c>
      <c r="B446" s="56" t="s">
        <v>1662</v>
      </c>
      <c r="C446" s="57" t="s">
        <v>1663</v>
      </c>
      <c r="D446" s="57" t="s">
        <v>1664</v>
      </c>
      <c r="E446" s="58" t="s">
        <v>363</v>
      </c>
      <c r="F446" s="58" t="s">
        <v>1665</v>
      </c>
      <c r="G446" s="58"/>
      <c r="H446" s="58"/>
      <c r="I446" s="57">
        <v>350</v>
      </c>
      <c r="J446" s="79">
        <f t="shared" si="16"/>
        <v>273</v>
      </c>
      <c r="K446" s="59"/>
      <c r="L446" s="84">
        <f t="shared" si="17"/>
        <v>0</v>
      </c>
      <c r="M446" s="60" t="s">
        <v>1369</v>
      </c>
      <c r="N446" s="57"/>
      <c r="O446" s="57"/>
      <c r="P446" s="57"/>
      <c r="Q446" s="17" t="s">
        <v>19</v>
      </c>
      <c r="R446" s="70" t="str">
        <f>HYPERLINK("http://search.books.com.tw/search/query/key/9789869238151/cat/all
","
9789869238151")</f>
        <v xml:space="preserve">
9789869238151</v>
      </c>
    </row>
    <row r="447" spans="1:18" hidden="1" x14ac:dyDescent="0.25">
      <c r="A447" s="1">
        <v>443</v>
      </c>
      <c r="B447" s="56" t="s">
        <v>1666</v>
      </c>
      <c r="C447" s="57" t="s">
        <v>1667</v>
      </c>
      <c r="D447" s="57" t="s">
        <v>427</v>
      </c>
      <c r="E447" s="58" t="s">
        <v>363</v>
      </c>
      <c r="F447" s="58" t="s">
        <v>1668</v>
      </c>
      <c r="G447" s="58"/>
      <c r="H447" s="58"/>
      <c r="I447" s="57">
        <v>560</v>
      </c>
      <c r="J447" s="79">
        <f t="shared" si="16"/>
        <v>436.8</v>
      </c>
      <c r="K447" s="59"/>
      <c r="L447" s="84">
        <f t="shared" si="17"/>
        <v>0</v>
      </c>
      <c r="M447" s="60" t="s">
        <v>1310</v>
      </c>
      <c r="N447" s="57"/>
      <c r="O447" s="57"/>
      <c r="P447" s="57"/>
      <c r="Q447" s="17" t="s">
        <v>19</v>
      </c>
      <c r="R447" s="70" t="str">
        <f>HYPERLINK("http://search.books.com.tw/search/query/key/9789571375960/cat/all
","
9789571375960")</f>
        <v xml:space="preserve">
9789571375960</v>
      </c>
    </row>
    <row r="448" spans="1:18" hidden="1" x14ac:dyDescent="0.25">
      <c r="A448" s="1">
        <v>444</v>
      </c>
      <c r="B448" s="56" t="s">
        <v>1669</v>
      </c>
      <c r="C448" s="57" t="s">
        <v>1667</v>
      </c>
      <c r="D448" s="57" t="s">
        <v>427</v>
      </c>
      <c r="E448" s="58" t="s">
        <v>363</v>
      </c>
      <c r="F448" s="58" t="s">
        <v>1670</v>
      </c>
      <c r="G448" s="58"/>
      <c r="H448" s="58"/>
      <c r="I448" s="57">
        <v>600</v>
      </c>
      <c r="J448" s="79">
        <f t="shared" si="16"/>
        <v>468</v>
      </c>
      <c r="K448" s="59"/>
      <c r="L448" s="84">
        <f t="shared" si="17"/>
        <v>0</v>
      </c>
      <c r="M448" s="60" t="s">
        <v>1310</v>
      </c>
      <c r="N448" s="57" t="s">
        <v>1671</v>
      </c>
      <c r="O448" s="57"/>
      <c r="P448" s="57"/>
      <c r="Q448" s="17" t="s">
        <v>19</v>
      </c>
      <c r="R448" s="70" t="str">
        <f>HYPERLINK("http://search.books.com.tw/search/query/key/9789571376196/cat/all
","
9789571376196")</f>
        <v xml:space="preserve">
9789571376196</v>
      </c>
    </row>
    <row r="449" spans="1:18" hidden="1" x14ac:dyDescent="0.25">
      <c r="A449" s="1">
        <v>445</v>
      </c>
      <c r="B449" s="56" t="s">
        <v>1672</v>
      </c>
      <c r="C449" s="57" t="s">
        <v>1667</v>
      </c>
      <c r="D449" s="57" t="s">
        <v>427</v>
      </c>
      <c r="E449" s="58" t="s">
        <v>363</v>
      </c>
      <c r="F449" s="58" t="s">
        <v>1673</v>
      </c>
      <c r="G449" s="58"/>
      <c r="H449" s="58"/>
      <c r="I449" s="57">
        <v>320</v>
      </c>
      <c r="J449" s="79">
        <f t="shared" si="16"/>
        <v>249.6</v>
      </c>
      <c r="K449" s="59"/>
      <c r="L449" s="84">
        <f t="shared" si="17"/>
        <v>0</v>
      </c>
      <c r="M449" s="60" t="s">
        <v>1310</v>
      </c>
      <c r="N449" s="57"/>
      <c r="O449" s="57"/>
      <c r="P449" s="57"/>
      <c r="Q449" s="17" t="s">
        <v>19</v>
      </c>
      <c r="R449" s="70" t="str">
        <f>HYPERLINK("http://search.books.com.tw/search/query/key/9789571376202/cat/all
","
9789571376202")</f>
        <v xml:space="preserve">
9789571376202</v>
      </c>
    </row>
    <row r="450" spans="1:18" hidden="1" x14ac:dyDescent="0.25">
      <c r="A450" s="1">
        <v>446</v>
      </c>
      <c r="B450" s="56" t="s">
        <v>1674</v>
      </c>
      <c r="C450" s="57" t="s">
        <v>1667</v>
      </c>
      <c r="D450" s="57" t="s">
        <v>427</v>
      </c>
      <c r="E450" s="58" t="s">
        <v>363</v>
      </c>
      <c r="F450" s="58" t="s">
        <v>1675</v>
      </c>
      <c r="G450" s="58"/>
      <c r="H450" s="58"/>
      <c r="I450" s="57">
        <v>280</v>
      </c>
      <c r="J450" s="79">
        <f t="shared" si="16"/>
        <v>218.4</v>
      </c>
      <c r="K450" s="59"/>
      <c r="L450" s="84">
        <f t="shared" si="17"/>
        <v>0</v>
      </c>
      <c r="M450" s="60" t="s">
        <v>1310</v>
      </c>
      <c r="N450" s="57"/>
      <c r="O450" s="57"/>
      <c r="P450" s="57"/>
      <c r="Q450" s="17" t="s">
        <v>19</v>
      </c>
      <c r="R450" s="70" t="str">
        <f>HYPERLINK("http://search.books.com.tw/search/query/key/9789571375977/cat/all
","
9789571375977")</f>
        <v xml:space="preserve">
9789571375977</v>
      </c>
    </row>
    <row r="451" spans="1:18" hidden="1" x14ac:dyDescent="0.25">
      <c r="A451" s="1">
        <v>447</v>
      </c>
      <c r="B451" s="56" t="s">
        <v>1676</v>
      </c>
      <c r="C451" s="57" t="s">
        <v>1677</v>
      </c>
      <c r="D451" s="57" t="s">
        <v>427</v>
      </c>
      <c r="E451" s="58" t="s">
        <v>363</v>
      </c>
      <c r="F451" s="58" t="s">
        <v>1678</v>
      </c>
      <c r="G451" s="58"/>
      <c r="H451" s="58"/>
      <c r="I451" s="57">
        <v>350</v>
      </c>
      <c r="J451" s="79">
        <f t="shared" si="16"/>
        <v>273</v>
      </c>
      <c r="K451" s="59"/>
      <c r="L451" s="84">
        <f t="shared" si="17"/>
        <v>0</v>
      </c>
      <c r="M451" s="60" t="s">
        <v>1327</v>
      </c>
      <c r="N451" s="57"/>
      <c r="O451" s="57"/>
      <c r="P451" s="57"/>
      <c r="Q451" s="17" t="s">
        <v>19</v>
      </c>
      <c r="R451" s="70" t="str">
        <f>HYPERLINK("http://search.books.com.tw/search/query/key/9789571376158/cat/all
","
9789571376158")</f>
        <v xml:space="preserve">
9789571376158</v>
      </c>
    </row>
    <row r="452" spans="1:18" ht="33" hidden="1" x14ac:dyDescent="0.25">
      <c r="A452" s="1">
        <v>448</v>
      </c>
      <c r="B452" s="56" t="s">
        <v>1679</v>
      </c>
      <c r="C452" s="57" t="s">
        <v>1680</v>
      </c>
      <c r="D452" s="57" t="s">
        <v>427</v>
      </c>
      <c r="E452" s="58" t="s">
        <v>359</v>
      </c>
      <c r="F452" s="58" t="s">
        <v>1681</v>
      </c>
      <c r="G452" s="58"/>
      <c r="H452" s="58"/>
      <c r="I452" s="57">
        <v>360</v>
      </c>
      <c r="J452" s="79">
        <f t="shared" si="16"/>
        <v>280.8</v>
      </c>
      <c r="K452" s="59"/>
      <c r="L452" s="84">
        <f t="shared" si="17"/>
        <v>0</v>
      </c>
      <c r="M452" s="60" t="s">
        <v>1327</v>
      </c>
      <c r="N452" s="57"/>
      <c r="O452" s="57"/>
      <c r="P452" s="57"/>
      <c r="Q452" s="17" t="s">
        <v>19</v>
      </c>
      <c r="R452" s="70" t="str">
        <f>HYPERLINK("http://search.books.com.tw/search/query/key/9789571375939/cat/all
","
9789571375939")</f>
        <v xml:space="preserve">
9789571375939</v>
      </c>
    </row>
    <row r="453" spans="1:18" ht="33" hidden="1" x14ac:dyDescent="0.25">
      <c r="A453" s="1">
        <v>449</v>
      </c>
      <c r="B453" s="56" t="s">
        <v>1682</v>
      </c>
      <c r="C453" s="57" t="s">
        <v>1683</v>
      </c>
      <c r="D453" s="57" t="s">
        <v>427</v>
      </c>
      <c r="E453" s="58" t="s">
        <v>363</v>
      </c>
      <c r="F453" s="58" t="s">
        <v>1684</v>
      </c>
      <c r="G453" s="58"/>
      <c r="H453" s="58"/>
      <c r="I453" s="57">
        <v>320</v>
      </c>
      <c r="J453" s="79">
        <f t="shared" si="16"/>
        <v>249.6</v>
      </c>
      <c r="K453" s="59"/>
      <c r="L453" s="84">
        <f t="shared" si="17"/>
        <v>0</v>
      </c>
      <c r="M453" s="60" t="s">
        <v>1339</v>
      </c>
      <c r="N453" s="57"/>
      <c r="O453" s="57"/>
      <c r="P453" s="57"/>
      <c r="Q453" s="17" t="s">
        <v>19</v>
      </c>
      <c r="R453" s="70" t="str">
        <f>HYPERLINK("http://search.books.com.tw/search/query/key/9789571375601/cat/all
","
9789571375601")</f>
        <v xml:space="preserve">
9789571375601</v>
      </c>
    </row>
    <row r="454" spans="1:18" ht="49.5" hidden="1" x14ac:dyDescent="0.25">
      <c r="A454" s="1">
        <v>450</v>
      </c>
      <c r="B454" s="56" t="s">
        <v>228</v>
      </c>
      <c r="C454" s="57" t="s">
        <v>1685</v>
      </c>
      <c r="D454" s="57" t="s">
        <v>427</v>
      </c>
      <c r="E454" s="58" t="s">
        <v>363</v>
      </c>
      <c r="F454" s="58" t="s">
        <v>1686</v>
      </c>
      <c r="G454" s="58"/>
      <c r="H454" s="58"/>
      <c r="I454" s="57">
        <v>360</v>
      </c>
      <c r="J454" s="79">
        <f t="shared" ref="J454:J517" si="18">ROUND(I454*0.78,2)</f>
        <v>280.8</v>
      </c>
      <c r="K454" s="59"/>
      <c r="L454" s="84">
        <f t="shared" ref="L454:L517" si="19">K454*J454</f>
        <v>0</v>
      </c>
      <c r="M454" s="60" t="s">
        <v>1369</v>
      </c>
      <c r="N454" s="56" t="s">
        <v>1687</v>
      </c>
      <c r="O454" s="57"/>
      <c r="P454" s="57"/>
      <c r="Q454" s="17" t="s">
        <v>19</v>
      </c>
      <c r="R454" s="70" t="str">
        <f>HYPERLINK("http://search.books.com.tw/search/query/key/9789571376080/cat/all
","
9789571376080")</f>
        <v xml:space="preserve">
9789571376080</v>
      </c>
    </row>
    <row r="455" spans="1:18" hidden="1" x14ac:dyDescent="0.25">
      <c r="A455" s="1">
        <v>451</v>
      </c>
      <c r="B455" s="56" t="s">
        <v>1688</v>
      </c>
      <c r="C455" s="57" t="s">
        <v>1689</v>
      </c>
      <c r="D455" s="57" t="s">
        <v>1241</v>
      </c>
      <c r="E455" s="58" t="s">
        <v>368</v>
      </c>
      <c r="F455" s="58" t="s">
        <v>1690</v>
      </c>
      <c r="G455" s="58"/>
      <c r="H455" s="58"/>
      <c r="I455" s="57">
        <v>480</v>
      </c>
      <c r="J455" s="79">
        <f t="shared" si="18"/>
        <v>374.4</v>
      </c>
      <c r="K455" s="59"/>
      <c r="L455" s="84">
        <f t="shared" si="19"/>
        <v>0</v>
      </c>
      <c r="M455" s="60" t="s">
        <v>1303</v>
      </c>
      <c r="N455" s="57"/>
      <c r="O455" s="57"/>
      <c r="P455" s="57"/>
      <c r="Q455" s="17" t="s">
        <v>19</v>
      </c>
      <c r="R455" s="70" t="str">
        <f>HYPERLINK("http://search.books.com.tw/search/query/key/9789579699440/cat/all
","
9789579699440")</f>
        <v xml:space="preserve">
9789579699440</v>
      </c>
    </row>
    <row r="456" spans="1:18" hidden="1" x14ac:dyDescent="0.25">
      <c r="A456" s="1">
        <v>452</v>
      </c>
      <c r="B456" s="56" t="s">
        <v>1691</v>
      </c>
      <c r="C456" s="57" t="s">
        <v>1692</v>
      </c>
      <c r="D456" s="57" t="s">
        <v>1693</v>
      </c>
      <c r="E456" s="58" t="s">
        <v>363</v>
      </c>
      <c r="F456" s="58" t="s">
        <v>1694</v>
      </c>
      <c r="G456" s="58"/>
      <c r="H456" s="58"/>
      <c r="I456" s="57">
        <v>260</v>
      </c>
      <c r="J456" s="79">
        <f t="shared" si="18"/>
        <v>202.8</v>
      </c>
      <c r="K456" s="59"/>
      <c r="L456" s="84">
        <f t="shared" si="19"/>
        <v>0</v>
      </c>
      <c r="M456" s="60" t="s">
        <v>1508</v>
      </c>
      <c r="N456" s="57"/>
      <c r="O456" s="57"/>
      <c r="P456" s="57"/>
      <c r="Q456" s="17" t="s">
        <v>19</v>
      </c>
      <c r="R456" s="70" t="str">
        <f>HYPERLINK("http://search.books.com.tw/search/query/key/9789869688215/cat/all
","
9789869688215")</f>
        <v xml:space="preserve">
9789869688215</v>
      </c>
    </row>
    <row r="457" spans="1:18" hidden="1" x14ac:dyDescent="0.25">
      <c r="A457" s="1">
        <v>453</v>
      </c>
      <c r="B457" s="56" t="s">
        <v>1695</v>
      </c>
      <c r="C457" s="57" t="s">
        <v>1696</v>
      </c>
      <c r="D457" s="57" t="s">
        <v>1697</v>
      </c>
      <c r="E457" s="58" t="s">
        <v>368</v>
      </c>
      <c r="F457" s="58" t="s">
        <v>1698</v>
      </c>
      <c r="G457" s="58"/>
      <c r="H457" s="58"/>
      <c r="I457" s="57">
        <v>360</v>
      </c>
      <c r="J457" s="79">
        <f t="shared" si="18"/>
        <v>280.8</v>
      </c>
      <c r="K457" s="59"/>
      <c r="L457" s="84">
        <f t="shared" si="19"/>
        <v>0</v>
      </c>
      <c r="M457" s="60" t="s">
        <v>1317</v>
      </c>
      <c r="N457" s="57" t="s">
        <v>1699</v>
      </c>
      <c r="O457" s="57"/>
      <c r="P457" s="57"/>
      <c r="Q457" s="17" t="s">
        <v>19</v>
      </c>
      <c r="R457" s="70" t="str">
        <f>HYPERLINK("http://search.books.com.tw/search/query/key/9789579439480/cat/all
","
9789579439480")</f>
        <v xml:space="preserve">
9789579439480</v>
      </c>
    </row>
    <row r="458" spans="1:18" ht="33" hidden="1" x14ac:dyDescent="0.25">
      <c r="A458" s="1">
        <v>454</v>
      </c>
      <c r="B458" s="56" t="s">
        <v>1700</v>
      </c>
      <c r="C458" s="57" t="s">
        <v>1701</v>
      </c>
      <c r="D458" s="57" t="s">
        <v>1009</v>
      </c>
      <c r="E458" s="58" t="s">
        <v>363</v>
      </c>
      <c r="F458" s="58" t="s">
        <v>1702</v>
      </c>
      <c r="G458" s="58"/>
      <c r="H458" s="58"/>
      <c r="I458" s="57">
        <v>330</v>
      </c>
      <c r="J458" s="79">
        <f t="shared" si="18"/>
        <v>257.39999999999998</v>
      </c>
      <c r="K458" s="59"/>
      <c r="L458" s="84">
        <f t="shared" si="19"/>
        <v>0</v>
      </c>
      <c r="M458" s="60" t="s">
        <v>1327</v>
      </c>
      <c r="N458" s="57"/>
      <c r="O458" s="57"/>
      <c r="P458" s="57"/>
      <c r="Q458" s="17" t="s">
        <v>19</v>
      </c>
      <c r="R458" s="70" t="str">
        <f>HYPERLINK("http://search.books.com.tw/search/query/key/9789578759367/cat/all
","
9789578759367")</f>
        <v xml:space="preserve">
9789578759367</v>
      </c>
    </row>
    <row r="459" spans="1:18" ht="49.5" hidden="1" x14ac:dyDescent="0.25">
      <c r="A459" s="1">
        <v>455</v>
      </c>
      <c r="B459" s="56" t="s">
        <v>1703</v>
      </c>
      <c r="C459" s="57" t="s">
        <v>1402</v>
      </c>
      <c r="D459" s="57" t="s">
        <v>1009</v>
      </c>
      <c r="E459" s="58" t="s">
        <v>359</v>
      </c>
      <c r="F459" s="58" t="s">
        <v>1704</v>
      </c>
      <c r="G459" s="58"/>
      <c r="H459" s="58"/>
      <c r="I459" s="57">
        <v>450</v>
      </c>
      <c r="J459" s="79">
        <f t="shared" si="18"/>
        <v>351</v>
      </c>
      <c r="K459" s="59"/>
      <c r="L459" s="84">
        <f t="shared" si="19"/>
        <v>0</v>
      </c>
      <c r="M459" s="60" t="s">
        <v>1369</v>
      </c>
      <c r="N459" s="56" t="s">
        <v>1705</v>
      </c>
      <c r="O459" s="57"/>
      <c r="P459" s="57"/>
      <c r="Q459" s="17" t="s">
        <v>19</v>
      </c>
      <c r="R459" s="70" t="str">
        <f>HYPERLINK("http://search.books.com.tw/search/query/key/9789578759350/cat/all
","
9789578759350")</f>
        <v xml:space="preserve">
9789578759350</v>
      </c>
    </row>
    <row r="460" spans="1:18" ht="33" hidden="1" x14ac:dyDescent="0.25">
      <c r="A460" s="1">
        <v>456</v>
      </c>
      <c r="B460" s="56" t="s">
        <v>1706</v>
      </c>
      <c r="C460" s="57" t="s">
        <v>1707</v>
      </c>
      <c r="D460" s="57" t="s">
        <v>1009</v>
      </c>
      <c r="E460" s="58" t="s">
        <v>368</v>
      </c>
      <c r="F460" s="58" t="s">
        <v>1708</v>
      </c>
      <c r="G460" s="58"/>
      <c r="H460" s="58"/>
      <c r="I460" s="57">
        <v>480</v>
      </c>
      <c r="J460" s="79">
        <f t="shared" si="18"/>
        <v>374.4</v>
      </c>
      <c r="K460" s="59"/>
      <c r="L460" s="84">
        <f t="shared" si="19"/>
        <v>0</v>
      </c>
      <c r="M460" s="60" t="s">
        <v>1310</v>
      </c>
      <c r="N460" s="57" t="s">
        <v>1709</v>
      </c>
      <c r="O460" s="57"/>
      <c r="P460" s="57"/>
      <c r="Q460" s="17" t="s">
        <v>19</v>
      </c>
      <c r="R460" s="70" t="str">
        <f>HYPERLINK("http://search.books.com.tw/search/query/key/9789578759435/cat/all
","
9789578759435")</f>
        <v xml:space="preserve">
9789578759435</v>
      </c>
    </row>
    <row r="461" spans="1:18" hidden="1" x14ac:dyDescent="0.25">
      <c r="A461" s="1">
        <v>457</v>
      </c>
      <c r="B461" s="56" t="s">
        <v>1710</v>
      </c>
      <c r="C461" s="57" t="s">
        <v>1711</v>
      </c>
      <c r="D461" s="57" t="s">
        <v>1245</v>
      </c>
      <c r="E461" s="58" t="s">
        <v>359</v>
      </c>
      <c r="F461" s="58" t="s">
        <v>1712</v>
      </c>
      <c r="G461" s="58"/>
      <c r="H461" s="58"/>
      <c r="I461" s="57">
        <v>450</v>
      </c>
      <c r="J461" s="79">
        <f t="shared" si="18"/>
        <v>351</v>
      </c>
      <c r="K461" s="59"/>
      <c r="L461" s="84">
        <f t="shared" si="19"/>
        <v>0</v>
      </c>
      <c r="M461" s="60" t="s">
        <v>1339</v>
      </c>
      <c r="N461" s="57" t="s">
        <v>1713</v>
      </c>
      <c r="O461" s="57"/>
      <c r="P461" s="57"/>
      <c r="Q461" s="17" t="s">
        <v>19</v>
      </c>
      <c r="R461" s="70" t="str">
        <f>HYPERLINK("http://search.books.com.tw/search/query/key/4717702904449/cat/all
","
4717702904449")</f>
        <v xml:space="preserve">
4717702904449</v>
      </c>
    </row>
    <row r="462" spans="1:18" hidden="1" x14ac:dyDescent="0.25">
      <c r="A462" s="1">
        <v>458</v>
      </c>
      <c r="B462" s="56" t="s">
        <v>1714</v>
      </c>
      <c r="C462" s="57" t="s">
        <v>1715</v>
      </c>
      <c r="D462" s="57" t="s">
        <v>1245</v>
      </c>
      <c r="E462" s="58" t="s">
        <v>363</v>
      </c>
      <c r="F462" s="58" t="s">
        <v>1716</v>
      </c>
      <c r="G462" s="58"/>
      <c r="H462" s="58"/>
      <c r="I462" s="57">
        <v>350</v>
      </c>
      <c r="J462" s="79">
        <f t="shared" si="18"/>
        <v>273</v>
      </c>
      <c r="K462" s="59"/>
      <c r="L462" s="84">
        <f t="shared" si="19"/>
        <v>0</v>
      </c>
      <c r="M462" s="60" t="s">
        <v>1369</v>
      </c>
      <c r="N462" s="57" t="s">
        <v>1717</v>
      </c>
      <c r="O462" s="57"/>
      <c r="P462" s="57"/>
      <c r="Q462" s="17" t="s">
        <v>19</v>
      </c>
      <c r="R462" s="70" t="str">
        <f>HYPERLINK("http://search.books.com.tw/search/query/key/9789864775507/cat/all
","
9789864775507")</f>
        <v xml:space="preserve">
9789864775507</v>
      </c>
    </row>
    <row r="463" spans="1:18" hidden="1" x14ac:dyDescent="0.25">
      <c r="A463" s="1">
        <v>459</v>
      </c>
      <c r="B463" s="56" t="s">
        <v>1718</v>
      </c>
      <c r="C463" s="57" t="s">
        <v>1719</v>
      </c>
      <c r="D463" s="57" t="s">
        <v>1013</v>
      </c>
      <c r="E463" s="58" t="s">
        <v>363</v>
      </c>
      <c r="F463" s="58" t="s">
        <v>1720</v>
      </c>
      <c r="G463" s="58"/>
      <c r="H463" s="58"/>
      <c r="I463" s="57">
        <v>350</v>
      </c>
      <c r="J463" s="79">
        <f t="shared" si="18"/>
        <v>273</v>
      </c>
      <c r="K463" s="59"/>
      <c r="L463" s="84">
        <f t="shared" si="19"/>
        <v>0</v>
      </c>
      <c r="M463" s="60" t="s">
        <v>1327</v>
      </c>
      <c r="N463" s="57"/>
      <c r="O463" s="57"/>
      <c r="P463" s="57"/>
      <c r="Q463" s="17" t="s">
        <v>19</v>
      </c>
      <c r="R463" s="70" t="str">
        <f>HYPERLINK("http://search.books.com.tw/search/query/key/9789863445494/cat/all
","
9789863445494")</f>
        <v xml:space="preserve">
9789863445494</v>
      </c>
    </row>
    <row r="464" spans="1:18" hidden="1" x14ac:dyDescent="0.25">
      <c r="A464" s="1">
        <v>460</v>
      </c>
      <c r="B464" s="56" t="s">
        <v>1721</v>
      </c>
      <c r="C464" s="57" t="s">
        <v>1722</v>
      </c>
      <c r="D464" s="57" t="s">
        <v>1013</v>
      </c>
      <c r="E464" s="58" t="s">
        <v>359</v>
      </c>
      <c r="F464" s="58" t="s">
        <v>1723</v>
      </c>
      <c r="G464" s="58"/>
      <c r="H464" s="58"/>
      <c r="I464" s="57">
        <v>300</v>
      </c>
      <c r="J464" s="79">
        <f t="shared" si="18"/>
        <v>234</v>
      </c>
      <c r="K464" s="59"/>
      <c r="L464" s="84">
        <f t="shared" si="19"/>
        <v>0</v>
      </c>
      <c r="M464" s="60" t="s">
        <v>1369</v>
      </c>
      <c r="N464" s="57"/>
      <c r="O464" s="57"/>
      <c r="P464" s="57"/>
      <c r="Q464" s="17" t="s">
        <v>19</v>
      </c>
      <c r="R464" s="70" t="str">
        <f>HYPERLINK("http://search.books.com.tw/search/query/key/9789863445999/cat/all
","
9789863445999")</f>
        <v xml:space="preserve">
9789863445999</v>
      </c>
    </row>
    <row r="465" spans="1:18" hidden="1" x14ac:dyDescent="0.25">
      <c r="A465" s="1">
        <v>461</v>
      </c>
      <c r="B465" s="56" t="s">
        <v>1724</v>
      </c>
      <c r="C465" s="57" t="s">
        <v>1725</v>
      </c>
      <c r="D465" s="57" t="s">
        <v>1013</v>
      </c>
      <c r="E465" s="58" t="s">
        <v>363</v>
      </c>
      <c r="F465" s="58" t="s">
        <v>1726</v>
      </c>
      <c r="G465" s="58"/>
      <c r="H465" s="58"/>
      <c r="I465" s="57">
        <v>300</v>
      </c>
      <c r="J465" s="79">
        <f t="shared" si="18"/>
        <v>234</v>
      </c>
      <c r="K465" s="59"/>
      <c r="L465" s="84">
        <f t="shared" si="19"/>
        <v>0</v>
      </c>
      <c r="M465" s="60" t="s">
        <v>1369</v>
      </c>
      <c r="N465" s="57" t="s">
        <v>1727</v>
      </c>
      <c r="O465" s="57"/>
      <c r="P465" s="57"/>
      <c r="Q465" s="17" t="s">
        <v>19</v>
      </c>
      <c r="R465" s="70" t="str">
        <f>HYPERLINK("http://search.books.com.tw/search/query/key/9789863446026/cat/all
","
9789863446026")</f>
        <v xml:space="preserve">
9789863446026</v>
      </c>
    </row>
    <row r="466" spans="1:18" hidden="1" x14ac:dyDescent="0.25">
      <c r="A466" s="1">
        <v>462</v>
      </c>
      <c r="B466" s="56" t="s">
        <v>1728</v>
      </c>
      <c r="C466" s="57" t="s">
        <v>1729</v>
      </c>
      <c r="D466" s="57" t="s">
        <v>1013</v>
      </c>
      <c r="E466" s="58" t="s">
        <v>359</v>
      </c>
      <c r="F466" s="58" t="s">
        <v>1730</v>
      </c>
      <c r="G466" s="58"/>
      <c r="H466" s="58"/>
      <c r="I466" s="57">
        <v>360</v>
      </c>
      <c r="J466" s="79">
        <f t="shared" si="18"/>
        <v>280.8</v>
      </c>
      <c r="K466" s="59"/>
      <c r="L466" s="84">
        <f t="shared" si="19"/>
        <v>0</v>
      </c>
      <c r="M466" s="60" t="s">
        <v>1369</v>
      </c>
      <c r="N466" s="57"/>
      <c r="O466" s="57"/>
      <c r="P466" s="57"/>
      <c r="Q466" s="17" t="s">
        <v>19</v>
      </c>
      <c r="R466" s="70" t="str">
        <f>HYPERLINK("http://search.books.com.tw/search/query/key/9789863446002/cat/all
","
9789863446002")</f>
        <v xml:space="preserve">
9789863446002</v>
      </c>
    </row>
    <row r="467" spans="1:18" ht="33" hidden="1" x14ac:dyDescent="0.25">
      <c r="A467" s="1">
        <v>463</v>
      </c>
      <c r="B467" s="56" t="s">
        <v>1731</v>
      </c>
      <c r="C467" s="57" t="s">
        <v>1732</v>
      </c>
      <c r="D467" s="57" t="s">
        <v>1733</v>
      </c>
      <c r="E467" s="58" t="s">
        <v>359</v>
      </c>
      <c r="F467" s="58" t="s">
        <v>1734</v>
      </c>
      <c r="G467" s="58"/>
      <c r="H467" s="58"/>
      <c r="I467" s="57">
        <v>320</v>
      </c>
      <c r="J467" s="79">
        <f t="shared" si="18"/>
        <v>249.6</v>
      </c>
      <c r="K467" s="59"/>
      <c r="L467" s="84">
        <f t="shared" si="19"/>
        <v>0</v>
      </c>
      <c r="M467" s="60" t="s">
        <v>1317</v>
      </c>
      <c r="N467" s="57"/>
      <c r="O467" s="57"/>
      <c r="P467" s="57"/>
      <c r="Q467" s="17" t="s">
        <v>19</v>
      </c>
      <c r="R467" s="70" t="str">
        <f>HYPERLINK("http://search.books.com.tw/search/query/key/9789869695206/cat/all
","
9789869695206")</f>
        <v xml:space="preserve">
9789869695206</v>
      </c>
    </row>
    <row r="468" spans="1:18" hidden="1" x14ac:dyDescent="0.25">
      <c r="A468" s="1">
        <v>464</v>
      </c>
      <c r="B468" s="56" t="s">
        <v>1735</v>
      </c>
      <c r="C468" s="57" t="s">
        <v>1736</v>
      </c>
      <c r="D468" s="57" t="s">
        <v>1733</v>
      </c>
      <c r="E468" s="58" t="s">
        <v>363</v>
      </c>
      <c r="F468" s="58" t="s">
        <v>1737</v>
      </c>
      <c r="G468" s="58"/>
      <c r="H468" s="58"/>
      <c r="I468" s="57">
        <v>300</v>
      </c>
      <c r="J468" s="79">
        <f t="shared" si="18"/>
        <v>234</v>
      </c>
      <c r="K468" s="59"/>
      <c r="L468" s="84">
        <f t="shared" si="19"/>
        <v>0</v>
      </c>
      <c r="M468" s="60" t="s">
        <v>1317</v>
      </c>
      <c r="N468" s="57"/>
      <c r="O468" s="57"/>
      <c r="P468" s="57"/>
      <c r="Q468" s="17" t="s">
        <v>19</v>
      </c>
      <c r="R468" s="70" t="str">
        <f>HYPERLINK("http://search.books.com.tw/search/query/key/9789869695220/cat/all
","
9789869695220")</f>
        <v xml:space="preserve">
9789869695220</v>
      </c>
    </row>
    <row r="469" spans="1:18" ht="66" hidden="1" x14ac:dyDescent="0.25">
      <c r="A469" s="1">
        <v>465</v>
      </c>
      <c r="B469" s="56" t="s">
        <v>1738</v>
      </c>
      <c r="C469" s="57" t="s">
        <v>1739</v>
      </c>
      <c r="D469" s="57" t="s">
        <v>1733</v>
      </c>
      <c r="E469" s="58" t="s">
        <v>363</v>
      </c>
      <c r="F469" s="58" t="s">
        <v>1740</v>
      </c>
      <c r="G469" s="58"/>
      <c r="H469" s="58"/>
      <c r="I469" s="57">
        <v>400</v>
      </c>
      <c r="J469" s="79">
        <f t="shared" si="18"/>
        <v>312</v>
      </c>
      <c r="K469" s="59"/>
      <c r="L469" s="84">
        <f t="shared" si="19"/>
        <v>0</v>
      </c>
      <c r="M469" s="60" t="s">
        <v>1310</v>
      </c>
      <c r="N469" s="56" t="s">
        <v>1741</v>
      </c>
      <c r="O469" s="57"/>
      <c r="P469" s="57"/>
      <c r="Q469" s="17" t="s">
        <v>19</v>
      </c>
      <c r="R469" s="70" t="str">
        <f>HYPERLINK("http://search.books.com.tw/search/query/key/9789869695268/cat/all
","
9789869695268")</f>
        <v xml:space="preserve">
9789869695268</v>
      </c>
    </row>
    <row r="470" spans="1:18" ht="66" hidden="1" x14ac:dyDescent="0.25">
      <c r="A470" s="1">
        <v>466</v>
      </c>
      <c r="B470" s="56" t="s">
        <v>1742</v>
      </c>
      <c r="C470" s="57" t="s">
        <v>1743</v>
      </c>
      <c r="D470" s="57" t="s">
        <v>1733</v>
      </c>
      <c r="E470" s="58" t="s">
        <v>368</v>
      </c>
      <c r="F470" s="58" t="s">
        <v>1744</v>
      </c>
      <c r="G470" s="58"/>
      <c r="H470" s="58"/>
      <c r="I470" s="57">
        <v>399</v>
      </c>
      <c r="J470" s="79">
        <f t="shared" si="18"/>
        <v>311.22000000000003</v>
      </c>
      <c r="K470" s="59"/>
      <c r="L470" s="84">
        <f t="shared" si="19"/>
        <v>0</v>
      </c>
      <c r="M470" s="60" t="s">
        <v>1344</v>
      </c>
      <c r="N470" s="56" t="s">
        <v>1745</v>
      </c>
      <c r="O470" s="57"/>
      <c r="P470" s="57"/>
      <c r="Q470" s="17" t="s">
        <v>19</v>
      </c>
      <c r="R470" s="70" t="str">
        <f>HYPERLINK("http://search.books.com.tw/search/query/key/9789869695275/cat/all
","
9789869695275")</f>
        <v xml:space="preserve">
9789869695275</v>
      </c>
    </row>
    <row r="471" spans="1:18" hidden="1" x14ac:dyDescent="0.25">
      <c r="A471" s="1">
        <v>467</v>
      </c>
      <c r="B471" s="56" t="s">
        <v>1746</v>
      </c>
      <c r="C471" s="57" t="s">
        <v>1747</v>
      </c>
      <c r="D471" s="57" t="s">
        <v>1748</v>
      </c>
      <c r="E471" s="58" t="s">
        <v>363</v>
      </c>
      <c r="F471" s="58" t="s">
        <v>1749</v>
      </c>
      <c r="G471" s="58"/>
      <c r="H471" s="58"/>
      <c r="I471" s="57">
        <v>400</v>
      </c>
      <c r="J471" s="79">
        <f t="shared" si="18"/>
        <v>312</v>
      </c>
      <c r="K471" s="59"/>
      <c r="L471" s="84">
        <f t="shared" si="19"/>
        <v>0</v>
      </c>
      <c r="M471" s="60" t="s">
        <v>1317</v>
      </c>
      <c r="N471" s="57" t="s">
        <v>1750</v>
      </c>
      <c r="O471" s="57"/>
      <c r="P471" s="57"/>
      <c r="Q471" s="17" t="s">
        <v>19</v>
      </c>
      <c r="R471" s="70" t="str">
        <f>HYPERLINK("http://search.books.com.tw/search/query/key/9789862357002/cat/all
","
9789862357002")</f>
        <v xml:space="preserve">
9789862357002</v>
      </c>
    </row>
    <row r="472" spans="1:18" hidden="1" x14ac:dyDescent="0.25">
      <c r="A472" s="1">
        <v>468</v>
      </c>
      <c r="B472" s="56" t="s">
        <v>1751</v>
      </c>
      <c r="C472" s="57" t="s">
        <v>1752</v>
      </c>
      <c r="D472" s="57" t="s">
        <v>1748</v>
      </c>
      <c r="E472" s="58" t="s">
        <v>363</v>
      </c>
      <c r="F472" s="58" t="s">
        <v>1753</v>
      </c>
      <c r="G472" s="58"/>
      <c r="H472" s="58"/>
      <c r="I472" s="57">
        <v>420</v>
      </c>
      <c r="J472" s="79">
        <f t="shared" si="18"/>
        <v>327.60000000000002</v>
      </c>
      <c r="K472" s="59"/>
      <c r="L472" s="84">
        <f t="shared" si="19"/>
        <v>0</v>
      </c>
      <c r="M472" s="60" t="s">
        <v>1317</v>
      </c>
      <c r="N472" s="57"/>
      <c r="O472" s="57"/>
      <c r="P472" s="57"/>
      <c r="Q472" s="17" t="s">
        <v>19</v>
      </c>
      <c r="R472" s="70" t="str">
        <f>HYPERLINK("http://search.books.com.tw/search/query/key/9789862357194/cat/all
","
9789862357194")</f>
        <v xml:space="preserve">
9789862357194</v>
      </c>
    </row>
    <row r="473" spans="1:18" hidden="1" x14ac:dyDescent="0.25">
      <c r="A473" s="1">
        <v>469</v>
      </c>
      <c r="B473" s="56" t="s">
        <v>1754</v>
      </c>
      <c r="C473" s="57" t="s">
        <v>1755</v>
      </c>
      <c r="D473" s="57" t="s">
        <v>1262</v>
      </c>
      <c r="E473" s="58" t="s">
        <v>363</v>
      </c>
      <c r="F473" s="58" t="s">
        <v>1756</v>
      </c>
      <c r="G473" s="58"/>
      <c r="H473" s="58"/>
      <c r="I473" s="57">
        <v>420</v>
      </c>
      <c r="J473" s="79">
        <f t="shared" si="18"/>
        <v>327.60000000000002</v>
      </c>
      <c r="K473" s="59"/>
      <c r="L473" s="84">
        <f t="shared" si="19"/>
        <v>0</v>
      </c>
      <c r="M473" s="63" t="s">
        <v>1528</v>
      </c>
      <c r="N473" s="57"/>
      <c r="O473" s="57"/>
      <c r="P473" s="57"/>
      <c r="Q473" s="17" t="s">
        <v>19</v>
      </c>
      <c r="R473" s="70" t="str">
        <f>HYPERLINK("http://search.books.com.tw/search/query/key/9789863616160/cat/all
","
9789863616160")</f>
        <v xml:space="preserve">
9789863616160</v>
      </c>
    </row>
    <row r="474" spans="1:18" hidden="1" x14ac:dyDescent="0.25">
      <c r="A474" s="1">
        <v>470</v>
      </c>
      <c r="B474" s="56" t="s">
        <v>1757</v>
      </c>
      <c r="C474" s="57" t="s">
        <v>1758</v>
      </c>
      <c r="D474" s="57" t="s">
        <v>1262</v>
      </c>
      <c r="E474" s="58" t="s">
        <v>368</v>
      </c>
      <c r="F474" s="58" t="s">
        <v>1759</v>
      </c>
      <c r="G474" s="58"/>
      <c r="H474" s="58"/>
      <c r="I474" s="57">
        <v>280</v>
      </c>
      <c r="J474" s="79">
        <f t="shared" si="18"/>
        <v>218.4</v>
      </c>
      <c r="K474" s="59"/>
      <c r="L474" s="84">
        <f t="shared" si="19"/>
        <v>0</v>
      </c>
      <c r="M474" s="60" t="s">
        <v>1760</v>
      </c>
      <c r="N474" s="57"/>
      <c r="O474" s="57"/>
      <c r="P474" s="57"/>
      <c r="Q474" s="17" t="s">
        <v>19</v>
      </c>
      <c r="R474" s="70" t="str">
        <f>HYPERLINK("http://search.books.com.tw/search/query/key/9789863616207/cat/all
","
9789863616207")</f>
        <v xml:space="preserve">
9789863616207</v>
      </c>
    </row>
    <row r="475" spans="1:18" hidden="1" x14ac:dyDescent="0.25">
      <c r="A475" s="1">
        <v>471</v>
      </c>
      <c r="B475" s="56" t="s">
        <v>1761</v>
      </c>
      <c r="C475" s="57" t="s">
        <v>1762</v>
      </c>
      <c r="D475" s="57" t="s">
        <v>1763</v>
      </c>
      <c r="E475" s="58" t="s">
        <v>368</v>
      </c>
      <c r="F475" s="58" t="s">
        <v>1764</v>
      </c>
      <c r="G475" s="58"/>
      <c r="H475" s="58"/>
      <c r="I475" s="57">
        <v>380</v>
      </c>
      <c r="J475" s="79">
        <f t="shared" si="18"/>
        <v>296.39999999999998</v>
      </c>
      <c r="K475" s="59"/>
      <c r="L475" s="84">
        <f t="shared" si="19"/>
        <v>0</v>
      </c>
      <c r="M475" s="60" t="s">
        <v>1327</v>
      </c>
      <c r="N475" s="57"/>
      <c r="O475" s="57"/>
      <c r="P475" s="57"/>
      <c r="Q475" s="17" t="s">
        <v>19</v>
      </c>
      <c r="R475" s="70" t="str">
        <f>HYPERLINK("http://search.books.com.tw/search/query/key/9789869689250/cat/all
","
9789869689250")</f>
        <v xml:space="preserve">
9789869689250</v>
      </c>
    </row>
    <row r="476" spans="1:18" hidden="1" x14ac:dyDescent="0.25">
      <c r="A476" s="1">
        <v>472</v>
      </c>
      <c r="B476" s="56" t="s">
        <v>1765</v>
      </c>
      <c r="C476" s="57" t="s">
        <v>1766</v>
      </c>
      <c r="D476" s="57" t="s">
        <v>1767</v>
      </c>
      <c r="E476" s="58" t="s">
        <v>368</v>
      </c>
      <c r="F476" s="58" t="s">
        <v>1768</v>
      </c>
      <c r="G476" s="58"/>
      <c r="H476" s="58"/>
      <c r="I476" s="57">
        <v>280</v>
      </c>
      <c r="J476" s="79">
        <f t="shared" si="18"/>
        <v>218.4</v>
      </c>
      <c r="K476" s="59"/>
      <c r="L476" s="84">
        <f t="shared" si="19"/>
        <v>0</v>
      </c>
      <c r="M476" s="60" t="s">
        <v>1310</v>
      </c>
      <c r="N476" s="57"/>
      <c r="O476" s="57"/>
      <c r="P476" s="57"/>
      <c r="Q476" s="17" t="s">
        <v>19</v>
      </c>
      <c r="R476" s="70" t="str">
        <f>HYPERLINK("http://search.books.com.tw/search/query/key/9789869595377/cat/all
","
9789869595377")</f>
        <v xml:space="preserve">
9789869595377</v>
      </c>
    </row>
    <row r="477" spans="1:18" ht="66" hidden="1" x14ac:dyDescent="0.25">
      <c r="A477" s="1">
        <v>473</v>
      </c>
      <c r="B477" s="56" t="s">
        <v>1769</v>
      </c>
      <c r="C477" s="57" t="s">
        <v>1770</v>
      </c>
      <c r="D477" s="57" t="s">
        <v>1771</v>
      </c>
      <c r="E477" s="58" t="s">
        <v>359</v>
      </c>
      <c r="F477" s="58" t="s">
        <v>1772</v>
      </c>
      <c r="G477" s="58"/>
      <c r="H477" s="58"/>
      <c r="I477" s="57">
        <v>320</v>
      </c>
      <c r="J477" s="79">
        <f t="shared" si="18"/>
        <v>249.6</v>
      </c>
      <c r="K477" s="59"/>
      <c r="L477" s="84">
        <f t="shared" si="19"/>
        <v>0</v>
      </c>
      <c r="M477" s="60" t="s">
        <v>1317</v>
      </c>
      <c r="N477" s="56" t="s">
        <v>1773</v>
      </c>
      <c r="O477" s="57"/>
      <c r="P477" s="57"/>
      <c r="Q477" s="17" t="s">
        <v>19</v>
      </c>
      <c r="R477" s="70" t="str">
        <f>HYPERLINK("http://search.books.com.tw/search/query/key/9789863797043/cat/all
","
9789863797043")</f>
        <v xml:space="preserve">
9789863797043</v>
      </c>
    </row>
    <row r="478" spans="1:18" hidden="1" x14ac:dyDescent="0.25">
      <c r="A478" s="1">
        <v>474</v>
      </c>
      <c r="B478" s="56" t="s">
        <v>1774</v>
      </c>
      <c r="C478" s="57" t="s">
        <v>1775</v>
      </c>
      <c r="D478" s="57" t="s">
        <v>1771</v>
      </c>
      <c r="E478" s="58" t="s">
        <v>363</v>
      </c>
      <c r="F478" s="58" t="s">
        <v>1776</v>
      </c>
      <c r="G478" s="58"/>
      <c r="H478" s="58"/>
      <c r="I478" s="57">
        <v>320</v>
      </c>
      <c r="J478" s="79">
        <f t="shared" si="18"/>
        <v>249.6</v>
      </c>
      <c r="K478" s="59"/>
      <c r="L478" s="84">
        <f t="shared" si="19"/>
        <v>0</v>
      </c>
      <c r="M478" s="60" t="s">
        <v>1317</v>
      </c>
      <c r="N478" s="57"/>
      <c r="O478" s="57"/>
      <c r="P478" s="57"/>
      <c r="Q478" s="17" t="s">
        <v>19</v>
      </c>
      <c r="R478" s="70" t="str">
        <f>HYPERLINK("http://search.books.com.tw/search/query/key/9789863797050/cat/all
","
9789863797050")</f>
        <v xml:space="preserve">
9789863797050</v>
      </c>
    </row>
    <row r="479" spans="1:18" hidden="1" x14ac:dyDescent="0.25">
      <c r="A479" s="1">
        <v>475</v>
      </c>
      <c r="B479" s="56" t="s">
        <v>1777</v>
      </c>
      <c r="C479" s="57" t="s">
        <v>1778</v>
      </c>
      <c r="D479" s="57" t="s">
        <v>1779</v>
      </c>
      <c r="E479" s="58" t="s">
        <v>363</v>
      </c>
      <c r="F479" s="58" t="s">
        <v>1780</v>
      </c>
      <c r="G479" s="58"/>
      <c r="H479" s="58"/>
      <c r="I479" s="57">
        <v>560</v>
      </c>
      <c r="J479" s="79">
        <f t="shared" si="18"/>
        <v>436.8</v>
      </c>
      <c r="K479" s="59"/>
      <c r="L479" s="84">
        <f t="shared" si="19"/>
        <v>0</v>
      </c>
      <c r="M479" s="60" t="s">
        <v>1537</v>
      </c>
      <c r="N479" s="57" t="s">
        <v>1781</v>
      </c>
      <c r="O479" s="57"/>
      <c r="P479" s="57"/>
      <c r="Q479" s="17" t="s">
        <v>19</v>
      </c>
      <c r="R479" s="70" t="str">
        <f>HYPERLINK("http://search.books.com.tw/search/query/key/9789862272480/cat/all
","
9789862272480")</f>
        <v xml:space="preserve">
9789862272480</v>
      </c>
    </row>
    <row r="480" spans="1:18" ht="115.5" hidden="1" x14ac:dyDescent="0.25">
      <c r="A480" s="1">
        <v>476</v>
      </c>
      <c r="B480" s="56" t="s">
        <v>1782</v>
      </c>
      <c r="C480" s="57" t="s">
        <v>1783</v>
      </c>
      <c r="D480" s="57" t="s">
        <v>1779</v>
      </c>
      <c r="E480" s="58" t="s">
        <v>363</v>
      </c>
      <c r="F480" s="58" t="s">
        <v>1784</v>
      </c>
      <c r="G480" s="58"/>
      <c r="H480" s="58"/>
      <c r="I480" s="57">
        <v>460</v>
      </c>
      <c r="J480" s="79">
        <f t="shared" si="18"/>
        <v>358.8</v>
      </c>
      <c r="K480" s="59"/>
      <c r="L480" s="84">
        <f t="shared" si="19"/>
        <v>0</v>
      </c>
      <c r="M480" s="60" t="s">
        <v>1369</v>
      </c>
      <c r="N480" s="56" t="s">
        <v>1785</v>
      </c>
      <c r="O480" s="57"/>
      <c r="P480" s="57"/>
      <c r="Q480" s="17" t="s">
        <v>19</v>
      </c>
      <c r="R480" s="70" t="str">
        <f>HYPERLINK("http://search.books.com.tw/search/query/key/9789862272503/cat/all
","
9789862272503")</f>
        <v xml:space="preserve">
9789862272503</v>
      </c>
    </row>
    <row r="481" spans="1:18" hidden="1" x14ac:dyDescent="0.25">
      <c r="A481" s="1">
        <v>477</v>
      </c>
      <c r="B481" s="56" t="s">
        <v>1786</v>
      </c>
      <c r="C481" s="57" t="s">
        <v>1787</v>
      </c>
      <c r="D481" s="57" t="s">
        <v>1041</v>
      </c>
      <c r="E481" s="58" t="s">
        <v>363</v>
      </c>
      <c r="F481" s="58" t="s">
        <v>1788</v>
      </c>
      <c r="G481" s="58"/>
      <c r="H481" s="58"/>
      <c r="I481" s="57">
        <v>360</v>
      </c>
      <c r="J481" s="79">
        <f t="shared" si="18"/>
        <v>280.8</v>
      </c>
      <c r="K481" s="59"/>
      <c r="L481" s="84">
        <f t="shared" si="19"/>
        <v>0</v>
      </c>
      <c r="M481" s="60" t="s">
        <v>1369</v>
      </c>
      <c r="N481" s="57"/>
      <c r="O481" s="57"/>
      <c r="P481" s="57"/>
      <c r="Q481" s="17" t="s">
        <v>19</v>
      </c>
      <c r="R481" s="70" t="str">
        <f>HYPERLINK("http://search.books.com.tw/search/query/key/9789570531732/cat/all
","
9789570531732")</f>
        <v xml:space="preserve">
9789570531732</v>
      </c>
    </row>
    <row r="482" spans="1:18" hidden="1" x14ac:dyDescent="0.25">
      <c r="A482" s="1">
        <v>478</v>
      </c>
      <c r="B482" s="56" t="s">
        <v>1789</v>
      </c>
      <c r="C482" s="57" t="s">
        <v>1790</v>
      </c>
      <c r="D482" s="57" t="s">
        <v>1041</v>
      </c>
      <c r="E482" s="58" t="s">
        <v>363</v>
      </c>
      <c r="F482" s="58" t="s">
        <v>1791</v>
      </c>
      <c r="G482" s="58"/>
      <c r="H482" s="58"/>
      <c r="I482" s="57">
        <v>350</v>
      </c>
      <c r="J482" s="79">
        <f t="shared" si="18"/>
        <v>273</v>
      </c>
      <c r="K482" s="59"/>
      <c r="L482" s="84">
        <f t="shared" si="19"/>
        <v>0</v>
      </c>
      <c r="M482" s="60" t="s">
        <v>1369</v>
      </c>
      <c r="N482" s="57" t="s">
        <v>1792</v>
      </c>
      <c r="O482" s="57"/>
      <c r="P482" s="57"/>
      <c r="Q482" s="17" t="s">
        <v>19</v>
      </c>
      <c r="R482" s="70" t="str">
        <f>HYPERLINK("http://search.books.com.tw/search/query/key/9789570531756/cat/all
","
9789570531756")</f>
        <v xml:space="preserve">
9789570531756</v>
      </c>
    </row>
    <row r="483" spans="1:18" hidden="1" x14ac:dyDescent="0.25">
      <c r="A483" s="1">
        <v>479</v>
      </c>
      <c r="B483" s="56" t="s">
        <v>1793</v>
      </c>
      <c r="C483" s="57" t="s">
        <v>1794</v>
      </c>
      <c r="D483" s="57" t="s">
        <v>1041</v>
      </c>
      <c r="E483" s="58" t="s">
        <v>363</v>
      </c>
      <c r="F483" s="58" t="s">
        <v>1795</v>
      </c>
      <c r="G483" s="58"/>
      <c r="H483" s="58"/>
      <c r="I483" s="57">
        <v>340</v>
      </c>
      <c r="J483" s="79">
        <f t="shared" si="18"/>
        <v>265.2</v>
      </c>
      <c r="K483" s="59"/>
      <c r="L483" s="84">
        <f t="shared" si="19"/>
        <v>0</v>
      </c>
      <c r="M483" s="60" t="s">
        <v>1369</v>
      </c>
      <c r="N483" s="57"/>
      <c r="O483" s="57"/>
      <c r="P483" s="57"/>
      <c r="Q483" s="17" t="s">
        <v>19</v>
      </c>
      <c r="R483" s="70" t="str">
        <f>HYPERLINK("http://search.books.com.tw/search/query/key/9789570531695/cat/all
","
9789570531695")</f>
        <v xml:space="preserve">
9789570531695</v>
      </c>
    </row>
    <row r="484" spans="1:18" hidden="1" x14ac:dyDescent="0.25">
      <c r="A484" s="1">
        <v>480</v>
      </c>
      <c r="B484" s="56" t="s">
        <v>1796</v>
      </c>
      <c r="C484" s="57" t="s">
        <v>1797</v>
      </c>
      <c r="D484" s="57" t="s">
        <v>1798</v>
      </c>
      <c r="E484" s="58" t="s">
        <v>359</v>
      </c>
      <c r="F484" s="58" t="s">
        <v>1799</v>
      </c>
      <c r="G484" s="58"/>
      <c r="H484" s="58"/>
      <c r="I484" s="57">
        <v>280</v>
      </c>
      <c r="J484" s="79">
        <f t="shared" si="18"/>
        <v>218.4</v>
      </c>
      <c r="K484" s="59"/>
      <c r="L484" s="84">
        <f t="shared" si="19"/>
        <v>0</v>
      </c>
      <c r="M484" s="60" t="s">
        <v>1760</v>
      </c>
      <c r="N484" s="57"/>
      <c r="O484" s="57"/>
      <c r="P484" s="57"/>
      <c r="Q484" s="17" t="s">
        <v>19</v>
      </c>
      <c r="R484" s="70" t="str">
        <f>HYPERLINK("http://search.books.com.tw/search/query/key/9789863193685/cat/all
","
9789863193685")</f>
        <v xml:space="preserve">
9789863193685</v>
      </c>
    </row>
    <row r="485" spans="1:18" hidden="1" x14ac:dyDescent="0.25">
      <c r="A485" s="1">
        <v>481</v>
      </c>
      <c r="B485" s="56" t="s">
        <v>1800</v>
      </c>
      <c r="C485" s="57" t="s">
        <v>1801</v>
      </c>
      <c r="D485" s="57" t="s">
        <v>1802</v>
      </c>
      <c r="E485" s="58" t="s">
        <v>363</v>
      </c>
      <c r="F485" s="58" t="s">
        <v>1803</v>
      </c>
      <c r="G485" s="58"/>
      <c r="H485" s="58"/>
      <c r="I485" s="57">
        <v>350</v>
      </c>
      <c r="J485" s="79">
        <f t="shared" si="18"/>
        <v>273</v>
      </c>
      <c r="K485" s="59"/>
      <c r="L485" s="84">
        <f t="shared" si="19"/>
        <v>0</v>
      </c>
      <c r="M485" s="60" t="s">
        <v>1804</v>
      </c>
      <c r="N485" s="57" t="s">
        <v>1805</v>
      </c>
      <c r="O485" s="57"/>
      <c r="P485" s="57"/>
      <c r="Q485" s="17" t="s">
        <v>19</v>
      </c>
      <c r="R485" s="70" t="str">
        <f>HYPERLINK("http://search.books.com.tw/search/query/key/9789863232827/cat/all
","
9789863232827")</f>
        <v xml:space="preserve">
9789863232827</v>
      </c>
    </row>
    <row r="486" spans="1:18" hidden="1" x14ac:dyDescent="0.25">
      <c r="A486" s="1">
        <v>482</v>
      </c>
      <c r="B486" s="56" t="s">
        <v>1806</v>
      </c>
      <c r="C486" s="57" t="s">
        <v>1807</v>
      </c>
      <c r="D486" s="57" t="s">
        <v>1808</v>
      </c>
      <c r="E486" s="58" t="s">
        <v>363</v>
      </c>
      <c r="F486" s="58" t="s">
        <v>1809</v>
      </c>
      <c r="G486" s="58"/>
      <c r="H486" s="58"/>
      <c r="I486" s="57">
        <v>350</v>
      </c>
      <c r="J486" s="79">
        <f t="shared" si="18"/>
        <v>273</v>
      </c>
      <c r="K486" s="59"/>
      <c r="L486" s="84">
        <f t="shared" si="19"/>
        <v>0</v>
      </c>
      <c r="M486" s="60" t="s">
        <v>1369</v>
      </c>
      <c r="N486" s="57"/>
      <c r="O486" s="57"/>
      <c r="P486" s="57"/>
      <c r="Q486" s="17" t="s">
        <v>19</v>
      </c>
      <c r="R486" s="70" t="str">
        <f>HYPERLINK("http://search.books.com.tw/search/query/key/9789882013438/cat/all
","
9789882013438")</f>
        <v xml:space="preserve">
9789882013438</v>
      </c>
    </row>
    <row r="487" spans="1:18" hidden="1" x14ac:dyDescent="0.25">
      <c r="A487" s="1">
        <v>483</v>
      </c>
      <c r="B487" s="56" t="s">
        <v>1810</v>
      </c>
      <c r="C487" s="57" t="s">
        <v>1811</v>
      </c>
      <c r="D487" s="57" t="s">
        <v>1808</v>
      </c>
      <c r="E487" s="58" t="s">
        <v>363</v>
      </c>
      <c r="F487" s="58" t="s">
        <v>1812</v>
      </c>
      <c r="G487" s="58"/>
      <c r="H487" s="58"/>
      <c r="I487" s="57">
        <v>440</v>
      </c>
      <c r="J487" s="79">
        <f t="shared" si="18"/>
        <v>343.2</v>
      </c>
      <c r="K487" s="59"/>
      <c r="L487" s="84">
        <f t="shared" si="19"/>
        <v>0</v>
      </c>
      <c r="M487" s="60" t="s">
        <v>1327</v>
      </c>
      <c r="N487" s="57"/>
      <c r="O487" s="57"/>
      <c r="P487" s="57"/>
      <c r="Q487" s="17" t="s">
        <v>19</v>
      </c>
      <c r="R487" s="70" t="str">
        <f>HYPERLINK("http://search.books.com.tw/search/query/key/9789888547043/cat/all
","
9789888547043")</f>
        <v xml:space="preserve">
9789888547043</v>
      </c>
    </row>
    <row r="488" spans="1:18" hidden="1" x14ac:dyDescent="0.25">
      <c r="A488" s="1">
        <v>484</v>
      </c>
      <c r="B488" s="56" t="s">
        <v>1813</v>
      </c>
      <c r="C488" s="57" t="s">
        <v>1814</v>
      </c>
      <c r="D488" s="57" t="s">
        <v>1808</v>
      </c>
      <c r="E488" s="58" t="s">
        <v>363</v>
      </c>
      <c r="F488" s="58" t="s">
        <v>1815</v>
      </c>
      <c r="G488" s="58"/>
      <c r="H488" s="58"/>
      <c r="I488" s="57">
        <v>670</v>
      </c>
      <c r="J488" s="79">
        <f t="shared" si="18"/>
        <v>522.6</v>
      </c>
      <c r="K488" s="59"/>
      <c r="L488" s="84">
        <f t="shared" si="19"/>
        <v>0</v>
      </c>
      <c r="M488" s="60" t="s">
        <v>1327</v>
      </c>
      <c r="N488" s="57"/>
      <c r="O488" s="57"/>
      <c r="P488" s="57"/>
      <c r="Q488" s="17" t="s">
        <v>19</v>
      </c>
      <c r="R488" s="70" t="str">
        <f>HYPERLINK("http://search.books.com.tw/search/query/key/9789888258840/cat/all
","
9789888258840")</f>
        <v xml:space="preserve">
9789888258840</v>
      </c>
    </row>
    <row r="489" spans="1:18" hidden="1" x14ac:dyDescent="0.25">
      <c r="A489" s="1">
        <v>485</v>
      </c>
      <c r="B489" s="56" t="s">
        <v>1816</v>
      </c>
      <c r="C489" s="57" t="s">
        <v>1817</v>
      </c>
      <c r="D489" s="57" t="s">
        <v>1818</v>
      </c>
      <c r="E489" s="58" t="s">
        <v>363</v>
      </c>
      <c r="F489" s="58" t="s">
        <v>1819</v>
      </c>
      <c r="G489" s="58"/>
      <c r="H489" s="58"/>
      <c r="I489" s="57">
        <v>250</v>
      </c>
      <c r="J489" s="79">
        <f t="shared" si="18"/>
        <v>195</v>
      </c>
      <c r="K489" s="59"/>
      <c r="L489" s="84">
        <f t="shared" si="19"/>
        <v>0</v>
      </c>
      <c r="M489" s="60" t="s">
        <v>1528</v>
      </c>
      <c r="N489" s="57"/>
      <c r="O489" s="57"/>
      <c r="P489" s="57"/>
      <c r="Q489" s="17" t="s">
        <v>19</v>
      </c>
      <c r="R489" s="70" t="str">
        <f>HYPERLINK("http://search.books.com.tw/search/query/key/9789869631754/cat/all
","
9789869631754")</f>
        <v xml:space="preserve">
9789869631754</v>
      </c>
    </row>
    <row r="490" spans="1:18" ht="49.5" hidden="1" x14ac:dyDescent="0.25">
      <c r="A490" s="1">
        <v>486</v>
      </c>
      <c r="B490" s="56" t="s">
        <v>1820</v>
      </c>
      <c r="C490" s="57" t="s">
        <v>1821</v>
      </c>
      <c r="D490" s="57" t="s">
        <v>1822</v>
      </c>
      <c r="E490" s="58" t="s">
        <v>363</v>
      </c>
      <c r="F490" s="58" t="s">
        <v>1823</v>
      </c>
      <c r="G490" s="58"/>
      <c r="H490" s="58"/>
      <c r="I490" s="57">
        <v>360</v>
      </c>
      <c r="J490" s="79">
        <f t="shared" si="18"/>
        <v>280.8</v>
      </c>
      <c r="K490" s="59"/>
      <c r="L490" s="84">
        <f t="shared" si="19"/>
        <v>0</v>
      </c>
      <c r="M490" s="60" t="s">
        <v>1369</v>
      </c>
      <c r="N490" s="56" t="s">
        <v>1824</v>
      </c>
      <c r="O490" s="57"/>
      <c r="P490" s="57"/>
      <c r="Q490" s="17" t="s">
        <v>19</v>
      </c>
      <c r="R490" s="70" t="str">
        <f>HYPERLINK("http://search.books.com.tw/search/query/key/9789578787643/cat/all
","
9789578787643")</f>
        <v xml:space="preserve">
9789578787643</v>
      </c>
    </row>
    <row r="491" spans="1:18" ht="33" hidden="1" x14ac:dyDescent="0.25">
      <c r="A491" s="1">
        <v>487</v>
      </c>
      <c r="B491" s="56" t="s">
        <v>1825</v>
      </c>
      <c r="C491" s="57" t="s">
        <v>1826</v>
      </c>
      <c r="D491" s="57" t="s">
        <v>1060</v>
      </c>
      <c r="E491" s="58" t="s">
        <v>363</v>
      </c>
      <c r="F491" s="58" t="s">
        <v>1827</v>
      </c>
      <c r="G491" s="58"/>
      <c r="H491" s="58"/>
      <c r="I491" s="57">
        <v>340</v>
      </c>
      <c r="J491" s="79">
        <f t="shared" si="18"/>
        <v>265.2</v>
      </c>
      <c r="K491" s="59"/>
      <c r="L491" s="84">
        <f t="shared" si="19"/>
        <v>0</v>
      </c>
      <c r="M491" s="60" t="s">
        <v>1369</v>
      </c>
      <c r="N491" s="57"/>
      <c r="O491" s="57"/>
      <c r="P491" s="57"/>
      <c r="Q491" s="17" t="s">
        <v>19</v>
      </c>
      <c r="R491" s="70" t="str">
        <f>HYPERLINK("http://search.books.com.tw/search/query/key/9789577107404/cat/all
","
9789577107404")</f>
        <v xml:space="preserve">
9789577107404</v>
      </c>
    </row>
    <row r="492" spans="1:18" hidden="1" x14ac:dyDescent="0.25">
      <c r="A492" s="1">
        <v>488</v>
      </c>
      <c r="B492" s="56" t="s">
        <v>1828</v>
      </c>
      <c r="C492" s="57" t="s">
        <v>1829</v>
      </c>
      <c r="D492" s="57" t="s">
        <v>732</v>
      </c>
      <c r="E492" s="58" t="s">
        <v>363</v>
      </c>
      <c r="F492" s="58" t="s">
        <v>1830</v>
      </c>
      <c r="G492" s="58"/>
      <c r="H492" s="58"/>
      <c r="I492" s="57">
        <v>390</v>
      </c>
      <c r="J492" s="79">
        <f t="shared" si="18"/>
        <v>304.2</v>
      </c>
      <c r="K492" s="59"/>
      <c r="L492" s="84">
        <f t="shared" si="19"/>
        <v>0</v>
      </c>
      <c r="M492" s="60" t="s">
        <v>1369</v>
      </c>
      <c r="N492" s="57"/>
      <c r="O492" s="57"/>
      <c r="P492" s="57"/>
      <c r="Q492" s="17" t="s">
        <v>19</v>
      </c>
      <c r="R492" s="70" t="str">
        <f>HYPERLINK("http://search.books.com.tw/search/query/key/9789570851984/cat/all
","
9789570851984")</f>
        <v xml:space="preserve">
9789570851984</v>
      </c>
    </row>
    <row r="493" spans="1:18" ht="33" hidden="1" x14ac:dyDescent="0.25">
      <c r="A493" s="1">
        <v>489</v>
      </c>
      <c r="B493" s="56" t="s">
        <v>1831</v>
      </c>
      <c r="C493" s="57" t="s">
        <v>1832</v>
      </c>
      <c r="D493" s="57" t="s">
        <v>732</v>
      </c>
      <c r="E493" s="58" t="s">
        <v>363</v>
      </c>
      <c r="F493" s="58" t="s">
        <v>1833</v>
      </c>
      <c r="G493" s="58"/>
      <c r="H493" s="58"/>
      <c r="I493" s="57">
        <v>390</v>
      </c>
      <c r="J493" s="79">
        <f t="shared" si="18"/>
        <v>304.2</v>
      </c>
      <c r="K493" s="59"/>
      <c r="L493" s="84">
        <f t="shared" si="19"/>
        <v>0</v>
      </c>
      <c r="M493" s="60" t="s">
        <v>1375</v>
      </c>
      <c r="N493" s="57" t="s">
        <v>1834</v>
      </c>
      <c r="O493" s="57"/>
      <c r="P493" s="57"/>
      <c r="Q493" s="17" t="s">
        <v>19</v>
      </c>
      <c r="R493" s="70" t="str">
        <f>HYPERLINK("http://search.books.com.tw/search/query/key/9789570851960/cat/all
","
9789570851960")</f>
        <v xml:space="preserve">
9789570851960</v>
      </c>
    </row>
    <row r="494" spans="1:18" hidden="1" x14ac:dyDescent="0.25">
      <c r="A494" s="1">
        <v>490</v>
      </c>
      <c r="B494" s="56" t="s">
        <v>1835</v>
      </c>
      <c r="C494" s="57" t="s">
        <v>1836</v>
      </c>
      <c r="D494" s="57" t="s">
        <v>732</v>
      </c>
      <c r="E494" s="58" t="s">
        <v>363</v>
      </c>
      <c r="F494" s="58" t="s">
        <v>1837</v>
      </c>
      <c r="G494" s="58"/>
      <c r="H494" s="58"/>
      <c r="I494" s="57">
        <v>390</v>
      </c>
      <c r="J494" s="79">
        <f t="shared" si="18"/>
        <v>304.2</v>
      </c>
      <c r="K494" s="59"/>
      <c r="L494" s="84">
        <f t="shared" si="19"/>
        <v>0</v>
      </c>
      <c r="M494" s="60" t="s">
        <v>1375</v>
      </c>
      <c r="N494" s="57"/>
      <c r="O494" s="57"/>
      <c r="P494" s="57"/>
      <c r="Q494" s="17" t="s">
        <v>19</v>
      </c>
      <c r="R494" s="70" t="str">
        <f>HYPERLINK("http://search.books.com.tw/search/query/key/9789570852059/cat/all
","
9789570852059")</f>
        <v xml:space="preserve">
9789570852059</v>
      </c>
    </row>
    <row r="495" spans="1:18" ht="33" hidden="1" x14ac:dyDescent="0.25">
      <c r="A495" s="1">
        <v>491</v>
      </c>
      <c r="B495" s="56" t="s">
        <v>1838</v>
      </c>
      <c r="C495" s="57" t="s">
        <v>1839</v>
      </c>
      <c r="D495" s="57" t="s">
        <v>500</v>
      </c>
      <c r="E495" s="58" t="s">
        <v>363</v>
      </c>
      <c r="F495" s="58" t="s">
        <v>1840</v>
      </c>
      <c r="G495" s="58"/>
      <c r="H495" s="58"/>
      <c r="I495" s="57">
        <v>380</v>
      </c>
      <c r="J495" s="79">
        <f t="shared" si="18"/>
        <v>296.39999999999998</v>
      </c>
      <c r="K495" s="59"/>
      <c r="L495" s="84">
        <f t="shared" si="19"/>
        <v>0</v>
      </c>
      <c r="M495" s="60" t="s">
        <v>1841</v>
      </c>
      <c r="N495" s="57"/>
      <c r="O495" s="57"/>
      <c r="P495" s="57"/>
      <c r="Q495" s="17" t="s">
        <v>19</v>
      </c>
      <c r="R495" s="70" t="str">
        <f>HYPERLINK("http://search.books.com.tw/search/query/key/9789864435081/cat/all
","
9789864435081")</f>
        <v xml:space="preserve">
9789864435081</v>
      </c>
    </row>
    <row r="496" spans="1:18" hidden="1" x14ac:dyDescent="0.25">
      <c r="A496" s="1">
        <v>492</v>
      </c>
      <c r="B496" s="56" t="s">
        <v>1842</v>
      </c>
      <c r="C496" s="57" t="s">
        <v>1843</v>
      </c>
      <c r="D496" s="57" t="s">
        <v>500</v>
      </c>
      <c r="E496" s="58" t="s">
        <v>363</v>
      </c>
      <c r="F496" s="58" t="s">
        <v>1844</v>
      </c>
      <c r="G496" s="58"/>
      <c r="H496" s="58"/>
      <c r="I496" s="57">
        <v>350</v>
      </c>
      <c r="J496" s="79">
        <f t="shared" si="18"/>
        <v>273</v>
      </c>
      <c r="K496" s="59"/>
      <c r="L496" s="84">
        <f t="shared" si="19"/>
        <v>0</v>
      </c>
      <c r="M496" s="60" t="s">
        <v>1845</v>
      </c>
      <c r="N496" s="57"/>
      <c r="O496" s="57"/>
      <c r="P496" s="57"/>
      <c r="Q496" s="17" t="s">
        <v>19</v>
      </c>
      <c r="R496" s="70" t="str">
        <f>HYPERLINK("http://search.books.com.tw/search/query/key/9789864435401/cat/all
","
9789864435401")</f>
        <v xml:space="preserve">
9789864435401</v>
      </c>
    </row>
    <row r="497" spans="1:18" ht="33" hidden="1" x14ac:dyDescent="0.25">
      <c r="A497" s="1">
        <v>493</v>
      </c>
      <c r="B497" s="56" t="s">
        <v>1846</v>
      </c>
      <c r="C497" s="57" t="s">
        <v>1847</v>
      </c>
      <c r="D497" s="57" t="s">
        <v>1086</v>
      </c>
      <c r="E497" s="58" t="s">
        <v>368</v>
      </c>
      <c r="F497" s="58" t="s">
        <v>1848</v>
      </c>
      <c r="G497" s="58"/>
      <c r="H497" s="58"/>
      <c r="I497" s="57">
        <v>280</v>
      </c>
      <c r="J497" s="79">
        <f t="shared" si="18"/>
        <v>218.4</v>
      </c>
      <c r="K497" s="59"/>
      <c r="L497" s="84">
        <f t="shared" si="19"/>
        <v>0</v>
      </c>
      <c r="M497" s="60" t="s">
        <v>1254</v>
      </c>
      <c r="N497" s="57"/>
      <c r="O497" s="57"/>
      <c r="P497" s="57"/>
      <c r="Q497" s="17" t="s">
        <v>19</v>
      </c>
      <c r="R497" s="70" t="str">
        <f>HYPERLINK("http://search.books.com.tw/search/query/key/9789869678384/cat/all
","
9789869678384")</f>
        <v xml:space="preserve">
9789869678384</v>
      </c>
    </row>
    <row r="498" spans="1:18" hidden="1" x14ac:dyDescent="0.25">
      <c r="A498" s="1">
        <v>494</v>
      </c>
      <c r="B498" s="56" t="s">
        <v>1849</v>
      </c>
      <c r="C498" s="57" t="s">
        <v>1850</v>
      </c>
      <c r="D498" s="57" t="s">
        <v>1851</v>
      </c>
      <c r="E498" s="58" t="s">
        <v>363</v>
      </c>
      <c r="F498" s="58" t="s">
        <v>1852</v>
      </c>
      <c r="G498" s="58"/>
      <c r="H498" s="58"/>
      <c r="I498" s="57">
        <v>250</v>
      </c>
      <c r="J498" s="79">
        <f t="shared" si="18"/>
        <v>195</v>
      </c>
      <c r="K498" s="59"/>
      <c r="L498" s="84">
        <f t="shared" si="19"/>
        <v>0</v>
      </c>
      <c r="M498" s="60" t="s">
        <v>1254</v>
      </c>
      <c r="N498" s="57"/>
      <c r="O498" s="57"/>
      <c r="P498" s="57"/>
      <c r="Q498" s="17" t="s">
        <v>19</v>
      </c>
      <c r="R498" s="70" t="str">
        <f>HYPERLINK("http://search.books.com.tw/search/query/key/9789578587489/cat/all
","
9789578587489")</f>
        <v xml:space="preserve">
9789578587489</v>
      </c>
    </row>
    <row r="499" spans="1:18" ht="33" hidden="1" x14ac:dyDescent="0.25">
      <c r="A499" s="1">
        <v>495</v>
      </c>
      <c r="B499" s="56" t="s">
        <v>1853</v>
      </c>
      <c r="C499" s="57" t="s">
        <v>1854</v>
      </c>
      <c r="D499" s="57" t="s">
        <v>1851</v>
      </c>
      <c r="E499" s="58" t="s">
        <v>368</v>
      </c>
      <c r="F499" s="58" t="s">
        <v>1855</v>
      </c>
      <c r="G499" s="58"/>
      <c r="H499" s="58"/>
      <c r="I499" s="57">
        <v>350</v>
      </c>
      <c r="J499" s="79">
        <f t="shared" si="18"/>
        <v>273</v>
      </c>
      <c r="K499" s="59"/>
      <c r="L499" s="84">
        <f t="shared" si="19"/>
        <v>0</v>
      </c>
      <c r="M499" s="60" t="s">
        <v>1856</v>
      </c>
      <c r="N499" s="57"/>
      <c r="O499" s="57"/>
      <c r="P499" s="57"/>
      <c r="Q499" s="17" t="s">
        <v>19</v>
      </c>
      <c r="R499" s="70" t="str">
        <f>HYPERLINK("http://search.books.com.tw/search/query/key/9789578587502/cat/all
","
9789578587502")</f>
        <v xml:space="preserve">
9789578587502</v>
      </c>
    </row>
    <row r="500" spans="1:18" hidden="1" x14ac:dyDescent="0.25">
      <c r="A500" s="1">
        <v>496</v>
      </c>
      <c r="B500" s="56" t="s">
        <v>1857</v>
      </c>
      <c r="C500" s="57" t="s">
        <v>1858</v>
      </c>
      <c r="D500" s="57" t="s">
        <v>1859</v>
      </c>
      <c r="E500" s="58" t="s">
        <v>363</v>
      </c>
      <c r="F500" s="58" t="s">
        <v>1860</v>
      </c>
      <c r="G500" s="58"/>
      <c r="H500" s="58"/>
      <c r="I500" s="57">
        <v>280</v>
      </c>
      <c r="J500" s="79">
        <f t="shared" si="18"/>
        <v>218.4</v>
      </c>
      <c r="K500" s="59"/>
      <c r="L500" s="84">
        <f t="shared" si="19"/>
        <v>0</v>
      </c>
      <c r="M500" s="60" t="s">
        <v>1841</v>
      </c>
      <c r="N500" s="57"/>
      <c r="O500" s="57"/>
      <c r="P500" s="57"/>
      <c r="Q500" s="17" t="s">
        <v>19</v>
      </c>
      <c r="R500" s="70" t="str">
        <f>HYPERLINK("http://search.books.com.tw/search/query/key/9789865734893/cat/all
","
9789865734893")</f>
        <v xml:space="preserve">
9789865734893</v>
      </c>
    </row>
    <row r="501" spans="1:18" ht="33" hidden="1" x14ac:dyDescent="0.25">
      <c r="A501" s="1">
        <v>497</v>
      </c>
      <c r="B501" s="56" t="s">
        <v>1861</v>
      </c>
      <c r="C501" s="57" t="s">
        <v>1862</v>
      </c>
      <c r="D501" s="57" t="s">
        <v>1863</v>
      </c>
      <c r="E501" s="58" t="s">
        <v>363</v>
      </c>
      <c r="F501" s="58" t="s">
        <v>1864</v>
      </c>
      <c r="G501" s="58"/>
      <c r="H501" s="58"/>
      <c r="I501" s="57">
        <v>420</v>
      </c>
      <c r="J501" s="79">
        <f t="shared" si="18"/>
        <v>327.60000000000002</v>
      </c>
      <c r="K501" s="59"/>
      <c r="L501" s="84">
        <f t="shared" si="19"/>
        <v>0</v>
      </c>
      <c r="M501" s="60" t="s">
        <v>1841</v>
      </c>
      <c r="N501" s="57"/>
      <c r="O501" s="57"/>
      <c r="P501" s="57"/>
      <c r="Q501" s="17" t="s">
        <v>19</v>
      </c>
      <c r="R501" s="70" t="str">
        <f>HYPERLINK("http://search.books.com.tw/search/query/key/9789579121453/cat/all
","
9789579121453")</f>
        <v xml:space="preserve">
9789579121453</v>
      </c>
    </row>
    <row r="502" spans="1:18" hidden="1" x14ac:dyDescent="0.25">
      <c r="A502" s="1">
        <v>498</v>
      </c>
      <c r="B502" s="56" t="s">
        <v>1865</v>
      </c>
      <c r="C502" s="57" t="s">
        <v>1866</v>
      </c>
      <c r="D502" s="57" t="s">
        <v>1110</v>
      </c>
      <c r="E502" s="58" t="s">
        <v>363</v>
      </c>
      <c r="F502" s="58" t="s">
        <v>1867</v>
      </c>
      <c r="G502" s="58"/>
      <c r="H502" s="58"/>
      <c r="I502" s="57">
        <v>550</v>
      </c>
      <c r="J502" s="79">
        <f t="shared" si="18"/>
        <v>429</v>
      </c>
      <c r="K502" s="59"/>
      <c r="L502" s="84">
        <f t="shared" si="19"/>
        <v>0</v>
      </c>
      <c r="M502" s="60" t="s">
        <v>450</v>
      </c>
      <c r="N502" s="57" t="s">
        <v>1868</v>
      </c>
      <c r="O502" s="57"/>
      <c r="P502" s="57"/>
      <c r="Q502" s="17" t="s">
        <v>19</v>
      </c>
      <c r="R502" s="70" t="str">
        <f>HYPERLINK("http://search.books.com.tw/search/query/key/9789862139370/cat/all
","
9789862139370")</f>
        <v xml:space="preserve">
9789862139370</v>
      </c>
    </row>
    <row r="503" spans="1:18" hidden="1" x14ac:dyDescent="0.25">
      <c r="A503" s="1">
        <v>499</v>
      </c>
      <c r="B503" s="56" t="s">
        <v>1869</v>
      </c>
      <c r="C503" s="57" t="s">
        <v>1870</v>
      </c>
      <c r="D503" s="57" t="s">
        <v>1110</v>
      </c>
      <c r="E503" s="58" t="s">
        <v>359</v>
      </c>
      <c r="F503" s="58" t="s">
        <v>1871</v>
      </c>
      <c r="G503" s="58"/>
      <c r="H503" s="58"/>
      <c r="I503" s="57">
        <v>350</v>
      </c>
      <c r="J503" s="79">
        <f t="shared" si="18"/>
        <v>273</v>
      </c>
      <c r="K503" s="59"/>
      <c r="L503" s="84">
        <f t="shared" si="19"/>
        <v>0</v>
      </c>
      <c r="M503" s="60" t="s">
        <v>1254</v>
      </c>
      <c r="N503" s="57"/>
      <c r="O503" s="57"/>
      <c r="P503" s="57"/>
      <c r="Q503" s="17" t="s">
        <v>19</v>
      </c>
      <c r="R503" s="70" t="str">
        <f>HYPERLINK("http://search.books.com.tw/search/query/key/9789862139240/cat/all
","
9789862139240")</f>
        <v xml:space="preserve">
9789862139240</v>
      </c>
    </row>
    <row r="504" spans="1:18" hidden="1" x14ac:dyDescent="0.25">
      <c r="A504" s="1">
        <v>500</v>
      </c>
      <c r="B504" s="56" t="s">
        <v>1872</v>
      </c>
      <c r="C504" s="57" t="s">
        <v>1870</v>
      </c>
      <c r="D504" s="57" t="s">
        <v>1110</v>
      </c>
      <c r="E504" s="58" t="s">
        <v>359</v>
      </c>
      <c r="F504" s="58" t="s">
        <v>1873</v>
      </c>
      <c r="G504" s="58"/>
      <c r="H504" s="58"/>
      <c r="I504" s="57">
        <v>480</v>
      </c>
      <c r="J504" s="79">
        <f t="shared" si="18"/>
        <v>374.4</v>
      </c>
      <c r="K504" s="59"/>
      <c r="L504" s="84">
        <f t="shared" si="19"/>
        <v>0</v>
      </c>
      <c r="M504" s="60" t="s">
        <v>1254</v>
      </c>
      <c r="N504" s="57"/>
      <c r="O504" s="57"/>
      <c r="P504" s="57"/>
      <c r="Q504" s="17" t="s">
        <v>19</v>
      </c>
      <c r="R504" s="70" t="str">
        <f>HYPERLINK("http://search.books.com.tw/search/query/key/9789862139233/cat/all
","
9789862139233")</f>
        <v xml:space="preserve">
9789862139233</v>
      </c>
    </row>
    <row r="505" spans="1:18" ht="33" hidden="1" x14ac:dyDescent="0.25">
      <c r="A505" s="1">
        <v>501</v>
      </c>
      <c r="B505" s="56" t="s">
        <v>1874</v>
      </c>
      <c r="C505" s="57" t="s">
        <v>1875</v>
      </c>
      <c r="D505" s="57" t="s">
        <v>1117</v>
      </c>
      <c r="E505" s="58" t="s">
        <v>363</v>
      </c>
      <c r="F505" s="58" t="s">
        <v>1876</v>
      </c>
      <c r="G505" s="58"/>
      <c r="H505" s="58"/>
      <c r="I505" s="57">
        <v>390</v>
      </c>
      <c r="J505" s="79">
        <f t="shared" si="18"/>
        <v>304.2</v>
      </c>
      <c r="K505" s="59"/>
      <c r="L505" s="84">
        <f t="shared" si="19"/>
        <v>0</v>
      </c>
      <c r="M505" s="60" t="s">
        <v>1841</v>
      </c>
      <c r="N505" s="57"/>
      <c r="O505" s="57"/>
      <c r="P505" s="57"/>
      <c r="Q505" s="17" t="s">
        <v>19</v>
      </c>
      <c r="R505" s="70" t="str">
        <f>HYPERLINK("http://search.books.com.tw/search/query/key/9789863983897/cat/all
","
9789863983897")</f>
        <v xml:space="preserve">
9789863983897</v>
      </c>
    </row>
    <row r="506" spans="1:18" ht="33" hidden="1" x14ac:dyDescent="0.25">
      <c r="A506" s="1">
        <v>502</v>
      </c>
      <c r="B506" s="56" t="s">
        <v>1877</v>
      </c>
      <c r="C506" s="57" t="s">
        <v>1878</v>
      </c>
      <c r="D506" s="57" t="s">
        <v>924</v>
      </c>
      <c r="E506" s="58" t="s">
        <v>363</v>
      </c>
      <c r="F506" s="58" t="s">
        <v>1879</v>
      </c>
      <c r="G506" s="58"/>
      <c r="H506" s="58"/>
      <c r="I506" s="57">
        <v>390</v>
      </c>
      <c r="J506" s="79">
        <f t="shared" si="18"/>
        <v>304.2</v>
      </c>
      <c r="K506" s="59"/>
      <c r="L506" s="84">
        <f t="shared" si="19"/>
        <v>0</v>
      </c>
      <c r="M506" s="60" t="s">
        <v>1841</v>
      </c>
      <c r="N506" s="57"/>
      <c r="O506" s="57"/>
      <c r="P506" s="57"/>
      <c r="Q506" s="17" t="s">
        <v>19</v>
      </c>
      <c r="R506" s="70" t="str">
        <f>HYPERLINK("http://search.books.com.tw/search/query/key/9789863596103/cat/all
","
9789863596103")</f>
        <v xml:space="preserve">
9789863596103</v>
      </c>
    </row>
    <row r="507" spans="1:18" ht="49.5" hidden="1" x14ac:dyDescent="0.25">
      <c r="A507" s="1">
        <v>503</v>
      </c>
      <c r="B507" s="56" t="s">
        <v>1880</v>
      </c>
      <c r="C507" s="57" t="s">
        <v>1881</v>
      </c>
      <c r="D507" s="57" t="s">
        <v>924</v>
      </c>
      <c r="E507" s="58" t="s">
        <v>363</v>
      </c>
      <c r="F507" s="58" t="s">
        <v>1882</v>
      </c>
      <c r="G507" s="58"/>
      <c r="H507" s="58"/>
      <c r="I507" s="57">
        <v>320</v>
      </c>
      <c r="J507" s="79">
        <f t="shared" si="18"/>
        <v>249.6</v>
      </c>
      <c r="K507" s="59"/>
      <c r="L507" s="84">
        <f t="shared" si="19"/>
        <v>0</v>
      </c>
      <c r="M507" s="60" t="s">
        <v>1841</v>
      </c>
      <c r="N507" s="57"/>
      <c r="O507" s="57"/>
      <c r="P507" s="57"/>
      <c r="Q507" s="17" t="s">
        <v>19</v>
      </c>
      <c r="R507" s="70" t="str">
        <f>HYPERLINK("http://search.books.com.tw/search/query/key/9789863595946/cat/all
","
9789863595946")</f>
        <v xml:space="preserve">
9789863595946</v>
      </c>
    </row>
    <row r="508" spans="1:18" ht="33" hidden="1" x14ac:dyDescent="0.25">
      <c r="A508" s="1">
        <v>504</v>
      </c>
      <c r="B508" s="56" t="s">
        <v>1883</v>
      </c>
      <c r="C508" s="57" t="s">
        <v>1884</v>
      </c>
      <c r="D508" s="57" t="s">
        <v>1885</v>
      </c>
      <c r="E508" s="58" t="s">
        <v>363</v>
      </c>
      <c r="F508" s="58" t="s">
        <v>1886</v>
      </c>
      <c r="G508" s="58"/>
      <c r="H508" s="58"/>
      <c r="I508" s="57">
        <v>380</v>
      </c>
      <c r="J508" s="79">
        <f t="shared" si="18"/>
        <v>296.39999999999998</v>
      </c>
      <c r="K508" s="59"/>
      <c r="L508" s="84">
        <f t="shared" si="19"/>
        <v>0</v>
      </c>
      <c r="M508" s="60" t="s">
        <v>1841</v>
      </c>
      <c r="N508" s="57" t="s">
        <v>1887</v>
      </c>
      <c r="O508" s="57"/>
      <c r="P508" s="57"/>
      <c r="Q508" s="17" t="s">
        <v>19</v>
      </c>
      <c r="R508" s="70" t="str">
        <f>HYPERLINK("http://search.books.com.tw/search/query/key/9789869686969/cat/all
","
9789869686969")</f>
        <v xml:space="preserve">
9789869686969</v>
      </c>
    </row>
    <row r="509" spans="1:18" ht="33" hidden="1" x14ac:dyDescent="0.25">
      <c r="A509" s="1">
        <v>505</v>
      </c>
      <c r="B509" s="56" t="s">
        <v>1888</v>
      </c>
      <c r="C509" s="57" t="s">
        <v>1889</v>
      </c>
      <c r="D509" s="57" t="s">
        <v>1885</v>
      </c>
      <c r="E509" s="58" t="s">
        <v>363</v>
      </c>
      <c r="F509" s="58" t="s">
        <v>1890</v>
      </c>
      <c r="G509" s="58"/>
      <c r="H509" s="58"/>
      <c r="I509" s="57">
        <v>420</v>
      </c>
      <c r="J509" s="79">
        <f t="shared" si="18"/>
        <v>327.60000000000002</v>
      </c>
      <c r="K509" s="59"/>
      <c r="L509" s="84">
        <f t="shared" si="19"/>
        <v>0</v>
      </c>
      <c r="M509" s="60" t="s">
        <v>1841</v>
      </c>
      <c r="N509" s="57"/>
      <c r="O509" s="57"/>
      <c r="P509" s="57"/>
      <c r="Q509" s="17" t="s">
        <v>19</v>
      </c>
      <c r="R509" s="70" t="str">
        <f>HYPERLINK("http://search.books.com.tw/search/query/key/9789869668095/cat/all
","
9789869668095")</f>
        <v xml:space="preserve">
9789869668095</v>
      </c>
    </row>
    <row r="510" spans="1:18" ht="33" hidden="1" x14ac:dyDescent="0.25">
      <c r="A510" s="1">
        <v>506</v>
      </c>
      <c r="B510" s="56" t="s">
        <v>1891</v>
      </c>
      <c r="C510" s="57" t="s">
        <v>1892</v>
      </c>
      <c r="D510" s="57" t="s">
        <v>1893</v>
      </c>
      <c r="E510" s="58" t="s">
        <v>363</v>
      </c>
      <c r="F510" s="58" t="s">
        <v>1894</v>
      </c>
      <c r="G510" s="58"/>
      <c r="H510" s="58"/>
      <c r="I510" s="57">
        <v>350</v>
      </c>
      <c r="J510" s="79">
        <f t="shared" si="18"/>
        <v>273</v>
      </c>
      <c r="K510" s="59"/>
      <c r="L510" s="84">
        <f t="shared" si="19"/>
        <v>0</v>
      </c>
      <c r="M510" s="63" t="s">
        <v>1895</v>
      </c>
      <c r="N510" s="57"/>
      <c r="O510" s="57"/>
      <c r="P510" s="57"/>
      <c r="Q510" s="17" t="s">
        <v>19</v>
      </c>
      <c r="R510" s="70" t="str">
        <f>HYPERLINK("http://search.books.com.tw/search/query/key/9789868681910/cat/all
","
9789868681910")</f>
        <v xml:space="preserve">
9789868681910</v>
      </c>
    </row>
    <row r="511" spans="1:18" hidden="1" x14ac:dyDescent="0.25">
      <c r="A511" s="1">
        <v>507</v>
      </c>
      <c r="B511" s="56" t="s">
        <v>1896</v>
      </c>
      <c r="C511" s="57" t="s">
        <v>1897</v>
      </c>
      <c r="D511" s="57" t="s">
        <v>939</v>
      </c>
      <c r="E511" s="58" t="s">
        <v>363</v>
      </c>
      <c r="F511" s="58" t="s">
        <v>1898</v>
      </c>
      <c r="G511" s="58"/>
      <c r="H511" s="58"/>
      <c r="I511" s="57">
        <v>380</v>
      </c>
      <c r="J511" s="79">
        <f t="shared" si="18"/>
        <v>296.39999999999998</v>
      </c>
      <c r="K511" s="59"/>
      <c r="L511" s="84">
        <f t="shared" si="19"/>
        <v>0</v>
      </c>
      <c r="M511" s="60" t="s">
        <v>1841</v>
      </c>
      <c r="N511" s="57"/>
      <c r="O511" s="57"/>
      <c r="P511" s="57"/>
      <c r="Q511" s="17" t="s">
        <v>19</v>
      </c>
      <c r="R511" s="70" t="str">
        <f>HYPERLINK("http://search.books.com.tw/search/query/key/9789578630857/cat/all
","
9789578630857")</f>
        <v xml:space="preserve">
9789578630857</v>
      </c>
    </row>
    <row r="512" spans="1:18" ht="33" hidden="1" x14ac:dyDescent="0.25">
      <c r="A512" s="1">
        <v>508</v>
      </c>
      <c r="B512" s="56" t="s">
        <v>1899</v>
      </c>
      <c r="C512" s="57" t="s">
        <v>1900</v>
      </c>
      <c r="D512" s="57" t="s">
        <v>1901</v>
      </c>
      <c r="E512" s="58" t="s">
        <v>363</v>
      </c>
      <c r="F512" s="58" t="s">
        <v>1902</v>
      </c>
      <c r="G512" s="58"/>
      <c r="H512" s="58"/>
      <c r="I512" s="57">
        <v>290</v>
      </c>
      <c r="J512" s="79">
        <f t="shared" si="18"/>
        <v>226.2</v>
      </c>
      <c r="K512" s="59"/>
      <c r="L512" s="84">
        <f t="shared" si="19"/>
        <v>0</v>
      </c>
      <c r="M512" s="60" t="s">
        <v>1845</v>
      </c>
      <c r="N512" s="57"/>
      <c r="O512" s="57"/>
      <c r="P512" s="57"/>
      <c r="Q512" s="17" t="s">
        <v>19</v>
      </c>
      <c r="R512" s="70" t="str">
        <f>HYPERLINK("http://search.books.com.tw/search/query/key/9789861365244/cat/all
","
9789861365244")</f>
        <v xml:space="preserve">
9789861365244</v>
      </c>
    </row>
    <row r="513" spans="1:18" ht="66" hidden="1" x14ac:dyDescent="0.25">
      <c r="A513" s="1">
        <v>509</v>
      </c>
      <c r="B513" s="56" t="s">
        <v>1903</v>
      </c>
      <c r="C513" s="57" t="s">
        <v>1904</v>
      </c>
      <c r="D513" s="57" t="s">
        <v>569</v>
      </c>
      <c r="E513" s="58" t="s">
        <v>363</v>
      </c>
      <c r="F513" s="58" t="s">
        <v>1905</v>
      </c>
      <c r="G513" s="58"/>
      <c r="H513" s="58"/>
      <c r="I513" s="57">
        <v>320</v>
      </c>
      <c r="J513" s="79">
        <f t="shared" si="18"/>
        <v>249.6</v>
      </c>
      <c r="K513" s="59"/>
      <c r="L513" s="84">
        <f t="shared" si="19"/>
        <v>0</v>
      </c>
      <c r="M513" s="60" t="s">
        <v>1841</v>
      </c>
      <c r="N513" s="56" t="s">
        <v>1906</v>
      </c>
      <c r="O513" s="57"/>
      <c r="P513" s="57"/>
      <c r="Q513" s="17" t="s">
        <v>19</v>
      </c>
      <c r="R513" s="70" t="str">
        <f>HYPERLINK("http://search.books.com.tw/search/query/key/9789864758449/cat/all
","
9789864758449")</f>
        <v xml:space="preserve">
9789864758449</v>
      </c>
    </row>
    <row r="514" spans="1:18" ht="33" hidden="1" x14ac:dyDescent="0.25">
      <c r="A514" s="1">
        <v>510</v>
      </c>
      <c r="B514" s="56" t="s">
        <v>1907</v>
      </c>
      <c r="C514" s="57" t="s">
        <v>1908</v>
      </c>
      <c r="D514" s="57" t="s">
        <v>569</v>
      </c>
      <c r="E514" s="58" t="s">
        <v>363</v>
      </c>
      <c r="F514" s="58" t="s">
        <v>1909</v>
      </c>
      <c r="G514" s="58"/>
      <c r="H514" s="58"/>
      <c r="I514" s="57">
        <v>380</v>
      </c>
      <c r="J514" s="79">
        <f t="shared" si="18"/>
        <v>296.39999999999998</v>
      </c>
      <c r="K514" s="59"/>
      <c r="L514" s="84">
        <f t="shared" si="19"/>
        <v>0</v>
      </c>
      <c r="M514" s="60" t="s">
        <v>1841</v>
      </c>
      <c r="N514" s="57"/>
      <c r="O514" s="57"/>
      <c r="P514" s="57"/>
      <c r="Q514" s="17" t="s">
        <v>19</v>
      </c>
      <c r="R514" s="70" t="str">
        <f>HYPERLINK("http://search.books.com.tw/search/query/key/9789864758494/cat/all
","
9789864758494")</f>
        <v xml:space="preserve">
9789864758494</v>
      </c>
    </row>
    <row r="515" spans="1:18" hidden="1" x14ac:dyDescent="0.25">
      <c r="A515" s="1">
        <v>511</v>
      </c>
      <c r="B515" s="56" t="s">
        <v>1910</v>
      </c>
      <c r="C515" s="57" t="s">
        <v>1911</v>
      </c>
      <c r="D515" s="57" t="s">
        <v>1912</v>
      </c>
      <c r="E515" s="58" t="s">
        <v>363</v>
      </c>
      <c r="F515" s="58" t="s">
        <v>1913</v>
      </c>
      <c r="G515" s="58"/>
      <c r="H515" s="58"/>
      <c r="I515" s="57">
        <v>250</v>
      </c>
      <c r="J515" s="79">
        <f t="shared" si="18"/>
        <v>195</v>
      </c>
      <c r="K515" s="59"/>
      <c r="L515" s="84">
        <f t="shared" si="19"/>
        <v>0</v>
      </c>
      <c r="M515" s="60" t="s">
        <v>1841</v>
      </c>
      <c r="N515" s="57"/>
      <c r="O515" s="57"/>
      <c r="P515" s="57"/>
      <c r="Q515" s="17" t="s">
        <v>19</v>
      </c>
      <c r="R515" s="70" t="str">
        <f>HYPERLINK("http://search.books.com.tw/search/query/key/9789864110858/cat/all
","
9789864110858")</f>
        <v xml:space="preserve">
9789864110858</v>
      </c>
    </row>
    <row r="516" spans="1:18" ht="82.5" hidden="1" x14ac:dyDescent="0.25">
      <c r="A516" s="1">
        <v>512</v>
      </c>
      <c r="B516" s="56" t="s">
        <v>1914</v>
      </c>
      <c r="C516" s="57" t="s">
        <v>1915</v>
      </c>
      <c r="D516" s="57" t="s">
        <v>1915</v>
      </c>
      <c r="E516" s="58" t="s">
        <v>368</v>
      </c>
      <c r="F516" s="58" t="s">
        <v>1916</v>
      </c>
      <c r="G516" s="58"/>
      <c r="H516" s="58"/>
      <c r="I516" s="57">
        <v>600</v>
      </c>
      <c r="J516" s="79">
        <f t="shared" si="18"/>
        <v>468</v>
      </c>
      <c r="K516" s="59"/>
      <c r="L516" s="84">
        <f t="shared" si="19"/>
        <v>0</v>
      </c>
      <c r="M516" s="60" t="s">
        <v>1845</v>
      </c>
      <c r="N516" s="57"/>
      <c r="O516" s="57"/>
      <c r="P516" s="57"/>
      <c r="Q516" s="17" t="s">
        <v>19</v>
      </c>
      <c r="R516" s="70" t="str">
        <f>HYPERLINK("http://search.books.com.tw/search/query/key/9789887906308/cat/all
","
9789887906308")</f>
        <v xml:space="preserve">
9789887906308</v>
      </c>
    </row>
    <row r="517" spans="1:18" ht="33" hidden="1" x14ac:dyDescent="0.25">
      <c r="A517" s="1">
        <v>513</v>
      </c>
      <c r="B517" s="56" t="s">
        <v>1917</v>
      </c>
      <c r="C517" s="57" t="s">
        <v>848</v>
      </c>
      <c r="D517" s="57" t="s">
        <v>849</v>
      </c>
      <c r="E517" s="58" t="s">
        <v>363</v>
      </c>
      <c r="F517" s="58" t="s">
        <v>1918</v>
      </c>
      <c r="G517" s="58"/>
      <c r="H517" s="58"/>
      <c r="I517" s="57">
        <v>199</v>
      </c>
      <c r="J517" s="79">
        <f t="shared" si="18"/>
        <v>155.22</v>
      </c>
      <c r="K517" s="59"/>
      <c r="L517" s="84">
        <f t="shared" si="19"/>
        <v>0</v>
      </c>
      <c r="M517" s="60" t="s">
        <v>1841</v>
      </c>
      <c r="N517" s="57"/>
      <c r="O517" s="57"/>
      <c r="P517" s="57"/>
      <c r="Q517" s="17" t="s">
        <v>19</v>
      </c>
      <c r="R517" s="70" t="str">
        <f>HYPERLINK("http://search.books.com.tw/search/query/key/9789869543965/cat/all
","
9789869543965")</f>
        <v xml:space="preserve">
9789869543965</v>
      </c>
    </row>
    <row r="518" spans="1:18" ht="33" hidden="1" x14ac:dyDescent="0.25">
      <c r="A518" s="1">
        <v>514</v>
      </c>
      <c r="B518" s="56" t="s">
        <v>1919</v>
      </c>
      <c r="C518" s="57" t="s">
        <v>848</v>
      </c>
      <c r="D518" s="57" t="s">
        <v>849</v>
      </c>
      <c r="E518" s="58" t="s">
        <v>363</v>
      </c>
      <c r="F518" s="58" t="s">
        <v>1920</v>
      </c>
      <c r="G518" s="58"/>
      <c r="H518" s="58"/>
      <c r="I518" s="57">
        <v>199</v>
      </c>
      <c r="J518" s="79">
        <f t="shared" ref="J518:J581" si="20">ROUND(I518*0.78,2)</f>
        <v>155.22</v>
      </c>
      <c r="K518" s="59"/>
      <c r="L518" s="84">
        <f t="shared" ref="L518:L581" si="21">K518*J518</f>
        <v>0</v>
      </c>
      <c r="M518" s="60" t="s">
        <v>1841</v>
      </c>
      <c r="N518" s="57"/>
      <c r="O518" s="57"/>
      <c r="P518" s="57"/>
      <c r="Q518" s="17" t="s">
        <v>19</v>
      </c>
      <c r="R518" s="70" t="str">
        <f>HYPERLINK("http://search.books.com.tw/search/query/key/9789869543989/cat/all
","
9789869543989")</f>
        <v xml:space="preserve">
9789869543989</v>
      </c>
    </row>
    <row r="519" spans="1:18" ht="33" hidden="1" x14ac:dyDescent="0.25">
      <c r="A519" s="1">
        <v>515</v>
      </c>
      <c r="B519" s="56" t="s">
        <v>1921</v>
      </c>
      <c r="C519" s="57" t="s">
        <v>1922</v>
      </c>
      <c r="D519" s="57" t="s">
        <v>1923</v>
      </c>
      <c r="E519" s="58" t="s">
        <v>363</v>
      </c>
      <c r="F519" s="58" t="s">
        <v>1924</v>
      </c>
      <c r="G519" s="58"/>
      <c r="H519" s="58"/>
      <c r="I519" s="57">
        <v>350</v>
      </c>
      <c r="J519" s="79">
        <f t="shared" si="20"/>
        <v>273</v>
      </c>
      <c r="K519" s="59"/>
      <c r="L519" s="84">
        <f t="shared" si="21"/>
        <v>0</v>
      </c>
      <c r="M519" s="60" t="s">
        <v>1841</v>
      </c>
      <c r="N519" s="57"/>
      <c r="O519" s="57"/>
      <c r="P519" s="57"/>
      <c r="Q519" s="17" t="s">
        <v>19</v>
      </c>
      <c r="R519" s="70" t="str">
        <f>HYPERLINK("http://search.books.com.tw/search/query/key/9789866005817/cat/all
","
9789866005817")</f>
        <v xml:space="preserve">
9789866005817</v>
      </c>
    </row>
    <row r="520" spans="1:18" ht="33" hidden="1" x14ac:dyDescent="0.25">
      <c r="A520" s="1">
        <v>516</v>
      </c>
      <c r="B520" s="56" t="s">
        <v>1925</v>
      </c>
      <c r="C520" s="57" t="s">
        <v>1926</v>
      </c>
      <c r="D520" s="57" t="s">
        <v>1923</v>
      </c>
      <c r="E520" s="58" t="s">
        <v>368</v>
      </c>
      <c r="F520" s="58" t="s">
        <v>1927</v>
      </c>
      <c r="G520" s="58"/>
      <c r="H520" s="58"/>
      <c r="I520" s="57">
        <v>450</v>
      </c>
      <c r="J520" s="79">
        <f t="shared" si="20"/>
        <v>351</v>
      </c>
      <c r="K520" s="59"/>
      <c r="L520" s="84">
        <f t="shared" si="21"/>
        <v>0</v>
      </c>
      <c r="M520" s="60" t="s">
        <v>1845</v>
      </c>
      <c r="N520" s="57"/>
      <c r="O520" s="57"/>
      <c r="P520" s="57"/>
      <c r="Q520" s="17" t="s">
        <v>19</v>
      </c>
      <c r="R520" s="70" t="str">
        <f>HYPERLINK("http://search.books.com.tw/search/query/key/9789866005824/cat/all
","
9789866005824")</f>
        <v xml:space="preserve">
9789866005824</v>
      </c>
    </row>
    <row r="521" spans="1:18" hidden="1" x14ac:dyDescent="0.25">
      <c r="A521" s="1">
        <v>517</v>
      </c>
      <c r="B521" s="56" t="s">
        <v>1928</v>
      </c>
      <c r="C521" s="57" t="s">
        <v>1929</v>
      </c>
      <c r="D521" s="57" t="s">
        <v>1621</v>
      </c>
      <c r="E521" s="58" t="s">
        <v>368</v>
      </c>
      <c r="F521" s="58" t="s">
        <v>1930</v>
      </c>
      <c r="G521" s="58"/>
      <c r="H521" s="58"/>
      <c r="I521" s="57">
        <v>360</v>
      </c>
      <c r="J521" s="79">
        <f t="shared" si="20"/>
        <v>280.8</v>
      </c>
      <c r="K521" s="59"/>
      <c r="L521" s="84">
        <f t="shared" si="21"/>
        <v>0</v>
      </c>
      <c r="M521" s="60" t="s">
        <v>1845</v>
      </c>
      <c r="N521" s="57" t="s">
        <v>1931</v>
      </c>
      <c r="O521" s="57"/>
      <c r="P521" s="57"/>
      <c r="Q521" s="17" t="s">
        <v>19</v>
      </c>
      <c r="R521" s="70" t="str">
        <f>HYPERLINK("http://search.books.com.tw/search/query/key/9789869706834/cat/all
","
9789869706834")</f>
        <v xml:space="preserve">
9789869706834</v>
      </c>
    </row>
    <row r="522" spans="1:18" ht="49.5" hidden="1" x14ac:dyDescent="0.25">
      <c r="A522" s="1">
        <v>518</v>
      </c>
      <c r="B522" s="56" t="s">
        <v>1932</v>
      </c>
      <c r="C522" s="57" t="s">
        <v>1933</v>
      </c>
      <c r="D522" s="57" t="s">
        <v>1934</v>
      </c>
      <c r="E522" s="58" t="s">
        <v>368</v>
      </c>
      <c r="F522" s="58" t="s">
        <v>1935</v>
      </c>
      <c r="G522" s="58"/>
      <c r="H522" s="58"/>
      <c r="I522" s="57">
        <v>450</v>
      </c>
      <c r="J522" s="79">
        <f t="shared" si="20"/>
        <v>351</v>
      </c>
      <c r="K522" s="59"/>
      <c r="L522" s="84">
        <f t="shared" si="21"/>
        <v>0</v>
      </c>
      <c r="M522" s="60" t="s">
        <v>1845</v>
      </c>
      <c r="N522" s="57"/>
      <c r="O522" s="57"/>
      <c r="P522" s="57"/>
      <c r="Q522" s="17" t="s">
        <v>19</v>
      </c>
      <c r="R522" s="70" t="str">
        <f>HYPERLINK("http://search.books.com.tw/search/query/key/9789869648578/cat/all
","
9789869648578")</f>
        <v xml:space="preserve">
9789869648578</v>
      </c>
    </row>
    <row r="523" spans="1:18" ht="49.5" hidden="1" x14ac:dyDescent="0.25">
      <c r="A523" s="1">
        <v>519</v>
      </c>
      <c r="B523" s="56" t="s">
        <v>1936</v>
      </c>
      <c r="C523" s="57" t="s">
        <v>1937</v>
      </c>
      <c r="D523" s="57" t="s">
        <v>1212</v>
      </c>
      <c r="E523" s="58" t="s">
        <v>368</v>
      </c>
      <c r="F523" s="58" t="s">
        <v>1938</v>
      </c>
      <c r="G523" s="58"/>
      <c r="H523" s="58"/>
      <c r="I523" s="57">
        <v>350</v>
      </c>
      <c r="J523" s="79">
        <f t="shared" si="20"/>
        <v>273</v>
      </c>
      <c r="K523" s="59"/>
      <c r="L523" s="84">
        <f t="shared" si="21"/>
        <v>0</v>
      </c>
      <c r="M523" s="60" t="s">
        <v>1845</v>
      </c>
      <c r="N523" s="57"/>
      <c r="O523" s="57"/>
      <c r="P523" s="57"/>
      <c r="Q523" s="17" t="s">
        <v>19</v>
      </c>
      <c r="R523" s="70" t="str">
        <f>HYPERLINK("http://search.books.com.tw/search/query/key/9789578950764/cat/all
","
9789578950764")</f>
        <v xml:space="preserve">
9789578950764</v>
      </c>
    </row>
    <row r="524" spans="1:18" hidden="1" x14ac:dyDescent="0.25">
      <c r="A524" s="1">
        <v>520</v>
      </c>
      <c r="B524" s="56" t="s">
        <v>1939</v>
      </c>
      <c r="C524" s="57" t="s">
        <v>1940</v>
      </c>
      <c r="D524" s="57" t="s">
        <v>1941</v>
      </c>
      <c r="E524" s="58" t="s">
        <v>368</v>
      </c>
      <c r="F524" s="58" t="s">
        <v>1942</v>
      </c>
      <c r="G524" s="58"/>
      <c r="H524" s="58"/>
      <c r="I524" s="57">
        <v>320</v>
      </c>
      <c r="J524" s="79">
        <f t="shared" si="20"/>
        <v>249.6</v>
      </c>
      <c r="K524" s="59"/>
      <c r="L524" s="84">
        <f t="shared" si="21"/>
        <v>0</v>
      </c>
      <c r="M524" s="60" t="s">
        <v>1845</v>
      </c>
      <c r="N524" s="57"/>
      <c r="O524" s="57"/>
      <c r="P524" s="57"/>
      <c r="Q524" s="17" t="s">
        <v>19</v>
      </c>
      <c r="R524" s="70" t="str">
        <f>HYPERLINK("http://search.books.com.tw/search/query/key/9789863774327/cat/all
","
9789863774327")</f>
        <v xml:space="preserve">
9789863774327</v>
      </c>
    </row>
    <row r="525" spans="1:18" ht="49.5" hidden="1" x14ac:dyDescent="0.25">
      <c r="A525" s="1">
        <v>521</v>
      </c>
      <c r="B525" s="56" t="s">
        <v>1943</v>
      </c>
      <c r="C525" s="57" t="s">
        <v>1944</v>
      </c>
      <c r="D525" s="57" t="s">
        <v>1004</v>
      </c>
      <c r="E525" s="58" t="s">
        <v>368</v>
      </c>
      <c r="F525" s="58" t="s">
        <v>1945</v>
      </c>
      <c r="G525" s="58"/>
      <c r="H525" s="58"/>
      <c r="I525" s="57">
        <v>450</v>
      </c>
      <c r="J525" s="79">
        <f t="shared" si="20"/>
        <v>351</v>
      </c>
      <c r="K525" s="59"/>
      <c r="L525" s="84">
        <f t="shared" si="21"/>
        <v>0</v>
      </c>
      <c r="M525" s="60" t="s">
        <v>1845</v>
      </c>
      <c r="N525" s="57"/>
      <c r="O525" s="57"/>
      <c r="P525" s="57"/>
      <c r="Q525" s="17" t="s">
        <v>19</v>
      </c>
      <c r="R525" s="70" t="str">
        <f>HYPERLINK("http://search.books.com.tw/search/query/key/9789579199261/cat/all
","
9789579199261")</f>
        <v xml:space="preserve">
9789579199261</v>
      </c>
    </row>
    <row r="526" spans="1:18" hidden="1" x14ac:dyDescent="0.25">
      <c r="A526" s="1">
        <v>522</v>
      </c>
      <c r="B526" s="56" t="s">
        <v>1946</v>
      </c>
      <c r="C526" s="57" t="s">
        <v>1947</v>
      </c>
      <c r="D526" s="57" t="s">
        <v>1245</v>
      </c>
      <c r="E526" s="58" t="s">
        <v>363</v>
      </c>
      <c r="F526" s="58" t="s">
        <v>1948</v>
      </c>
      <c r="G526" s="58"/>
      <c r="H526" s="58"/>
      <c r="I526" s="57">
        <v>320</v>
      </c>
      <c r="J526" s="79">
        <f t="shared" si="20"/>
        <v>249.6</v>
      </c>
      <c r="K526" s="59"/>
      <c r="L526" s="84">
        <f t="shared" si="21"/>
        <v>0</v>
      </c>
      <c r="M526" s="60" t="s">
        <v>1254</v>
      </c>
      <c r="N526" s="57"/>
      <c r="O526" s="57"/>
      <c r="P526" s="57"/>
      <c r="Q526" s="17" t="s">
        <v>19</v>
      </c>
      <c r="R526" s="70" t="str">
        <f>HYPERLINK("http://search.books.com.tw/search/query/key/9789864775637/cat/all
","
9789864775637")</f>
        <v xml:space="preserve">
9789864775637</v>
      </c>
    </row>
    <row r="527" spans="1:18" ht="49.5" hidden="1" x14ac:dyDescent="0.25">
      <c r="A527" s="1">
        <v>523</v>
      </c>
      <c r="B527" s="56" t="s">
        <v>1949</v>
      </c>
      <c r="C527" s="57" t="s">
        <v>1950</v>
      </c>
      <c r="D527" s="57" t="s">
        <v>1252</v>
      </c>
      <c r="E527" s="58" t="s">
        <v>368</v>
      </c>
      <c r="F527" s="58" t="s">
        <v>1951</v>
      </c>
      <c r="G527" s="58"/>
      <c r="H527" s="58"/>
      <c r="I527" s="57">
        <v>380</v>
      </c>
      <c r="J527" s="79">
        <f t="shared" si="20"/>
        <v>296.39999999999998</v>
      </c>
      <c r="K527" s="59"/>
      <c r="L527" s="84">
        <f t="shared" si="21"/>
        <v>0</v>
      </c>
      <c r="M527" s="60" t="s">
        <v>1845</v>
      </c>
      <c r="N527" s="57"/>
      <c r="O527" s="57"/>
      <c r="P527" s="57"/>
      <c r="Q527" s="17" t="s">
        <v>19</v>
      </c>
      <c r="R527" s="70" t="str">
        <f>HYPERLINK("http://search.books.com.tw/search/query/key/9789864084494/cat/all
","
9789864084494")</f>
        <v xml:space="preserve">
9789864084494</v>
      </c>
    </row>
    <row r="528" spans="1:18" ht="66" hidden="1" x14ac:dyDescent="0.25">
      <c r="A528" s="1">
        <v>524</v>
      </c>
      <c r="B528" s="56" t="s">
        <v>1952</v>
      </c>
      <c r="C528" s="57" t="s">
        <v>1953</v>
      </c>
      <c r="D528" s="57" t="s">
        <v>1257</v>
      </c>
      <c r="E528" s="58" t="s">
        <v>363</v>
      </c>
      <c r="F528" s="58" t="s">
        <v>1954</v>
      </c>
      <c r="G528" s="58"/>
      <c r="H528" s="58"/>
      <c r="I528" s="57">
        <v>320</v>
      </c>
      <c r="J528" s="79">
        <f t="shared" si="20"/>
        <v>249.6</v>
      </c>
      <c r="K528" s="59"/>
      <c r="L528" s="84">
        <f t="shared" si="21"/>
        <v>0</v>
      </c>
      <c r="M528" s="60" t="s">
        <v>1845</v>
      </c>
      <c r="N528" s="57"/>
      <c r="O528" s="57"/>
      <c r="P528" s="57"/>
      <c r="Q528" s="17" t="s">
        <v>19</v>
      </c>
      <c r="R528" s="70" t="str">
        <f>HYPERLINK("http://search.books.com.tw/search/query/key/4717702905095/cat/all
","
4717702905095")</f>
        <v xml:space="preserve">
4717702905095</v>
      </c>
    </row>
    <row r="529" spans="1:18" ht="49.5" hidden="1" x14ac:dyDescent="0.25">
      <c r="A529" s="1">
        <v>525</v>
      </c>
      <c r="B529" s="56" t="s">
        <v>1955</v>
      </c>
      <c r="C529" s="57" t="s">
        <v>1956</v>
      </c>
      <c r="D529" s="57" t="s">
        <v>1957</v>
      </c>
      <c r="E529" s="58" t="s">
        <v>363</v>
      </c>
      <c r="F529" s="58" t="s">
        <v>1958</v>
      </c>
      <c r="G529" s="58"/>
      <c r="H529" s="58"/>
      <c r="I529" s="57">
        <v>480</v>
      </c>
      <c r="J529" s="79">
        <f t="shared" si="20"/>
        <v>374.4</v>
      </c>
      <c r="K529" s="59"/>
      <c r="L529" s="84">
        <f t="shared" si="21"/>
        <v>0</v>
      </c>
      <c r="M529" s="60" t="s">
        <v>1845</v>
      </c>
      <c r="N529" s="57"/>
      <c r="O529" s="57"/>
      <c r="P529" s="57"/>
      <c r="Q529" s="17" t="s">
        <v>19</v>
      </c>
      <c r="R529" s="70" t="str">
        <f>HYPERLINK("http://search.books.com.tw/search/query/key/9789864591596/cat/all
","
9789864591596")</f>
        <v xml:space="preserve">
9789864591596</v>
      </c>
    </row>
    <row r="530" spans="1:18" ht="66" hidden="1" x14ac:dyDescent="0.25">
      <c r="A530" s="1">
        <v>526</v>
      </c>
      <c r="B530" s="56" t="s">
        <v>1959</v>
      </c>
      <c r="C530" s="57" t="s">
        <v>1960</v>
      </c>
      <c r="D530" s="57" t="s">
        <v>1748</v>
      </c>
      <c r="E530" s="58" t="s">
        <v>368</v>
      </c>
      <c r="F530" s="58" t="s">
        <v>1961</v>
      </c>
      <c r="G530" s="58"/>
      <c r="H530" s="58"/>
      <c r="I530" s="57">
        <v>380</v>
      </c>
      <c r="J530" s="79">
        <f t="shared" si="20"/>
        <v>296.39999999999998</v>
      </c>
      <c r="K530" s="59"/>
      <c r="L530" s="84">
        <f t="shared" si="21"/>
        <v>0</v>
      </c>
      <c r="M530" s="60" t="s">
        <v>1845</v>
      </c>
      <c r="N530" s="57"/>
      <c r="O530" s="57"/>
      <c r="P530" s="57"/>
      <c r="Q530" s="17" t="s">
        <v>19</v>
      </c>
      <c r="R530" s="70" t="str">
        <f>HYPERLINK("http://search.books.com.tw/search/query/key/9789862357187/cat/all
","
9789862357187")</f>
        <v xml:space="preserve">
9789862357187</v>
      </c>
    </row>
    <row r="531" spans="1:18" hidden="1" x14ac:dyDescent="0.25">
      <c r="A531" s="1">
        <v>527</v>
      </c>
      <c r="B531" s="56" t="s">
        <v>1962</v>
      </c>
      <c r="C531" s="57" t="s">
        <v>1963</v>
      </c>
      <c r="D531" s="57" t="s">
        <v>439</v>
      </c>
      <c r="E531" s="58" t="s">
        <v>368</v>
      </c>
      <c r="F531" s="58" t="s">
        <v>1964</v>
      </c>
      <c r="G531" s="58"/>
      <c r="H531" s="58"/>
      <c r="I531" s="57">
        <v>249</v>
      </c>
      <c r="J531" s="79">
        <f t="shared" si="20"/>
        <v>194.22</v>
      </c>
      <c r="K531" s="59"/>
      <c r="L531" s="84">
        <f t="shared" si="21"/>
        <v>0</v>
      </c>
      <c r="M531" s="60" t="s">
        <v>1841</v>
      </c>
      <c r="N531" s="57"/>
      <c r="O531" s="57"/>
      <c r="P531" s="57"/>
      <c r="Q531" s="17" t="s">
        <v>19</v>
      </c>
      <c r="R531" s="70" t="str">
        <f>HYPERLINK("http://search.books.com.tw/search/query/key/9789861898803/cat/all
","
9789861898803")</f>
        <v xml:space="preserve">
9789861898803</v>
      </c>
    </row>
    <row r="532" spans="1:18" ht="49.5" hidden="1" x14ac:dyDescent="0.25">
      <c r="A532" s="1">
        <v>528</v>
      </c>
      <c r="B532" s="56" t="s">
        <v>1965</v>
      </c>
      <c r="C532" s="57" t="s">
        <v>1966</v>
      </c>
      <c r="D532" s="57" t="s">
        <v>1262</v>
      </c>
      <c r="E532" s="58" t="s">
        <v>363</v>
      </c>
      <c r="F532" s="58" t="s">
        <v>1967</v>
      </c>
      <c r="G532" s="58"/>
      <c r="H532" s="58"/>
      <c r="I532" s="57">
        <v>390</v>
      </c>
      <c r="J532" s="79">
        <f t="shared" si="20"/>
        <v>304.2</v>
      </c>
      <c r="K532" s="59"/>
      <c r="L532" s="84">
        <f t="shared" si="21"/>
        <v>0</v>
      </c>
      <c r="M532" s="60" t="s">
        <v>1841</v>
      </c>
      <c r="N532" s="57"/>
      <c r="O532" s="57"/>
      <c r="P532" s="57"/>
      <c r="Q532" s="17" t="s">
        <v>19</v>
      </c>
      <c r="R532" s="70" t="str">
        <f>HYPERLINK("http://search.books.com.tw/search/query/key/9789863616047/cat/all
","
9789863616047")</f>
        <v xml:space="preserve">
9789863616047</v>
      </c>
    </row>
    <row r="533" spans="1:18" ht="33" hidden="1" x14ac:dyDescent="0.25">
      <c r="A533" s="1">
        <v>529</v>
      </c>
      <c r="B533" s="56" t="s">
        <v>1968</v>
      </c>
      <c r="C533" s="57" t="s">
        <v>1969</v>
      </c>
      <c r="D533" s="57" t="s">
        <v>1771</v>
      </c>
      <c r="E533" s="58" t="s">
        <v>368</v>
      </c>
      <c r="F533" s="58" t="s">
        <v>1970</v>
      </c>
      <c r="G533" s="58"/>
      <c r="H533" s="58"/>
      <c r="I533" s="57">
        <v>690</v>
      </c>
      <c r="J533" s="79">
        <f t="shared" si="20"/>
        <v>538.20000000000005</v>
      </c>
      <c r="K533" s="59"/>
      <c r="L533" s="84">
        <f t="shared" si="21"/>
        <v>0</v>
      </c>
      <c r="M533" s="60" t="s">
        <v>1845</v>
      </c>
      <c r="N533" s="57"/>
      <c r="O533" s="57"/>
      <c r="P533" s="57"/>
      <c r="Q533" s="17" t="s">
        <v>19</v>
      </c>
      <c r="R533" s="70" t="str">
        <f>HYPERLINK("http://search.books.com.tw/search/query/key/9789863797265/cat/all
","
9789863797265")</f>
        <v xml:space="preserve">
9789863797265</v>
      </c>
    </row>
    <row r="534" spans="1:18" hidden="1" x14ac:dyDescent="0.25">
      <c r="A534" s="1">
        <v>530</v>
      </c>
      <c r="B534" s="56" t="s">
        <v>1971</v>
      </c>
      <c r="C534" s="57" t="s">
        <v>1972</v>
      </c>
      <c r="D534" s="57" t="s">
        <v>1037</v>
      </c>
      <c r="E534" s="58" t="s">
        <v>363</v>
      </c>
      <c r="F534" s="58" t="s">
        <v>1973</v>
      </c>
      <c r="G534" s="58"/>
      <c r="H534" s="58"/>
      <c r="I534" s="57">
        <v>390</v>
      </c>
      <c r="J534" s="79">
        <f t="shared" si="20"/>
        <v>304.2</v>
      </c>
      <c r="K534" s="59"/>
      <c r="L534" s="84">
        <f t="shared" si="21"/>
        <v>0</v>
      </c>
      <c r="M534" s="60" t="s">
        <v>1254</v>
      </c>
      <c r="N534" s="57"/>
      <c r="O534" s="57"/>
      <c r="P534" s="57"/>
      <c r="Q534" s="17" t="s">
        <v>19</v>
      </c>
      <c r="R534" s="70" t="str">
        <f>HYPERLINK("http://search.books.com.tw/search/query/key/9789888490639/cat/all
","
9789888490639")</f>
        <v xml:space="preserve">
9789888490639</v>
      </c>
    </row>
    <row r="535" spans="1:18" ht="33" hidden="1" x14ac:dyDescent="0.25">
      <c r="A535" s="1">
        <v>531</v>
      </c>
      <c r="B535" s="56" t="s">
        <v>1974</v>
      </c>
      <c r="C535" s="57" t="s">
        <v>1975</v>
      </c>
      <c r="D535" s="57" t="s">
        <v>1976</v>
      </c>
      <c r="E535" s="58" t="s">
        <v>363</v>
      </c>
      <c r="F535" s="58" t="s">
        <v>1977</v>
      </c>
      <c r="G535" s="58"/>
      <c r="H535" s="58"/>
      <c r="I535" s="57">
        <v>320</v>
      </c>
      <c r="J535" s="79">
        <f t="shared" si="20"/>
        <v>249.6</v>
      </c>
      <c r="K535" s="59"/>
      <c r="L535" s="84">
        <f t="shared" si="21"/>
        <v>0</v>
      </c>
      <c r="M535" s="60" t="s">
        <v>1841</v>
      </c>
      <c r="N535" s="57"/>
      <c r="O535" s="57"/>
      <c r="P535" s="57"/>
      <c r="Q535" s="17" t="s">
        <v>19</v>
      </c>
      <c r="R535" s="70" t="str">
        <f>HYPERLINK("http://search.books.com.tw/search/query/key/9789869665599/cat/all
","
9789869665599")</f>
        <v xml:space="preserve">
9789869665599</v>
      </c>
    </row>
    <row r="536" spans="1:18" ht="33" hidden="1" x14ac:dyDescent="0.25">
      <c r="A536" s="1">
        <v>532</v>
      </c>
      <c r="B536" s="56" t="s">
        <v>1978</v>
      </c>
      <c r="C536" s="57" t="s">
        <v>1979</v>
      </c>
      <c r="D536" s="57" t="s">
        <v>1976</v>
      </c>
      <c r="E536" s="58" t="s">
        <v>363</v>
      </c>
      <c r="F536" s="58" t="s">
        <v>1980</v>
      </c>
      <c r="G536" s="58"/>
      <c r="H536" s="58"/>
      <c r="I536" s="57">
        <v>320</v>
      </c>
      <c r="J536" s="79">
        <f t="shared" si="20"/>
        <v>249.6</v>
      </c>
      <c r="K536" s="59"/>
      <c r="L536" s="84">
        <f t="shared" si="21"/>
        <v>0</v>
      </c>
      <c r="M536" s="60" t="s">
        <v>1841</v>
      </c>
      <c r="N536" s="57"/>
      <c r="O536" s="57"/>
      <c r="P536" s="57"/>
      <c r="Q536" s="17" t="s">
        <v>19</v>
      </c>
      <c r="R536" s="70" t="str">
        <f>HYPERLINK("http://search.books.com.tw/search/query/key/9789869665575/cat/all
","
9789869665575")</f>
        <v xml:space="preserve">
9789869665575</v>
      </c>
    </row>
    <row r="537" spans="1:18" ht="33" hidden="1" x14ac:dyDescent="0.25">
      <c r="A537" s="1">
        <v>533</v>
      </c>
      <c r="B537" s="56" t="s">
        <v>1981</v>
      </c>
      <c r="C537" s="57" t="s">
        <v>1982</v>
      </c>
      <c r="D537" s="57" t="s">
        <v>1976</v>
      </c>
      <c r="E537" s="58" t="s">
        <v>359</v>
      </c>
      <c r="F537" s="58" t="s">
        <v>1983</v>
      </c>
      <c r="G537" s="58"/>
      <c r="H537" s="58"/>
      <c r="I537" s="57">
        <v>280</v>
      </c>
      <c r="J537" s="79">
        <f t="shared" si="20"/>
        <v>218.4</v>
      </c>
      <c r="K537" s="59"/>
      <c r="L537" s="84">
        <f t="shared" si="21"/>
        <v>0</v>
      </c>
      <c r="M537" s="60" t="s">
        <v>1841</v>
      </c>
      <c r="N537" s="57"/>
      <c r="O537" s="57"/>
      <c r="P537" s="57"/>
      <c r="Q537" s="17" t="s">
        <v>19</v>
      </c>
      <c r="R537" s="70" t="str">
        <f>HYPERLINK("http://search.books.com.tw/search/query/key/9789869665551/cat/all
","
9789869665551")</f>
        <v xml:space="preserve">
9789869665551</v>
      </c>
    </row>
    <row r="538" spans="1:18" ht="33" hidden="1" x14ac:dyDescent="0.25">
      <c r="A538" s="1">
        <v>534</v>
      </c>
      <c r="B538" s="56" t="s">
        <v>1984</v>
      </c>
      <c r="C538" s="57" t="s">
        <v>1985</v>
      </c>
      <c r="D538" s="57" t="s">
        <v>1976</v>
      </c>
      <c r="E538" s="58" t="s">
        <v>359</v>
      </c>
      <c r="F538" s="58" t="s">
        <v>1986</v>
      </c>
      <c r="G538" s="58"/>
      <c r="H538" s="58"/>
      <c r="I538" s="57">
        <v>380</v>
      </c>
      <c r="J538" s="79">
        <f t="shared" si="20"/>
        <v>296.39999999999998</v>
      </c>
      <c r="K538" s="59"/>
      <c r="L538" s="84">
        <f t="shared" si="21"/>
        <v>0</v>
      </c>
      <c r="M538" s="60" t="s">
        <v>1841</v>
      </c>
      <c r="N538" s="57"/>
      <c r="O538" s="57"/>
      <c r="P538" s="57"/>
      <c r="Q538" s="17" t="s">
        <v>19</v>
      </c>
      <c r="R538" s="70" t="str">
        <f>HYPERLINK("http://search.books.com.tw/search/query/key/9789869665537/cat/all
","
9789869665537")</f>
        <v xml:space="preserve">
9789869665537</v>
      </c>
    </row>
    <row r="539" spans="1:18" hidden="1" x14ac:dyDescent="0.25">
      <c r="A539" s="1">
        <v>535</v>
      </c>
      <c r="B539" s="56" t="s">
        <v>1987</v>
      </c>
      <c r="C539" s="57" t="s">
        <v>1988</v>
      </c>
      <c r="D539" s="57" t="s">
        <v>1989</v>
      </c>
      <c r="E539" s="58" t="s">
        <v>363</v>
      </c>
      <c r="F539" s="58" t="s">
        <v>1990</v>
      </c>
      <c r="G539" s="58"/>
      <c r="H539" s="58"/>
      <c r="I539" s="57">
        <v>580</v>
      </c>
      <c r="J539" s="79">
        <f t="shared" si="20"/>
        <v>452.4</v>
      </c>
      <c r="K539" s="59"/>
      <c r="L539" s="84">
        <f t="shared" si="21"/>
        <v>0</v>
      </c>
      <c r="M539" s="60" t="s">
        <v>1845</v>
      </c>
      <c r="N539" s="57"/>
      <c r="O539" s="57"/>
      <c r="P539" s="57"/>
      <c r="Q539" s="17" t="s">
        <v>19</v>
      </c>
      <c r="R539" s="70" t="str">
        <f>HYPERLINK("http://search.books.com.tw/search/query/key/9789869697743/cat/all
","
9789869697743")</f>
        <v xml:space="preserve">
9789869697743</v>
      </c>
    </row>
    <row r="540" spans="1:18" ht="33" hidden="1" x14ac:dyDescent="0.25">
      <c r="A540" s="1">
        <v>536</v>
      </c>
      <c r="B540" s="56" t="s">
        <v>1991</v>
      </c>
      <c r="C540" s="57" t="s">
        <v>1992</v>
      </c>
      <c r="D540" s="57" t="s">
        <v>1993</v>
      </c>
      <c r="E540" s="58" t="s">
        <v>363</v>
      </c>
      <c r="F540" s="58" t="s">
        <v>1994</v>
      </c>
      <c r="G540" s="58"/>
      <c r="H540" s="58"/>
      <c r="I540" s="57">
        <v>380</v>
      </c>
      <c r="J540" s="79">
        <f t="shared" si="20"/>
        <v>296.39999999999998</v>
      </c>
      <c r="K540" s="59"/>
      <c r="L540" s="84">
        <f t="shared" si="21"/>
        <v>0</v>
      </c>
      <c r="M540" s="60" t="s">
        <v>1841</v>
      </c>
      <c r="N540" s="57"/>
      <c r="O540" s="57"/>
      <c r="P540" s="57"/>
      <c r="Q540" s="17" t="s">
        <v>19</v>
      </c>
      <c r="R540" s="70" t="str">
        <f>HYPERLINK("http://search.books.com.tw/search/query/key/9789863024613/cat/all
","
9789863024613")</f>
        <v xml:space="preserve">
9789863024613</v>
      </c>
    </row>
    <row r="541" spans="1:18" ht="33" hidden="1" x14ac:dyDescent="0.25">
      <c r="A541" s="1">
        <v>537</v>
      </c>
      <c r="B541" s="56" t="s">
        <v>1995</v>
      </c>
      <c r="C541" s="57" t="s">
        <v>1996</v>
      </c>
      <c r="D541" s="57" t="s">
        <v>1993</v>
      </c>
      <c r="E541" s="58" t="s">
        <v>363</v>
      </c>
      <c r="F541" s="58" t="s">
        <v>1997</v>
      </c>
      <c r="G541" s="58"/>
      <c r="H541" s="58"/>
      <c r="I541" s="57">
        <v>450</v>
      </c>
      <c r="J541" s="79">
        <f t="shared" si="20"/>
        <v>351</v>
      </c>
      <c r="K541" s="59"/>
      <c r="L541" s="84">
        <f t="shared" si="21"/>
        <v>0</v>
      </c>
      <c r="M541" s="60" t="s">
        <v>1841</v>
      </c>
      <c r="N541" s="57"/>
      <c r="O541" s="57"/>
      <c r="P541" s="57"/>
      <c r="Q541" s="17" t="s">
        <v>19</v>
      </c>
      <c r="R541" s="70" t="str">
        <f>HYPERLINK("http://search.books.com.tw/search/query/key/9789863024606/cat/all
","
9789863024606")</f>
        <v xml:space="preserve">
9789863024606</v>
      </c>
    </row>
    <row r="542" spans="1:18" hidden="1" x14ac:dyDescent="0.25">
      <c r="A542" s="1">
        <v>538</v>
      </c>
      <c r="B542" s="56" t="s">
        <v>1998</v>
      </c>
      <c r="C542" s="57" t="s">
        <v>1999</v>
      </c>
      <c r="D542" s="57" t="s">
        <v>2000</v>
      </c>
      <c r="E542" s="58" t="s">
        <v>363</v>
      </c>
      <c r="F542" s="58" t="s">
        <v>2001</v>
      </c>
      <c r="G542" s="58"/>
      <c r="H542" s="58"/>
      <c r="I542" s="57">
        <v>580</v>
      </c>
      <c r="J542" s="79">
        <f t="shared" si="20"/>
        <v>452.4</v>
      </c>
      <c r="K542" s="59"/>
      <c r="L542" s="84">
        <f t="shared" si="21"/>
        <v>0</v>
      </c>
      <c r="M542" s="60" t="s">
        <v>1841</v>
      </c>
      <c r="N542" s="57"/>
      <c r="O542" s="57"/>
      <c r="P542" s="57"/>
      <c r="Q542" s="17" t="s">
        <v>19</v>
      </c>
      <c r="R542" s="70" t="str">
        <f>HYPERLINK("http://search.books.com.tw/search/query/key/9789869692823/cat/all
","
9789869692823")</f>
        <v xml:space="preserve">
9789869692823</v>
      </c>
    </row>
    <row r="543" spans="1:18" hidden="1" x14ac:dyDescent="0.25">
      <c r="A543" s="1">
        <v>539</v>
      </c>
      <c r="B543" s="56" t="s">
        <v>2002</v>
      </c>
      <c r="C543" s="57" t="s">
        <v>2003</v>
      </c>
      <c r="D543" s="57" t="s">
        <v>2004</v>
      </c>
      <c r="E543" s="58" t="s">
        <v>363</v>
      </c>
      <c r="F543" s="58" t="s">
        <v>2005</v>
      </c>
      <c r="G543" s="58"/>
      <c r="H543" s="58"/>
      <c r="I543" s="57">
        <v>890</v>
      </c>
      <c r="J543" s="79">
        <f t="shared" si="20"/>
        <v>694.2</v>
      </c>
      <c r="K543" s="59"/>
      <c r="L543" s="84">
        <f t="shared" si="21"/>
        <v>0</v>
      </c>
      <c r="M543" s="60" t="s">
        <v>1841</v>
      </c>
      <c r="N543" s="57"/>
      <c r="O543" s="57"/>
      <c r="P543" s="57"/>
      <c r="Q543" s="17" t="s">
        <v>19</v>
      </c>
      <c r="R543" s="70" t="str">
        <f>HYPERLINK("http://search.books.com.tw/search/query/key/9789888513444/cat/all
","
9789888513444")</f>
        <v xml:space="preserve">
9789888513444</v>
      </c>
    </row>
    <row r="544" spans="1:18" ht="49.5" hidden="1" x14ac:dyDescent="0.25">
      <c r="A544" s="1">
        <v>540</v>
      </c>
      <c r="B544" s="56" t="s">
        <v>2006</v>
      </c>
      <c r="C544" s="57" t="s">
        <v>2007</v>
      </c>
      <c r="D544" s="57" t="s">
        <v>2008</v>
      </c>
      <c r="E544" s="58" t="s">
        <v>368</v>
      </c>
      <c r="F544" s="58" t="s">
        <v>2009</v>
      </c>
      <c r="G544" s="58"/>
      <c r="H544" s="58"/>
      <c r="I544" s="57">
        <v>350</v>
      </c>
      <c r="J544" s="79">
        <f t="shared" si="20"/>
        <v>273</v>
      </c>
      <c r="K544" s="59"/>
      <c r="L544" s="84">
        <f t="shared" si="21"/>
        <v>0</v>
      </c>
      <c r="M544" s="60" t="s">
        <v>1845</v>
      </c>
      <c r="N544" s="57"/>
      <c r="O544" s="57"/>
      <c r="P544" s="57"/>
      <c r="Q544" s="17" t="s">
        <v>19</v>
      </c>
      <c r="R544" s="70" t="str">
        <f>HYPERLINK("http://search.books.com.tw/search/query/key/9789869701525/cat/all
","
9789869701525")</f>
        <v xml:space="preserve">
9789869701525</v>
      </c>
    </row>
    <row r="545" spans="1:18" ht="66" hidden="1" x14ac:dyDescent="0.25">
      <c r="A545" s="1">
        <v>541</v>
      </c>
      <c r="B545" s="56" t="s">
        <v>2010</v>
      </c>
      <c r="C545" s="57" t="s">
        <v>2011</v>
      </c>
      <c r="D545" s="57" t="s">
        <v>732</v>
      </c>
      <c r="E545" s="58" t="s">
        <v>363</v>
      </c>
      <c r="F545" s="58" t="s">
        <v>2012</v>
      </c>
      <c r="G545" s="58"/>
      <c r="H545" s="58"/>
      <c r="I545" s="57">
        <v>399</v>
      </c>
      <c r="J545" s="79">
        <f t="shared" si="20"/>
        <v>311.22000000000003</v>
      </c>
      <c r="K545" s="59"/>
      <c r="L545" s="84">
        <f t="shared" si="21"/>
        <v>0</v>
      </c>
      <c r="M545" s="60" t="s">
        <v>1254</v>
      </c>
      <c r="N545" s="57"/>
      <c r="O545" s="57"/>
      <c r="P545" s="57"/>
      <c r="Q545" s="17" t="s">
        <v>19</v>
      </c>
      <c r="R545" s="70" t="str">
        <f>HYPERLINK("http://search.books.com.tw/search/query/key/9789570851977/cat/all
","
9789570851977")</f>
        <v xml:space="preserve">
9789570851977</v>
      </c>
    </row>
    <row r="546" spans="1:18" ht="33" hidden="1" x14ac:dyDescent="0.25">
      <c r="A546" s="1">
        <v>542</v>
      </c>
      <c r="B546" s="56" t="s">
        <v>2013</v>
      </c>
      <c r="C546" s="57" t="s">
        <v>2014</v>
      </c>
      <c r="D546" s="57" t="s">
        <v>517</v>
      </c>
      <c r="E546" s="58" t="s">
        <v>363</v>
      </c>
      <c r="F546" s="58" t="s">
        <v>2015</v>
      </c>
      <c r="G546" s="58"/>
      <c r="H546" s="58"/>
      <c r="I546" s="57">
        <v>420</v>
      </c>
      <c r="J546" s="79">
        <f t="shared" si="20"/>
        <v>327.60000000000002</v>
      </c>
      <c r="K546" s="59"/>
      <c r="L546" s="84">
        <f t="shared" si="21"/>
        <v>0</v>
      </c>
      <c r="M546" s="63" t="s">
        <v>2016</v>
      </c>
      <c r="N546" s="57"/>
      <c r="O546" s="57"/>
      <c r="P546" s="57"/>
      <c r="Q546" s="17" t="s">
        <v>19</v>
      </c>
      <c r="R546" s="70" t="str">
        <f>HYPERLINK("http://search.books.com.tw/search/query/key/9789571198316/cat/all
","
9789571198316")</f>
        <v xml:space="preserve">
9789571198316</v>
      </c>
    </row>
    <row r="547" spans="1:18" ht="33" hidden="1" x14ac:dyDescent="0.25">
      <c r="A547" s="1">
        <v>543</v>
      </c>
      <c r="B547" s="56" t="s">
        <v>2017</v>
      </c>
      <c r="C547" s="57" t="s">
        <v>2018</v>
      </c>
      <c r="D547" s="57" t="s">
        <v>2019</v>
      </c>
      <c r="E547" s="58" t="s">
        <v>363</v>
      </c>
      <c r="F547" s="58" t="s">
        <v>2020</v>
      </c>
      <c r="G547" s="58"/>
      <c r="H547" s="58"/>
      <c r="I547" s="57">
        <v>370</v>
      </c>
      <c r="J547" s="79">
        <f t="shared" si="20"/>
        <v>288.60000000000002</v>
      </c>
      <c r="K547" s="59"/>
      <c r="L547" s="84">
        <f t="shared" si="21"/>
        <v>0</v>
      </c>
      <c r="M547" s="60" t="s">
        <v>2021</v>
      </c>
      <c r="N547" s="57"/>
      <c r="O547" s="57"/>
      <c r="P547" s="57"/>
      <c r="Q547" s="17" t="s">
        <v>19</v>
      </c>
      <c r="R547" s="70" t="str">
        <f>HYPERLINK("http://search.books.com.tw/search/query/key/9789863362777/cat/all
","
9789863362777")</f>
        <v xml:space="preserve">
9789863362777</v>
      </c>
    </row>
    <row r="548" spans="1:18" ht="33" hidden="1" x14ac:dyDescent="0.25">
      <c r="A548" s="1">
        <v>544</v>
      </c>
      <c r="B548" s="56" t="s">
        <v>2022</v>
      </c>
      <c r="C548" s="57" t="s">
        <v>2023</v>
      </c>
      <c r="D548" s="57" t="s">
        <v>500</v>
      </c>
      <c r="E548" s="58" t="s">
        <v>363</v>
      </c>
      <c r="F548" s="58" t="s">
        <v>2024</v>
      </c>
      <c r="G548" s="58"/>
      <c r="H548" s="58"/>
      <c r="I548" s="57">
        <v>350</v>
      </c>
      <c r="J548" s="79">
        <f t="shared" si="20"/>
        <v>273</v>
      </c>
      <c r="K548" s="59"/>
      <c r="L548" s="84">
        <f t="shared" si="21"/>
        <v>0</v>
      </c>
      <c r="M548" s="60" t="s">
        <v>2021</v>
      </c>
      <c r="N548" s="57"/>
      <c r="O548" s="57"/>
      <c r="P548" s="57"/>
      <c r="Q548" s="17" t="s">
        <v>19</v>
      </c>
      <c r="R548" s="70" t="str">
        <f>HYPERLINK("http://search.books.com.tw/search/query/key/9789864435395/cat/all
","
9789864435395")</f>
        <v xml:space="preserve">
9789864435395</v>
      </c>
    </row>
    <row r="549" spans="1:18" hidden="1" x14ac:dyDescent="0.25">
      <c r="A549" s="1">
        <v>545</v>
      </c>
      <c r="B549" s="56" t="s">
        <v>2025</v>
      </c>
      <c r="C549" s="57" t="s">
        <v>2026</v>
      </c>
      <c r="D549" s="57" t="s">
        <v>367</v>
      </c>
      <c r="E549" s="58" t="s">
        <v>368</v>
      </c>
      <c r="F549" s="58" t="s">
        <v>2027</v>
      </c>
      <c r="G549" s="58"/>
      <c r="H549" s="58"/>
      <c r="I549" s="57">
        <v>680</v>
      </c>
      <c r="J549" s="79">
        <f t="shared" si="20"/>
        <v>530.4</v>
      </c>
      <c r="K549" s="59"/>
      <c r="L549" s="84">
        <f t="shared" si="21"/>
        <v>0</v>
      </c>
      <c r="M549" s="60" t="s">
        <v>2021</v>
      </c>
      <c r="N549" s="57" t="s">
        <v>2028</v>
      </c>
      <c r="O549" s="57"/>
      <c r="P549" s="57"/>
      <c r="Q549" s="17" t="s">
        <v>19</v>
      </c>
      <c r="R549" s="70" t="str">
        <f>HYPERLINK("http://search.books.com.tw/search/query/key/9789578722361/cat/all
","
9789578722361")</f>
        <v xml:space="preserve">
9789578722361</v>
      </c>
    </row>
    <row r="550" spans="1:18" ht="33" hidden="1" x14ac:dyDescent="0.25">
      <c r="A550" s="1">
        <v>546</v>
      </c>
      <c r="B550" s="56" t="s">
        <v>2029</v>
      </c>
      <c r="C550" s="57" t="s">
        <v>2030</v>
      </c>
      <c r="D550" s="57" t="s">
        <v>542</v>
      </c>
      <c r="E550" s="58" t="s">
        <v>363</v>
      </c>
      <c r="F550" s="58" t="s">
        <v>2031</v>
      </c>
      <c r="G550" s="58"/>
      <c r="H550" s="58"/>
      <c r="I550" s="57">
        <v>320</v>
      </c>
      <c r="J550" s="79">
        <f t="shared" si="20"/>
        <v>249.6</v>
      </c>
      <c r="K550" s="59"/>
      <c r="L550" s="84">
        <f t="shared" si="21"/>
        <v>0</v>
      </c>
      <c r="M550" s="60" t="s">
        <v>2032</v>
      </c>
      <c r="N550" s="57"/>
      <c r="O550" s="57"/>
      <c r="P550" s="57"/>
      <c r="Q550" s="17" t="s">
        <v>19</v>
      </c>
      <c r="R550" s="70" t="str">
        <f>HYPERLINK("http://search.books.com.tw/search/query/key/9789578423640/cat/all
","
9789578423640")</f>
        <v xml:space="preserve">
9789578423640</v>
      </c>
    </row>
    <row r="551" spans="1:18" ht="33" hidden="1" x14ac:dyDescent="0.25">
      <c r="A551" s="1">
        <v>547</v>
      </c>
      <c r="B551" s="56" t="s">
        <v>2033</v>
      </c>
      <c r="C551" s="57" t="s">
        <v>2034</v>
      </c>
      <c r="D551" s="57" t="s">
        <v>561</v>
      </c>
      <c r="E551" s="58" t="s">
        <v>363</v>
      </c>
      <c r="F551" s="58" t="s">
        <v>2035</v>
      </c>
      <c r="G551" s="58"/>
      <c r="H551" s="58"/>
      <c r="I551" s="57">
        <v>450</v>
      </c>
      <c r="J551" s="79">
        <f t="shared" si="20"/>
        <v>351</v>
      </c>
      <c r="K551" s="59"/>
      <c r="L551" s="84">
        <f t="shared" si="21"/>
        <v>0</v>
      </c>
      <c r="M551" s="60" t="s">
        <v>2032</v>
      </c>
      <c r="N551" s="57"/>
      <c r="O551" s="57"/>
      <c r="P551" s="57"/>
      <c r="Q551" s="17" t="s">
        <v>19</v>
      </c>
      <c r="R551" s="70" t="str">
        <f>HYPERLINK("http://search.books.com.tw/search/query/key/9789863843191/cat/all
","
9789863843191")</f>
        <v xml:space="preserve">
9789863843191</v>
      </c>
    </row>
    <row r="552" spans="1:18" hidden="1" x14ac:dyDescent="0.25">
      <c r="A552" s="1">
        <v>548</v>
      </c>
      <c r="B552" s="56" t="s">
        <v>2036</v>
      </c>
      <c r="C552" s="57" t="s">
        <v>2037</v>
      </c>
      <c r="D552" s="57" t="s">
        <v>2038</v>
      </c>
      <c r="E552" s="58" t="s">
        <v>363</v>
      </c>
      <c r="F552" s="58" t="s">
        <v>2039</v>
      </c>
      <c r="G552" s="58"/>
      <c r="H552" s="58"/>
      <c r="I552" s="57">
        <v>220</v>
      </c>
      <c r="J552" s="79">
        <f t="shared" si="20"/>
        <v>171.6</v>
      </c>
      <c r="K552" s="59"/>
      <c r="L552" s="84">
        <f t="shared" si="21"/>
        <v>0</v>
      </c>
      <c r="M552" s="60" t="s">
        <v>2032</v>
      </c>
      <c r="N552" s="57"/>
      <c r="O552" s="57"/>
      <c r="P552" s="57"/>
      <c r="Q552" s="17" t="s">
        <v>19</v>
      </c>
      <c r="R552" s="70" t="str">
        <f>HYPERLINK("http://search.books.com.tw/search/query/key/9789864530878/cat/all
","
9789864530878")</f>
        <v xml:space="preserve">
9789864530878</v>
      </c>
    </row>
    <row r="553" spans="1:18" hidden="1" x14ac:dyDescent="0.25">
      <c r="A553" s="1">
        <v>549</v>
      </c>
      <c r="B553" s="56" t="s">
        <v>2040</v>
      </c>
      <c r="C553" s="57" t="s">
        <v>2041</v>
      </c>
      <c r="D553" s="57" t="s">
        <v>2042</v>
      </c>
      <c r="E553" s="58" t="s">
        <v>368</v>
      </c>
      <c r="F553" s="58" t="s">
        <v>2043</v>
      </c>
      <c r="G553" s="58"/>
      <c r="H553" s="58"/>
      <c r="I553" s="57">
        <v>380</v>
      </c>
      <c r="J553" s="79">
        <f t="shared" si="20"/>
        <v>296.39999999999998</v>
      </c>
      <c r="K553" s="59"/>
      <c r="L553" s="84">
        <f t="shared" si="21"/>
        <v>0</v>
      </c>
      <c r="M553" s="60" t="s">
        <v>2021</v>
      </c>
      <c r="N553" s="57"/>
      <c r="O553" s="57"/>
      <c r="P553" s="57"/>
      <c r="Q553" s="17" t="s">
        <v>19</v>
      </c>
      <c r="R553" s="70" t="str">
        <f>HYPERLINK("http://search.books.com.tw/search/query/key/9789869400718/cat/all
","
9789869400718")</f>
        <v xml:space="preserve">
9789869400718</v>
      </c>
    </row>
    <row r="554" spans="1:18" ht="49.5" hidden="1" x14ac:dyDescent="0.25">
      <c r="A554" s="1">
        <v>550</v>
      </c>
      <c r="B554" s="56" t="s">
        <v>2044</v>
      </c>
      <c r="C554" s="57" t="s">
        <v>2045</v>
      </c>
      <c r="D554" s="57" t="s">
        <v>2046</v>
      </c>
      <c r="E554" s="58" t="s">
        <v>368</v>
      </c>
      <c r="F554" s="58" t="s">
        <v>2047</v>
      </c>
      <c r="G554" s="58"/>
      <c r="H554" s="58"/>
      <c r="I554" s="57">
        <v>260</v>
      </c>
      <c r="J554" s="79">
        <f t="shared" si="20"/>
        <v>202.8</v>
      </c>
      <c r="K554" s="59"/>
      <c r="L554" s="84">
        <f t="shared" si="21"/>
        <v>0</v>
      </c>
      <c r="M554" s="60" t="s">
        <v>2021</v>
      </c>
      <c r="N554" s="56" t="s">
        <v>2048</v>
      </c>
      <c r="O554" s="57"/>
      <c r="P554" s="57"/>
      <c r="Q554" s="17" t="s">
        <v>19</v>
      </c>
      <c r="R554" s="70" t="str">
        <f>HYPERLINK("http://search.books.com.tw/search/query/key/9789863711476/cat/all
","
9789863711476")</f>
        <v xml:space="preserve">
9789863711476</v>
      </c>
    </row>
    <row r="555" spans="1:18" hidden="1" x14ac:dyDescent="0.25">
      <c r="A555" s="1">
        <v>551</v>
      </c>
      <c r="B555" s="62" t="s">
        <v>2049</v>
      </c>
      <c r="C555" s="64" t="s">
        <v>2050</v>
      </c>
      <c r="D555" s="64" t="s">
        <v>986</v>
      </c>
      <c r="E555" s="58" t="s">
        <v>368</v>
      </c>
      <c r="F555" s="58" t="s">
        <v>2051</v>
      </c>
      <c r="G555" s="58"/>
      <c r="H555" s="58"/>
      <c r="I555" s="57">
        <v>350</v>
      </c>
      <c r="J555" s="79">
        <f t="shared" si="20"/>
        <v>273</v>
      </c>
      <c r="K555" s="59"/>
      <c r="L555" s="84">
        <f t="shared" si="21"/>
        <v>0</v>
      </c>
      <c r="M555" s="60" t="s">
        <v>2021</v>
      </c>
      <c r="N555" s="57"/>
      <c r="O555" s="57"/>
      <c r="P555" s="57"/>
      <c r="Q555" s="17" t="s">
        <v>19</v>
      </c>
      <c r="R555" s="70" t="str">
        <f>HYPERLINK("http://search.books.com.tw/search/query/key/9789869691529/cat/all
","
9789869691529")</f>
        <v xml:space="preserve">
9789869691529</v>
      </c>
    </row>
    <row r="556" spans="1:18" hidden="1" x14ac:dyDescent="0.25">
      <c r="A556" s="1">
        <v>552</v>
      </c>
      <c r="B556" s="62" t="s">
        <v>2052</v>
      </c>
      <c r="C556" s="57" t="s">
        <v>2053</v>
      </c>
      <c r="D556" s="57" t="s">
        <v>986</v>
      </c>
      <c r="E556" s="58" t="s">
        <v>363</v>
      </c>
      <c r="F556" s="58" t="s">
        <v>2054</v>
      </c>
      <c r="G556" s="58"/>
      <c r="H556" s="58"/>
      <c r="I556" s="57">
        <v>480</v>
      </c>
      <c r="J556" s="79">
        <f t="shared" si="20"/>
        <v>374.4</v>
      </c>
      <c r="K556" s="59"/>
      <c r="L556" s="84">
        <f t="shared" si="21"/>
        <v>0</v>
      </c>
      <c r="M556" s="60" t="s">
        <v>2032</v>
      </c>
      <c r="N556" s="57" t="s">
        <v>2055</v>
      </c>
      <c r="O556" s="57"/>
      <c r="P556" s="57"/>
      <c r="Q556" s="17" t="s">
        <v>19</v>
      </c>
      <c r="R556" s="70" t="str">
        <f>HYPERLINK("http://search.books.com.tw/search/query/key/9789869669481/cat/all
","
9789869669481")</f>
        <v xml:space="preserve">
9789869669481</v>
      </c>
    </row>
    <row r="557" spans="1:18" ht="49.5" hidden="1" x14ac:dyDescent="0.25">
      <c r="A557" s="1">
        <v>553</v>
      </c>
      <c r="B557" s="56" t="s">
        <v>2056</v>
      </c>
      <c r="C557" s="57" t="s">
        <v>2057</v>
      </c>
      <c r="D557" s="57" t="s">
        <v>427</v>
      </c>
      <c r="E557" s="58" t="s">
        <v>363</v>
      </c>
      <c r="F557" s="58" t="s">
        <v>2058</v>
      </c>
      <c r="G557" s="58"/>
      <c r="H557" s="58"/>
      <c r="I557" s="57">
        <v>320</v>
      </c>
      <c r="J557" s="79">
        <f t="shared" si="20"/>
        <v>249.6</v>
      </c>
      <c r="K557" s="59"/>
      <c r="L557" s="84">
        <f t="shared" si="21"/>
        <v>0</v>
      </c>
      <c r="M557" s="60" t="s">
        <v>2032</v>
      </c>
      <c r="N557" s="57"/>
      <c r="O557" s="57"/>
      <c r="P557" s="57"/>
      <c r="Q557" s="17" t="s">
        <v>19</v>
      </c>
      <c r="R557" s="70" t="str">
        <f>HYPERLINK("http://search.books.com.tw/search/query/key/9789571376035/cat/all
","
9789571376035")</f>
        <v xml:space="preserve">
9789571376035</v>
      </c>
    </row>
    <row r="558" spans="1:18" hidden="1" x14ac:dyDescent="0.25">
      <c r="A558" s="1">
        <v>554</v>
      </c>
      <c r="B558" s="56" t="s">
        <v>2059</v>
      </c>
      <c r="C558" s="57" t="s">
        <v>2060</v>
      </c>
      <c r="D558" s="57" t="s">
        <v>1245</v>
      </c>
      <c r="E558" s="58" t="s">
        <v>368</v>
      </c>
      <c r="F558" s="58" t="s">
        <v>2061</v>
      </c>
      <c r="G558" s="58"/>
      <c r="H558" s="58"/>
      <c r="I558" s="57">
        <v>360</v>
      </c>
      <c r="J558" s="79">
        <f t="shared" si="20"/>
        <v>280.8</v>
      </c>
      <c r="K558" s="59"/>
      <c r="L558" s="84">
        <f t="shared" si="21"/>
        <v>0</v>
      </c>
      <c r="M558" s="60" t="s">
        <v>2021</v>
      </c>
      <c r="N558" s="57" t="s">
        <v>2062</v>
      </c>
      <c r="O558" s="57"/>
      <c r="P558" s="57"/>
      <c r="Q558" s="17" t="s">
        <v>19</v>
      </c>
      <c r="R558" s="70" t="str">
        <f>HYPERLINK("http://search.books.com.tw/search/query/key/9789864775736/cat/all
","
9789864775736")</f>
        <v xml:space="preserve">
9789864775736</v>
      </c>
    </row>
    <row r="559" spans="1:18" hidden="1" x14ac:dyDescent="0.25">
      <c r="A559" s="1">
        <v>555</v>
      </c>
      <c r="B559" s="56" t="s">
        <v>2063</v>
      </c>
      <c r="C559" s="57" t="s">
        <v>2064</v>
      </c>
      <c r="D559" s="57" t="s">
        <v>1245</v>
      </c>
      <c r="E559" s="58" t="s">
        <v>368</v>
      </c>
      <c r="F559" s="58" t="s">
        <v>2065</v>
      </c>
      <c r="G559" s="58"/>
      <c r="H559" s="58"/>
      <c r="I559" s="57">
        <v>460</v>
      </c>
      <c r="J559" s="79">
        <f t="shared" si="20"/>
        <v>358.8</v>
      </c>
      <c r="K559" s="59"/>
      <c r="L559" s="84">
        <f t="shared" si="21"/>
        <v>0</v>
      </c>
      <c r="M559" s="60" t="s">
        <v>2021</v>
      </c>
      <c r="N559" s="57" t="s">
        <v>2066</v>
      </c>
      <c r="O559" s="57"/>
      <c r="P559" s="57"/>
      <c r="Q559" s="17" t="s">
        <v>19</v>
      </c>
      <c r="R559" s="70" t="str">
        <f>HYPERLINK("http://search.books.com.tw/search/query/key/9789864775859/cat/all
","
9789864775859")</f>
        <v xml:space="preserve">
9789864775859</v>
      </c>
    </row>
    <row r="560" spans="1:18" ht="82.5" hidden="1" x14ac:dyDescent="0.25">
      <c r="A560" s="1">
        <v>556</v>
      </c>
      <c r="B560" s="56" t="s">
        <v>2067</v>
      </c>
      <c r="C560" s="57" t="s">
        <v>2068</v>
      </c>
      <c r="D560" s="57" t="s">
        <v>1025</v>
      </c>
      <c r="E560" s="58" t="s">
        <v>359</v>
      </c>
      <c r="F560" s="58" t="s">
        <v>2069</v>
      </c>
      <c r="G560" s="58"/>
      <c r="H560" s="58"/>
      <c r="I560" s="57">
        <v>480</v>
      </c>
      <c r="J560" s="79">
        <f t="shared" si="20"/>
        <v>374.4</v>
      </c>
      <c r="K560" s="59"/>
      <c r="L560" s="84">
        <f t="shared" si="21"/>
        <v>0</v>
      </c>
      <c r="M560" s="60" t="s">
        <v>2032</v>
      </c>
      <c r="N560" s="56" t="s">
        <v>2070</v>
      </c>
      <c r="O560" s="57"/>
      <c r="P560" s="57"/>
      <c r="Q560" s="17" t="s">
        <v>19</v>
      </c>
      <c r="R560" s="70" t="str">
        <f>HYPERLINK("http://search.books.com.tw/search/query/key/9789862623626/cat/all
","
9789862623626")</f>
        <v xml:space="preserve">
9789862623626</v>
      </c>
    </row>
    <row r="561" spans="1:18" ht="33" hidden="1" x14ac:dyDescent="0.25">
      <c r="A561" s="1">
        <v>557</v>
      </c>
      <c r="B561" s="56" t="s">
        <v>2071</v>
      </c>
      <c r="C561" s="57" t="s">
        <v>2072</v>
      </c>
      <c r="D561" s="57" t="s">
        <v>2073</v>
      </c>
      <c r="E561" s="58" t="s">
        <v>368</v>
      </c>
      <c r="F561" s="58" t="s">
        <v>2074</v>
      </c>
      <c r="G561" s="58"/>
      <c r="H561" s="58"/>
      <c r="I561" s="57">
        <v>480</v>
      </c>
      <c r="J561" s="79">
        <f t="shared" si="20"/>
        <v>374.4</v>
      </c>
      <c r="K561" s="59"/>
      <c r="L561" s="84">
        <f t="shared" si="21"/>
        <v>0</v>
      </c>
      <c r="M561" s="60" t="s">
        <v>2021</v>
      </c>
      <c r="N561" s="57"/>
      <c r="O561" s="57"/>
      <c r="P561" s="57"/>
      <c r="Q561" s="17" t="s">
        <v>19</v>
      </c>
      <c r="R561" s="70" t="str">
        <f>HYPERLINK("http://search.books.com.tw/search/query/key/9789865003098/cat/all
","
9789865003098")</f>
        <v xml:space="preserve">
9789865003098</v>
      </c>
    </row>
    <row r="562" spans="1:18" ht="49.5" hidden="1" x14ac:dyDescent="0.25">
      <c r="A562" s="1">
        <v>558</v>
      </c>
      <c r="B562" s="56" t="s">
        <v>2075</v>
      </c>
      <c r="C562" s="57" t="s">
        <v>2076</v>
      </c>
      <c r="D562" s="57" t="s">
        <v>781</v>
      </c>
      <c r="E562" s="58" t="s">
        <v>363</v>
      </c>
      <c r="F562" s="58" t="s">
        <v>2077</v>
      </c>
      <c r="G562" s="58"/>
      <c r="H562" s="58"/>
      <c r="I562" s="57">
        <v>480</v>
      </c>
      <c r="J562" s="79">
        <f t="shared" si="20"/>
        <v>374.4</v>
      </c>
      <c r="K562" s="59"/>
      <c r="L562" s="84">
        <f t="shared" si="21"/>
        <v>0</v>
      </c>
      <c r="M562" s="60" t="s">
        <v>2032</v>
      </c>
      <c r="N562" s="57"/>
      <c r="O562" s="57"/>
      <c r="P562" s="57"/>
      <c r="Q562" s="17" t="s">
        <v>19</v>
      </c>
      <c r="R562" s="70" t="str">
        <f>HYPERLINK("http://search.books.com.tw/search/query/key/9789864012831/cat/all
","
9789864012831")</f>
        <v xml:space="preserve">
9789864012831</v>
      </c>
    </row>
    <row r="563" spans="1:18" ht="33" hidden="1" x14ac:dyDescent="0.25">
      <c r="A563" s="1">
        <v>559</v>
      </c>
      <c r="B563" s="56" t="s">
        <v>2078</v>
      </c>
      <c r="C563" s="57" t="s">
        <v>2079</v>
      </c>
      <c r="D563" s="57" t="s">
        <v>714</v>
      </c>
      <c r="E563" s="58" t="s">
        <v>363</v>
      </c>
      <c r="F563" s="58" t="s">
        <v>2080</v>
      </c>
      <c r="G563" s="58"/>
      <c r="H563" s="58"/>
      <c r="I563" s="57">
        <v>450</v>
      </c>
      <c r="J563" s="79">
        <f t="shared" si="20"/>
        <v>351</v>
      </c>
      <c r="K563" s="59"/>
      <c r="L563" s="84">
        <f t="shared" si="21"/>
        <v>0</v>
      </c>
      <c r="M563" s="60" t="s">
        <v>2032</v>
      </c>
      <c r="N563" s="57"/>
      <c r="O563" s="57"/>
      <c r="P563" s="57"/>
      <c r="Q563" s="17" t="s">
        <v>19</v>
      </c>
      <c r="R563" s="70" t="str">
        <f>HYPERLINK("http://search.books.com.tw/search/query/key/9789573284000/cat/all
","
9789573284000")</f>
        <v xml:space="preserve">
9789573284000</v>
      </c>
    </row>
    <row r="564" spans="1:18" ht="33" hidden="1" x14ac:dyDescent="0.25">
      <c r="A564" s="1">
        <v>560</v>
      </c>
      <c r="B564" s="56" t="s">
        <v>2081</v>
      </c>
      <c r="C564" s="57" t="s">
        <v>2082</v>
      </c>
      <c r="D564" s="57" t="s">
        <v>2083</v>
      </c>
      <c r="E564" s="58" t="s">
        <v>359</v>
      </c>
      <c r="F564" s="58" t="s">
        <v>2084</v>
      </c>
      <c r="G564" s="58"/>
      <c r="H564" s="58"/>
      <c r="I564" s="57">
        <v>490</v>
      </c>
      <c r="J564" s="79">
        <f t="shared" si="20"/>
        <v>382.2</v>
      </c>
      <c r="K564" s="59"/>
      <c r="L564" s="84">
        <f t="shared" si="21"/>
        <v>0</v>
      </c>
      <c r="M564" s="60" t="s">
        <v>2032</v>
      </c>
      <c r="N564" s="57" t="s">
        <v>2085</v>
      </c>
      <c r="O564" s="57"/>
      <c r="P564" s="57"/>
      <c r="Q564" s="17" t="s">
        <v>19</v>
      </c>
      <c r="R564" s="70" t="str">
        <f>HYPERLINK("http://search.books.com.tw/search/query/key/9789620766091/cat/all
","
9789620766091")</f>
        <v xml:space="preserve">
9789620766091</v>
      </c>
    </row>
    <row r="565" spans="1:18" hidden="1" x14ac:dyDescent="0.25">
      <c r="A565" s="1">
        <v>561</v>
      </c>
      <c r="B565" s="56" t="s">
        <v>2086</v>
      </c>
      <c r="C565" s="57" t="s">
        <v>2087</v>
      </c>
      <c r="D565" s="57" t="s">
        <v>2083</v>
      </c>
      <c r="E565" s="58" t="s">
        <v>363</v>
      </c>
      <c r="F565" s="58" t="s">
        <v>2088</v>
      </c>
      <c r="G565" s="58"/>
      <c r="H565" s="58"/>
      <c r="I565" s="57">
        <v>350</v>
      </c>
      <c r="J565" s="79">
        <f t="shared" si="20"/>
        <v>273</v>
      </c>
      <c r="K565" s="59"/>
      <c r="L565" s="84">
        <f t="shared" si="21"/>
        <v>0</v>
      </c>
      <c r="M565" s="60" t="s">
        <v>2032</v>
      </c>
      <c r="N565" s="57"/>
      <c r="O565" s="57"/>
      <c r="P565" s="57"/>
      <c r="Q565" s="17" t="s">
        <v>19</v>
      </c>
      <c r="R565" s="70" t="str">
        <f>HYPERLINK("http://search.books.com.tw/search/query/key/9789620757761/cat/all
","
9789620757761")</f>
        <v xml:space="preserve">
9789620757761</v>
      </c>
    </row>
    <row r="566" spans="1:18" hidden="1" x14ac:dyDescent="0.25">
      <c r="A566" s="1">
        <v>562</v>
      </c>
      <c r="B566" s="56" t="s">
        <v>2089</v>
      </c>
      <c r="C566" s="57" t="s">
        <v>2087</v>
      </c>
      <c r="D566" s="57" t="s">
        <v>2083</v>
      </c>
      <c r="E566" s="58" t="s">
        <v>363</v>
      </c>
      <c r="F566" s="58" t="s">
        <v>2090</v>
      </c>
      <c r="G566" s="58"/>
      <c r="H566" s="58"/>
      <c r="I566" s="57">
        <v>400</v>
      </c>
      <c r="J566" s="79">
        <f t="shared" si="20"/>
        <v>312</v>
      </c>
      <c r="K566" s="59"/>
      <c r="L566" s="84">
        <f t="shared" si="21"/>
        <v>0</v>
      </c>
      <c r="M566" s="60" t="s">
        <v>2032</v>
      </c>
      <c r="N566" s="57"/>
      <c r="O566" s="57"/>
      <c r="P566" s="57"/>
      <c r="Q566" s="17" t="s">
        <v>19</v>
      </c>
      <c r="R566" s="70" t="str">
        <f>HYPERLINK("http://search.books.com.tw/search/query/key/9789620757785/cat/all
","
9789620757785")</f>
        <v xml:space="preserve">
9789620757785</v>
      </c>
    </row>
    <row r="567" spans="1:18" ht="33" hidden="1" x14ac:dyDescent="0.25">
      <c r="A567" s="1">
        <v>563</v>
      </c>
      <c r="B567" s="56" t="s">
        <v>2091</v>
      </c>
      <c r="C567" s="57" t="s">
        <v>2092</v>
      </c>
      <c r="D567" s="57" t="s">
        <v>470</v>
      </c>
      <c r="E567" s="58" t="s">
        <v>363</v>
      </c>
      <c r="F567" s="58" t="s">
        <v>2093</v>
      </c>
      <c r="G567" s="58"/>
      <c r="H567" s="58"/>
      <c r="I567" s="57">
        <v>450</v>
      </c>
      <c r="J567" s="79">
        <f t="shared" si="20"/>
        <v>351</v>
      </c>
      <c r="K567" s="59"/>
      <c r="L567" s="84">
        <f t="shared" si="21"/>
        <v>0</v>
      </c>
      <c r="M567" s="60" t="s">
        <v>2094</v>
      </c>
      <c r="N567" s="57" t="s">
        <v>2095</v>
      </c>
      <c r="O567" s="57"/>
      <c r="P567" s="57"/>
      <c r="Q567" s="17" t="s">
        <v>19</v>
      </c>
      <c r="R567" s="70" t="str">
        <f>HYPERLINK("http://search.books.com.tw/search/query/key/9789576580833/cat/all
","
9789576580833")</f>
        <v xml:space="preserve">
9789576580833</v>
      </c>
    </row>
    <row r="568" spans="1:18" ht="33" hidden="1" x14ac:dyDescent="0.25">
      <c r="A568" s="1">
        <v>564</v>
      </c>
      <c r="B568" s="56" t="s">
        <v>2096</v>
      </c>
      <c r="C568" s="57" t="s">
        <v>2097</v>
      </c>
      <c r="D568" s="57" t="s">
        <v>2098</v>
      </c>
      <c r="E568" s="58" t="s">
        <v>363</v>
      </c>
      <c r="F568" s="58" t="s">
        <v>2099</v>
      </c>
      <c r="G568" s="58"/>
      <c r="H568" s="58"/>
      <c r="I568" s="57">
        <v>480</v>
      </c>
      <c r="J568" s="79">
        <f t="shared" si="20"/>
        <v>374.4</v>
      </c>
      <c r="K568" s="59"/>
      <c r="L568" s="84">
        <f t="shared" si="21"/>
        <v>0</v>
      </c>
      <c r="M568" s="60" t="s">
        <v>2094</v>
      </c>
      <c r="N568" s="57"/>
      <c r="O568" s="57"/>
      <c r="P568" s="57"/>
      <c r="Q568" s="17" t="s">
        <v>19</v>
      </c>
      <c r="R568" s="70" t="str">
        <f>HYPERLINK("http://search.books.com.tw/search/query/key/9789869685719/cat/all
","
9789869685719")</f>
        <v xml:space="preserve">
9789869685719</v>
      </c>
    </row>
    <row r="569" spans="1:18" ht="33" hidden="1" x14ac:dyDescent="0.25">
      <c r="A569" s="1">
        <v>565</v>
      </c>
      <c r="B569" s="56" t="s">
        <v>2100</v>
      </c>
      <c r="C569" s="57" t="s">
        <v>2101</v>
      </c>
      <c r="D569" s="57" t="s">
        <v>1106</v>
      </c>
      <c r="E569" s="58" t="s">
        <v>363</v>
      </c>
      <c r="F569" s="58" t="s">
        <v>2102</v>
      </c>
      <c r="G569" s="58"/>
      <c r="H569" s="58"/>
      <c r="I569" s="57">
        <v>140</v>
      </c>
      <c r="J569" s="79">
        <f t="shared" si="20"/>
        <v>109.2</v>
      </c>
      <c r="K569" s="59"/>
      <c r="L569" s="84">
        <f t="shared" si="21"/>
        <v>0</v>
      </c>
      <c r="M569" s="60" t="s">
        <v>2094</v>
      </c>
      <c r="N569" s="57"/>
      <c r="O569" s="57"/>
      <c r="P569" s="57"/>
      <c r="Q569" s="17" t="s">
        <v>19</v>
      </c>
      <c r="R569" s="70" t="str">
        <f>HYPERLINK("http://search.books.com.tw/search/query/key/9789579001816/cat/all
","
9789579001816")</f>
        <v xml:space="preserve">
9789579001816</v>
      </c>
    </row>
    <row r="570" spans="1:18" ht="33" hidden="1" x14ac:dyDescent="0.25">
      <c r="A570" s="1">
        <v>566</v>
      </c>
      <c r="B570" s="56" t="s">
        <v>2103</v>
      </c>
      <c r="C570" s="57" t="s">
        <v>2104</v>
      </c>
      <c r="D570" s="57" t="s">
        <v>1161</v>
      </c>
      <c r="E570" s="58" t="s">
        <v>363</v>
      </c>
      <c r="F570" s="58" t="s">
        <v>2105</v>
      </c>
      <c r="G570" s="58"/>
      <c r="H570" s="58"/>
      <c r="I570" s="57">
        <v>270</v>
      </c>
      <c r="J570" s="79">
        <f t="shared" si="20"/>
        <v>210.6</v>
      </c>
      <c r="K570" s="59"/>
      <c r="L570" s="84">
        <f t="shared" si="21"/>
        <v>0</v>
      </c>
      <c r="M570" s="60" t="s">
        <v>2106</v>
      </c>
      <c r="N570" s="57"/>
      <c r="O570" s="57"/>
      <c r="P570" s="57"/>
      <c r="Q570" s="17" t="s">
        <v>19</v>
      </c>
      <c r="R570" s="70" t="str">
        <f>HYPERLINK("http://search.books.com.tw/search/query/key/9789861755120/cat/all
","
9789861755120")</f>
        <v xml:space="preserve">
9789861755120</v>
      </c>
    </row>
    <row r="571" spans="1:18" ht="66" hidden="1" x14ac:dyDescent="0.25">
      <c r="A571" s="1">
        <v>567</v>
      </c>
      <c r="B571" s="56" t="s">
        <v>2107</v>
      </c>
      <c r="C571" s="57" t="s">
        <v>2108</v>
      </c>
      <c r="D571" s="57" t="s">
        <v>1165</v>
      </c>
      <c r="E571" s="58" t="s">
        <v>363</v>
      </c>
      <c r="F571" s="58" t="s">
        <v>2109</v>
      </c>
      <c r="G571" s="58"/>
      <c r="H571" s="58"/>
      <c r="I571" s="57">
        <v>380</v>
      </c>
      <c r="J571" s="79">
        <f t="shared" si="20"/>
        <v>296.39999999999998</v>
      </c>
      <c r="K571" s="59"/>
      <c r="L571" s="84">
        <f t="shared" si="21"/>
        <v>0</v>
      </c>
      <c r="M571" s="60" t="s">
        <v>2106</v>
      </c>
      <c r="N571" s="56" t="s">
        <v>2110</v>
      </c>
      <c r="O571" s="57"/>
      <c r="P571" s="57"/>
      <c r="Q571" s="17" t="s">
        <v>19</v>
      </c>
      <c r="R571" s="70" t="str">
        <f>HYPERLINK("http://search.books.com.tw/search/query/key/9789861372631/cat/all
","
9789861372631")</f>
        <v xml:space="preserve">
9789861372631</v>
      </c>
    </row>
    <row r="572" spans="1:18" ht="33" hidden="1" x14ac:dyDescent="0.25">
      <c r="A572" s="1">
        <v>568</v>
      </c>
      <c r="B572" s="56" t="s">
        <v>2111</v>
      </c>
      <c r="C572" s="57" t="s">
        <v>2112</v>
      </c>
      <c r="D572" s="57" t="s">
        <v>2113</v>
      </c>
      <c r="E572" s="58" t="s">
        <v>368</v>
      </c>
      <c r="F572" s="58" t="s">
        <v>2114</v>
      </c>
      <c r="G572" s="58"/>
      <c r="H572" s="58"/>
      <c r="I572" s="57">
        <v>320</v>
      </c>
      <c r="J572" s="79">
        <f t="shared" si="20"/>
        <v>249.6</v>
      </c>
      <c r="K572" s="59"/>
      <c r="L572" s="84">
        <f t="shared" si="21"/>
        <v>0</v>
      </c>
      <c r="M572" s="60" t="s">
        <v>2106</v>
      </c>
      <c r="N572" s="57"/>
      <c r="O572" s="57"/>
      <c r="P572" s="57"/>
      <c r="Q572" s="17" t="s">
        <v>19</v>
      </c>
      <c r="R572" s="70" t="str">
        <f>HYPERLINK("http://search.books.com.tw/search/query/key/9789869676366/cat/all
","
9789869676366")</f>
        <v xml:space="preserve">
9789869676366</v>
      </c>
    </row>
    <row r="573" spans="1:18" hidden="1" x14ac:dyDescent="0.25">
      <c r="A573" s="1">
        <v>569</v>
      </c>
      <c r="B573" s="56" t="s">
        <v>2115</v>
      </c>
      <c r="C573" s="57" t="s">
        <v>2116</v>
      </c>
      <c r="D573" s="57" t="s">
        <v>2117</v>
      </c>
      <c r="E573" s="58" t="s">
        <v>363</v>
      </c>
      <c r="F573" s="58" t="s">
        <v>2118</v>
      </c>
      <c r="G573" s="58"/>
      <c r="H573" s="58"/>
      <c r="I573" s="57">
        <v>480</v>
      </c>
      <c r="J573" s="79">
        <f t="shared" si="20"/>
        <v>374.4</v>
      </c>
      <c r="K573" s="59"/>
      <c r="L573" s="84">
        <f t="shared" si="21"/>
        <v>0</v>
      </c>
      <c r="M573" s="60" t="s">
        <v>2094</v>
      </c>
      <c r="N573" s="57"/>
      <c r="O573" s="57"/>
      <c r="P573" s="57"/>
      <c r="Q573" s="17" t="s">
        <v>19</v>
      </c>
      <c r="R573" s="70" t="str">
        <f>HYPERLINK("http://search.books.com.tw/search/query/key/9789869591867/cat/all
","
9789869591867")</f>
        <v xml:space="preserve">
9789869591867</v>
      </c>
    </row>
    <row r="574" spans="1:18" ht="33" hidden="1" x14ac:dyDescent="0.25">
      <c r="A574" s="1">
        <v>570</v>
      </c>
      <c r="B574" s="56" t="s">
        <v>2119</v>
      </c>
      <c r="C574" s="57" t="s">
        <v>2120</v>
      </c>
      <c r="D574" s="57" t="s">
        <v>1941</v>
      </c>
      <c r="E574" s="58" t="s">
        <v>363</v>
      </c>
      <c r="F574" s="58" t="s">
        <v>2121</v>
      </c>
      <c r="G574" s="58"/>
      <c r="H574" s="58"/>
      <c r="I574" s="57">
        <v>350</v>
      </c>
      <c r="J574" s="79">
        <f t="shared" si="20"/>
        <v>273</v>
      </c>
      <c r="K574" s="59"/>
      <c r="L574" s="84">
        <f t="shared" si="21"/>
        <v>0</v>
      </c>
      <c r="M574" s="60" t="s">
        <v>2094</v>
      </c>
      <c r="N574" s="57"/>
      <c r="O574" s="57"/>
      <c r="P574" s="57"/>
      <c r="Q574" s="17" t="s">
        <v>19</v>
      </c>
      <c r="R574" s="70" t="str">
        <f>HYPERLINK("http://search.books.com.tw/search/query/key/9789863774211/cat/all
","
9789863774211")</f>
        <v xml:space="preserve">
9789863774211</v>
      </c>
    </row>
    <row r="575" spans="1:18" hidden="1" x14ac:dyDescent="0.25">
      <c r="A575" s="1">
        <v>571</v>
      </c>
      <c r="B575" s="62" t="s">
        <v>2122</v>
      </c>
      <c r="C575" s="64" t="s">
        <v>2123</v>
      </c>
      <c r="D575" s="64" t="s">
        <v>2124</v>
      </c>
      <c r="E575" s="58" t="s">
        <v>359</v>
      </c>
      <c r="F575" s="58" t="s">
        <v>2125</v>
      </c>
      <c r="G575" s="58"/>
      <c r="H575" s="58"/>
      <c r="I575" s="57">
        <v>280</v>
      </c>
      <c r="J575" s="79">
        <f t="shared" si="20"/>
        <v>218.4</v>
      </c>
      <c r="K575" s="59"/>
      <c r="L575" s="84">
        <f t="shared" si="21"/>
        <v>0</v>
      </c>
      <c r="M575" s="60" t="s">
        <v>2094</v>
      </c>
      <c r="N575" s="57"/>
      <c r="O575" s="57"/>
      <c r="P575" s="57"/>
      <c r="Q575" s="17" t="s">
        <v>19</v>
      </c>
      <c r="R575" s="70" t="str">
        <f>HYPERLINK("http://search.books.com.tw/search/query/key/9789869659413/cat/all
","
9789869659413")</f>
        <v xml:space="preserve">
9789869659413</v>
      </c>
    </row>
    <row r="576" spans="1:18" hidden="1" x14ac:dyDescent="0.25">
      <c r="A576" s="1">
        <v>572</v>
      </c>
      <c r="B576" s="56" t="s">
        <v>2126</v>
      </c>
      <c r="C576" s="57" t="s">
        <v>2123</v>
      </c>
      <c r="D576" s="57" t="s">
        <v>2124</v>
      </c>
      <c r="E576" s="58" t="s">
        <v>359</v>
      </c>
      <c r="F576" s="58" t="s">
        <v>2127</v>
      </c>
      <c r="G576" s="58"/>
      <c r="H576" s="58"/>
      <c r="I576" s="57">
        <v>280</v>
      </c>
      <c r="J576" s="79">
        <f t="shared" si="20"/>
        <v>218.4</v>
      </c>
      <c r="K576" s="59"/>
      <c r="L576" s="84">
        <f t="shared" si="21"/>
        <v>0</v>
      </c>
      <c r="M576" s="60" t="s">
        <v>2094</v>
      </c>
      <c r="N576" s="57"/>
      <c r="O576" s="57"/>
      <c r="P576" s="57"/>
      <c r="Q576" s="17" t="s">
        <v>19</v>
      </c>
      <c r="R576" s="70" t="str">
        <f>HYPERLINK("http://search.books.com.tw/search/query/key/9789869659420/cat/all
","
9789869659420")</f>
        <v xml:space="preserve">
9789869659420</v>
      </c>
    </row>
    <row r="577" spans="1:18" ht="49.5" hidden="1" x14ac:dyDescent="0.25">
      <c r="A577" s="1">
        <v>573</v>
      </c>
      <c r="B577" s="56" t="s">
        <v>2128</v>
      </c>
      <c r="C577" s="57" t="s">
        <v>2129</v>
      </c>
      <c r="D577" s="57" t="s">
        <v>427</v>
      </c>
      <c r="E577" s="58" t="s">
        <v>359</v>
      </c>
      <c r="F577" s="58" t="s">
        <v>2130</v>
      </c>
      <c r="G577" s="58"/>
      <c r="H577" s="58"/>
      <c r="I577" s="57">
        <v>998</v>
      </c>
      <c r="J577" s="79">
        <f t="shared" si="20"/>
        <v>778.44</v>
      </c>
      <c r="K577" s="59"/>
      <c r="L577" s="84">
        <f t="shared" si="21"/>
        <v>0</v>
      </c>
      <c r="M577" s="60" t="s">
        <v>2106</v>
      </c>
      <c r="N577" s="57"/>
      <c r="O577" s="57"/>
      <c r="P577" s="57"/>
      <c r="Q577" s="17" t="s">
        <v>19</v>
      </c>
      <c r="R577" s="70" t="str">
        <f>HYPERLINK("http://search.books.com.tw/search/query/key/9789571375755/cat/all
","
9789571375755")</f>
        <v xml:space="preserve">
9789571375755</v>
      </c>
    </row>
    <row r="578" spans="1:18" ht="49.5" hidden="1" x14ac:dyDescent="0.25">
      <c r="A578" s="1">
        <v>574</v>
      </c>
      <c r="B578" s="56" t="s">
        <v>2131</v>
      </c>
      <c r="C578" s="57" t="s">
        <v>2132</v>
      </c>
      <c r="D578" s="57" t="s">
        <v>427</v>
      </c>
      <c r="E578" s="58" t="s">
        <v>363</v>
      </c>
      <c r="F578" s="58" t="s">
        <v>2133</v>
      </c>
      <c r="G578" s="58"/>
      <c r="H578" s="58"/>
      <c r="I578" s="57">
        <v>380</v>
      </c>
      <c r="J578" s="79">
        <f t="shared" si="20"/>
        <v>296.39999999999998</v>
      </c>
      <c r="K578" s="59"/>
      <c r="L578" s="84">
        <f t="shared" si="21"/>
        <v>0</v>
      </c>
      <c r="M578" s="60" t="s">
        <v>2106</v>
      </c>
      <c r="N578" s="57"/>
      <c r="O578" s="57"/>
      <c r="P578" s="57"/>
      <c r="Q578" s="17" t="s">
        <v>19</v>
      </c>
      <c r="R578" s="70" t="str">
        <f>HYPERLINK("http://search.books.com.tw/search/query/key/9789571376240/cat/all
","
9789571376240")</f>
        <v xml:space="preserve">
9789571376240</v>
      </c>
    </row>
    <row r="579" spans="1:18" ht="33" hidden="1" x14ac:dyDescent="0.25">
      <c r="A579" s="1">
        <v>575</v>
      </c>
      <c r="B579" s="56" t="s">
        <v>2134</v>
      </c>
      <c r="C579" s="57" t="s">
        <v>2135</v>
      </c>
      <c r="D579" s="57" t="s">
        <v>1245</v>
      </c>
      <c r="E579" s="58" t="s">
        <v>363</v>
      </c>
      <c r="F579" s="58" t="s">
        <v>2136</v>
      </c>
      <c r="G579" s="58"/>
      <c r="H579" s="58"/>
      <c r="I579" s="57">
        <v>380</v>
      </c>
      <c r="J579" s="79">
        <f t="shared" si="20"/>
        <v>296.39999999999998</v>
      </c>
      <c r="K579" s="59"/>
      <c r="L579" s="84">
        <f t="shared" si="21"/>
        <v>0</v>
      </c>
      <c r="M579" s="60" t="s">
        <v>2094</v>
      </c>
      <c r="N579" s="57"/>
      <c r="O579" s="57"/>
      <c r="P579" s="57"/>
      <c r="Q579" s="17" t="s">
        <v>19</v>
      </c>
      <c r="R579" s="70" t="str">
        <f>HYPERLINK("http://search.books.com.tw/search/query/key/9789864775606/cat/all
","
9789864775606")</f>
        <v xml:space="preserve">
9789864775606</v>
      </c>
    </row>
    <row r="580" spans="1:18" ht="33" hidden="1" x14ac:dyDescent="0.25">
      <c r="A580" s="1">
        <v>576</v>
      </c>
      <c r="B580" s="56" t="s">
        <v>2137</v>
      </c>
      <c r="C580" s="57" t="s">
        <v>2138</v>
      </c>
      <c r="D580" s="57" t="s">
        <v>1245</v>
      </c>
      <c r="E580" s="58" t="s">
        <v>368</v>
      </c>
      <c r="F580" s="58" t="s">
        <v>2139</v>
      </c>
      <c r="G580" s="58"/>
      <c r="H580" s="58"/>
      <c r="I580" s="57">
        <v>280</v>
      </c>
      <c r="J580" s="79">
        <f t="shared" si="20"/>
        <v>218.4</v>
      </c>
      <c r="K580" s="59"/>
      <c r="L580" s="84">
        <f t="shared" si="21"/>
        <v>0</v>
      </c>
      <c r="M580" s="60" t="s">
        <v>2106</v>
      </c>
      <c r="N580" s="57"/>
      <c r="O580" s="57"/>
      <c r="P580" s="57"/>
      <c r="Q580" s="17" t="s">
        <v>19</v>
      </c>
      <c r="R580" s="70" t="str">
        <f>HYPERLINK("http://search.books.com.tw/search/query/key/4717702905231/cat/all
","
4717702905231")</f>
        <v xml:space="preserve">
4717702905231</v>
      </c>
    </row>
    <row r="581" spans="1:18" ht="82.5" hidden="1" x14ac:dyDescent="0.25">
      <c r="A581" s="1">
        <v>577</v>
      </c>
      <c r="B581" s="56" t="s">
        <v>2140</v>
      </c>
      <c r="C581" s="57" t="s">
        <v>2141</v>
      </c>
      <c r="D581" s="57" t="s">
        <v>2142</v>
      </c>
      <c r="E581" s="58" t="s">
        <v>363</v>
      </c>
      <c r="F581" s="58" t="s">
        <v>2143</v>
      </c>
      <c r="G581" s="58"/>
      <c r="H581" s="58"/>
      <c r="I581" s="57">
        <v>320</v>
      </c>
      <c r="J581" s="79">
        <f t="shared" si="20"/>
        <v>249.6</v>
      </c>
      <c r="K581" s="59"/>
      <c r="L581" s="84">
        <f t="shared" si="21"/>
        <v>0</v>
      </c>
      <c r="M581" s="60" t="s">
        <v>2106</v>
      </c>
      <c r="N581" s="56" t="s">
        <v>2144</v>
      </c>
      <c r="O581" s="57"/>
      <c r="P581" s="57"/>
      <c r="Q581" s="17" t="s">
        <v>19</v>
      </c>
      <c r="R581" s="70" t="str">
        <f>HYPERLINK("http://search.books.com.tw/search/query/key/4717702905033/cat/all
","
4717702905033")</f>
        <v xml:space="preserve">
4717702905033</v>
      </c>
    </row>
    <row r="582" spans="1:18" hidden="1" x14ac:dyDescent="0.25">
      <c r="A582" s="1">
        <v>578</v>
      </c>
      <c r="B582" s="56" t="s">
        <v>2145</v>
      </c>
      <c r="C582" s="57" t="s">
        <v>2146</v>
      </c>
      <c r="D582" s="57" t="s">
        <v>1257</v>
      </c>
      <c r="E582" s="58" t="s">
        <v>368</v>
      </c>
      <c r="F582" s="58" t="s">
        <v>2147</v>
      </c>
      <c r="G582" s="58"/>
      <c r="H582" s="58"/>
      <c r="I582" s="57">
        <v>600</v>
      </c>
      <c r="J582" s="79">
        <f t="shared" ref="J582:J645" si="22">ROUND(I582*0.78,2)</f>
        <v>468</v>
      </c>
      <c r="K582" s="59"/>
      <c r="L582" s="84">
        <f t="shared" ref="L582:L645" si="23">K582*J582</f>
        <v>0</v>
      </c>
      <c r="M582" s="60" t="s">
        <v>2106</v>
      </c>
      <c r="N582" s="57"/>
      <c r="O582" s="57"/>
      <c r="P582" s="57"/>
      <c r="Q582" s="17" t="s">
        <v>19</v>
      </c>
      <c r="R582" s="70" t="str">
        <f>HYPERLINK("http://search.books.com.tw/search/query/key/9789865613853/cat/all
","
9789865613853")</f>
        <v xml:space="preserve">
9789865613853</v>
      </c>
    </row>
    <row r="583" spans="1:18" hidden="1" x14ac:dyDescent="0.25">
      <c r="A583" s="1">
        <v>579</v>
      </c>
      <c r="B583" s="56" t="s">
        <v>2148</v>
      </c>
      <c r="C583" s="57" t="s">
        <v>2149</v>
      </c>
      <c r="D583" s="57" t="s">
        <v>2150</v>
      </c>
      <c r="E583" s="58" t="s">
        <v>363</v>
      </c>
      <c r="F583" s="58" t="s">
        <v>2151</v>
      </c>
      <c r="G583" s="58"/>
      <c r="H583" s="58"/>
      <c r="I583" s="57">
        <v>399</v>
      </c>
      <c r="J583" s="79">
        <f t="shared" si="22"/>
        <v>311.22000000000003</v>
      </c>
      <c r="K583" s="59"/>
      <c r="L583" s="84">
        <f t="shared" si="23"/>
        <v>0</v>
      </c>
      <c r="M583" s="60" t="s">
        <v>2094</v>
      </c>
      <c r="N583" s="57"/>
      <c r="O583" s="57"/>
      <c r="P583" s="57"/>
      <c r="Q583" s="17" t="s">
        <v>19</v>
      </c>
      <c r="R583" s="70" t="str">
        <f>HYPERLINK("http://search.books.com.tw/search/query/key/9789863922544/cat/all
","
9789863922544")</f>
        <v xml:space="preserve">
9789863922544</v>
      </c>
    </row>
    <row r="584" spans="1:18" ht="33" hidden="1" x14ac:dyDescent="0.25">
      <c r="A584" s="1">
        <v>580</v>
      </c>
      <c r="B584" s="56" t="s">
        <v>2152</v>
      </c>
      <c r="C584" s="57" t="s">
        <v>2153</v>
      </c>
      <c r="D584" s="57" t="s">
        <v>2154</v>
      </c>
      <c r="E584" s="58" t="s">
        <v>368</v>
      </c>
      <c r="F584" s="58" t="s">
        <v>2155</v>
      </c>
      <c r="G584" s="58"/>
      <c r="H584" s="58"/>
      <c r="I584" s="57">
        <v>220</v>
      </c>
      <c r="J584" s="79">
        <f t="shared" si="22"/>
        <v>171.6</v>
      </c>
      <c r="K584" s="59"/>
      <c r="L584" s="84">
        <f t="shared" si="23"/>
        <v>0</v>
      </c>
      <c r="M584" s="60" t="s">
        <v>2106</v>
      </c>
      <c r="N584" s="57"/>
      <c r="O584" s="57"/>
      <c r="P584" s="57"/>
      <c r="Q584" s="17" t="s">
        <v>19</v>
      </c>
      <c r="R584" s="70" t="str">
        <f>HYPERLINK("http://search.books.com.tw/search/query/key/9789866036491/cat/all
","
9789866036491")</f>
        <v xml:space="preserve">
9789866036491</v>
      </c>
    </row>
    <row r="585" spans="1:18" ht="33" hidden="1" x14ac:dyDescent="0.25">
      <c r="A585" s="1">
        <v>581</v>
      </c>
      <c r="B585" s="56" t="s">
        <v>2156</v>
      </c>
      <c r="C585" s="57" t="s">
        <v>2157</v>
      </c>
      <c r="D585" s="57" t="s">
        <v>2158</v>
      </c>
      <c r="E585" s="58" t="s">
        <v>363</v>
      </c>
      <c r="F585" s="58" t="s">
        <v>2159</v>
      </c>
      <c r="G585" s="58"/>
      <c r="H585" s="58"/>
      <c r="I585" s="57">
        <v>460</v>
      </c>
      <c r="J585" s="79">
        <f t="shared" si="22"/>
        <v>358.8</v>
      </c>
      <c r="K585" s="59"/>
      <c r="L585" s="84">
        <f t="shared" si="23"/>
        <v>0</v>
      </c>
      <c r="M585" s="60" t="s">
        <v>2094</v>
      </c>
      <c r="N585" s="57"/>
      <c r="O585" s="57"/>
      <c r="P585" s="57"/>
      <c r="Q585" s="17" t="s">
        <v>19</v>
      </c>
      <c r="R585" s="70" t="str">
        <f>HYPERLINK("http://search.books.com.tw/search/query/key/9789575504939/cat/all
","
9789575504939")</f>
        <v xml:space="preserve">
9789575504939</v>
      </c>
    </row>
    <row r="586" spans="1:18" hidden="1" x14ac:dyDescent="0.25">
      <c r="A586" s="1">
        <v>582</v>
      </c>
      <c r="B586" s="56" t="s">
        <v>2160</v>
      </c>
      <c r="C586" s="57" t="s">
        <v>2161</v>
      </c>
      <c r="D586" s="57" t="s">
        <v>2162</v>
      </c>
      <c r="E586" s="58" t="s">
        <v>363</v>
      </c>
      <c r="F586" s="58" t="s">
        <v>2163</v>
      </c>
      <c r="G586" s="58"/>
      <c r="H586" s="58"/>
      <c r="I586" s="57">
        <v>280</v>
      </c>
      <c r="J586" s="79">
        <f t="shared" si="22"/>
        <v>218.4</v>
      </c>
      <c r="K586" s="59"/>
      <c r="L586" s="84">
        <f t="shared" si="23"/>
        <v>0</v>
      </c>
      <c r="M586" s="60" t="s">
        <v>450</v>
      </c>
      <c r="N586" s="57" t="s">
        <v>2164</v>
      </c>
      <c r="O586" s="57"/>
      <c r="P586" s="57"/>
      <c r="Q586" s="17" t="s">
        <v>19</v>
      </c>
      <c r="R586" s="70" t="str">
        <f>HYPERLINK("http://search.books.com.tw/search/query/key/9789577275547/cat/all
","
9789577275547")</f>
        <v xml:space="preserve">
9789577275547</v>
      </c>
    </row>
    <row r="587" spans="1:18" hidden="1" x14ac:dyDescent="0.25">
      <c r="A587" s="1">
        <v>583</v>
      </c>
      <c r="B587" s="56" t="s">
        <v>2165</v>
      </c>
      <c r="C587" s="57" t="s">
        <v>2166</v>
      </c>
      <c r="D587" s="57" t="s">
        <v>2167</v>
      </c>
      <c r="E587" s="58" t="s">
        <v>363</v>
      </c>
      <c r="F587" s="58" t="s">
        <v>2168</v>
      </c>
      <c r="G587" s="58"/>
      <c r="H587" s="58"/>
      <c r="I587" s="57">
        <v>470</v>
      </c>
      <c r="J587" s="79">
        <f t="shared" si="22"/>
        <v>366.6</v>
      </c>
      <c r="K587" s="59"/>
      <c r="L587" s="84">
        <f t="shared" si="23"/>
        <v>0</v>
      </c>
      <c r="M587" s="60" t="s">
        <v>2094</v>
      </c>
      <c r="N587" s="57"/>
      <c r="O587" s="57"/>
      <c r="P587" s="57"/>
      <c r="Q587" s="17" t="s">
        <v>19</v>
      </c>
      <c r="R587" s="70" t="str">
        <f>HYPERLINK("http://search.books.com.tw/search/query/key/9789888490813/cat/all
","
9789888490813")</f>
        <v xml:space="preserve">
9789888490813</v>
      </c>
    </row>
    <row r="588" spans="1:18" hidden="1" x14ac:dyDescent="0.25">
      <c r="A588" s="1">
        <v>584</v>
      </c>
      <c r="B588" s="56" t="s">
        <v>2169</v>
      </c>
      <c r="C588" s="57" t="s">
        <v>2170</v>
      </c>
      <c r="D588" s="57" t="s">
        <v>706</v>
      </c>
      <c r="E588" s="58" t="s">
        <v>363</v>
      </c>
      <c r="F588" s="58" t="s">
        <v>2171</v>
      </c>
      <c r="G588" s="58"/>
      <c r="H588" s="58"/>
      <c r="I588" s="57">
        <v>350</v>
      </c>
      <c r="J588" s="79">
        <f t="shared" si="22"/>
        <v>273</v>
      </c>
      <c r="K588" s="59"/>
      <c r="L588" s="84">
        <f t="shared" si="23"/>
        <v>0</v>
      </c>
      <c r="M588" s="60" t="s">
        <v>2094</v>
      </c>
      <c r="N588" s="57"/>
      <c r="O588" s="57"/>
      <c r="P588" s="57"/>
      <c r="Q588" s="17" t="s">
        <v>19</v>
      </c>
      <c r="R588" s="70" t="str">
        <f>HYPERLINK("http://search.books.com.tw/search/query/key/9789864002245/cat/all
","
9789864002245")</f>
        <v xml:space="preserve">
9789864002245</v>
      </c>
    </row>
    <row r="589" spans="1:18" ht="33" hidden="1" x14ac:dyDescent="0.25">
      <c r="A589" s="1">
        <v>585</v>
      </c>
      <c r="B589" s="56" t="s">
        <v>2172</v>
      </c>
      <c r="C589" s="57" t="s">
        <v>2173</v>
      </c>
      <c r="D589" s="57" t="s">
        <v>706</v>
      </c>
      <c r="E589" s="58" t="s">
        <v>363</v>
      </c>
      <c r="F589" s="58" t="s">
        <v>2174</v>
      </c>
      <c r="G589" s="58"/>
      <c r="H589" s="58"/>
      <c r="I589" s="57">
        <v>360</v>
      </c>
      <c r="J589" s="79">
        <f t="shared" si="22"/>
        <v>280.8</v>
      </c>
      <c r="K589" s="59"/>
      <c r="L589" s="84">
        <f t="shared" si="23"/>
        <v>0</v>
      </c>
      <c r="M589" s="60" t="s">
        <v>2094</v>
      </c>
      <c r="N589" s="57"/>
      <c r="O589" s="57"/>
      <c r="P589" s="57"/>
      <c r="Q589" s="17" t="s">
        <v>19</v>
      </c>
      <c r="R589" s="70" t="str">
        <f>HYPERLINK("http://search.books.com.tw/search/query/key/9789864002122/cat/all
","
9789864002122")</f>
        <v xml:space="preserve">
9789864002122</v>
      </c>
    </row>
    <row r="590" spans="1:18" hidden="1" x14ac:dyDescent="0.25">
      <c r="A590" s="1">
        <v>586</v>
      </c>
      <c r="B590" s="56" t="s">
        <v>2175</v>
      </c>
      <c r="C590" s="57" t="s">
        <v>2176</v>
      </c>
      <c r="D590" s="57" t="s">
        <v>1281</v>
      </c>
      <c r="E590" s="58" t="s">
        <v>363</v>
      </c>
      <c r="F590" s="58" t="s">
        <v>2177</v>
      </c>
      <c r="G590" s="58"/>
      <c r="H590" s="58"/>
      <c r="I590" s="57">
        <v>380</v>
      </c>
      <c r="J590" s="79">
        <f t="shared" si="22"/>
        <v>296.39999999999998</v>
      </c>
      <c r="K590" s="59"/>
      <c r="L590" s="84">
        <f t="shared" si="23"/>
        <v>0</v>
      </c>
      <c r="M590" s="60" t="s">
        <v>2094</v>
      </c>
      <c r="N590" s="57"/>
      <c r="O590" s="57"/>
      <c r="P590" s="57"/>
      <c r="Q590" s="17" t="s">
        <v>19</v>
      </c>
      <c r="R590" s="70" t="str">
        <f>HYPERLINK("http://search.books.com.tw/search/query/key/9789865801588/cat/all
","
9789865801588")</f>
        <v xml:space="preserve">
9789865801588</v>
      </c>
    </row>
    <row r="591" spans="1:18" ht="33" hidden="1" x14ac:dyDescent="0.25">
      <c r="A591" s="1">
        <v>587</v>
      </c>
      <c r="B591" s="56" t="s">
        <v>2178</v>
      </c>
      <c r="C591" s="57" t="s">
        <v>2179</v>
      </c>
      <c r="D591" s="57" t="s">
        <v>1281</v>
      </c>
      <c r="E591" s="58" t="s">
        <v>368</v>
      </c>
      <c r="F591" s="58" t="s">
        <v>2180</v>
      </c>
      <c r="G591" s="58"/>
      <c r="H591" s="58"/>
      <c r="I591" s="57">
        <v>800</v>
      </c>
      <c r="J591" s="79">
        <f t="shared" si="22"/>
        <v>624</v>
      </c>
      <c r="K591" s="59"/>
      <c r="L591" s="84">
        <f t="shared" si="23"/>
        <v>0</v>
      </c>
      <c r="M591" s="60" t="s">
        <v>2106</v>
      </c>
      <c r="N591" s="57"/>
      <c r="O591" s="57"/>
      <c r="P591" s="57"/>
      <c r="Q591" s="17" t="s">
        <v>19</v>
      </c>
      <c r="R591" s="70" t="str">
        <f>HYPERLINK("http://search.books.com.tw/search/query/key/9789865801687/cat/all
","
9789865801687")</f>
        <v xml:space="preserve">
9789865801687</v>
      </c>
    </row>
    <row r="592" spans="1:18" ht="33" hidden="1" x14ac:dyDescent="0.25">
      <c r="A592" s="1">
        <v>588</v>
      </c>
      <c r="B592" s="56" t="s">
        <v>2181</v>
      </c>
      <c r="C592" s="57" t="s">
        <v>2182</v>
      </c>
      <c r="D592" s="57" t="s">
        <v>1281</v>
      </c>
      <c r="E592" s="58" t="s">
        <v>359</v>
      </c>
      <c r="F592" s="58" t="s">
        <v>2183</v>
      </c>
      <c r="G592" s="58"/>
      <c r="H592" s="58"/>
      <c r="I592" s="57">
        <v>280</v>
      </c>
      <c r="J592" s="79">
        <f t="shared" si="22"/>
        <v>218.4</v>
      </c>
      <c r="K592" s="59"/>
      <c r="L592" s="84">
        <f t="shared" si="23"/>
        <v>0</v>
      </c>
      <c r="M592" s="60" t="s">
        <v>2094</v>
      </c>
      <c r="N592" s="57"/>
      <c r="O592" s="57"/>
      <c r="P592" s="57"/>
      <c r="Q592" s="17" t="s">
        <v>19</v>
      </c>
      <c r="R592" s="70" t="str">
        <f>HYPERLINK("http://search.books.com.tw/search/query/key/9789575568559/cat/all
","
9789575568559")</f>
        <v xml:space="preserve">
9789575568559</v>
      </c>
    </row>
    <row r="593" spans="1:18" ht="33" hidden="1" x14ac:dyDescent="0.25">
      <c r="A593" s="1">
        <v>589</v>
      </c>
      <c r="B593" s="56" t="s">
        <v>2184</v>
      </c>
      <c r="C593" s="57" t="s">
        <v>2185</v>
      </c>
      <c r="D593" s="57" t="s">
        <v>1802</v>
      </c>
      <c r="E593" s="58" t="s">
        <v>363</v>
      </c>
      <c r="F593" s="58" t="s">
        <v>2186</v>
      </c>
      <c r="G593" s="58"/>
      <c r="H593" s="58"/>
      <c r="I593" s="57">
        <v>260</v>
      </c>
      <c r="J593" s="79">
        <f t="shared" si="22"/>
        <v>202.8</v>
      </c>
      <c r="K593" s="59"/>
      <c r="L593" s="84">
        <f t="shared" si="23"/>
        <v>0</v>
      </c>
      <c r="M593" s="60" t="s">
        <v>2094</v>
      </c>
      <c r="N593" s="57"/>
      <c r="O593" s="57"/>
      <c r="P593" s="57"/>
      <c r="Q593" s="17" t="s">
        <v>19</v>
      </c>
      <c r="R593" s="70" t="str">
        <f>HYPERLINK("http://search.books.com.tw/search/query/key/9789863232810/cat/all
","
9789863232810")</f>
        <v xml:space="preserve">
9789863232810</v>
      </c>
    </row>
    <row r="594" spans="1:18" ht="33" hidden="1" x14ac:dyDescent="0.25">
      <c r="A594" s="1">
        <v>590</v>
      </c>
      <c r="B594" s="56" t="s">
        <v>2187</v>
      </c>
      <c r="C594" s="57" t="s">
        <v>2188</v>
      </c>
      <c r="D594" s="57" t="s">
        <v>2189</v>
      </c>
      <c r="E594" s="58" t="s">
        <v>368</v>
      </c>
      <c r="F594" s="58" t="s">
        <v>2190</v>
      </c>
      <c r="G594" s="58"/>
      <c r="H594" s="58"/>
      <c r="I594" s="57">
        <v>360</v>
      </c>
      <c r="J594" s="79">
        <f t="shared" si="22"/>
        <v>280.8</v>
      </c>
      <c r="K594" s="59"/>
      <c r="L594" s="84">
        <f t="shared" si="23"/>
        <v>0</v>
      </c>
      <c r="M594" s="60" t="s">
        <v>2106</v>
      </c>
      <c r="N594" s="57"/>
      <c r="O594" s="57"/>
      <c r="P594" s="57"/>
      <c r="Q594" s="17" t="s">
        <v>19</v>
      </c>
      <c r="R594" s="70" t="str">
        <f>HYPERLINK("http://search.books.com.tw/search/query/key/9789869679633/cat/all
","
9789869679633")</f>
        <v xml:space="preserve">
9789869679633</v>
      </c>
    </row>
    <row r="595" spans="1:18" hidden="1" x14ac:dyDescent="0.25">
      <c r="A595" s="1">
        <v>591</v>
      </c>
      <c r="B595" s="56" t="s">
        <v>2191</v>
      </c>
      <c r="C595" s="57" t="s">
        <v>2192</v>
      </c>
      <c r="D595" s="57" t="s">
        <v>1293</v>
      </c>
      <c r="E595" s="58" t="s">
        <v>363</v>
      </c>
      <c r="F595" s="58" t="s">
        <v>2193</v>
      </c>
      <c r="G595" s="58"/>
      <c r="H595" s="58"/>
      <c r="I595" s="57">
        <v>180</v>
      </c>
      <c r="J595" s="79">
        <f t="shared" si="22"/>
        <v>140.4</v>
      </c>
      <c r="K595" s="59"/>
      <c r="L595" s="84">
        <f t="shared" si="23"/>
        <v>0</v>
      </c>
      <c r="M595" s="60" t="s">
        <v>2094</v>
      </c>
      <c r="N595" s="57"/>
      <c r="O595" s="57"/>
      <c r="P595" s="57"/>
      <c r="Q595" s="17" t="s">
        <v>19</v>
      </c>
      <c r="R595" s="70" t="str">
        <f>HYPERLINK("http://search.books.com.tw/search/query/key/9789578679474/cat/all
","
9789578679474")</f>
        <v xml:space="preserve">
9789578679474</v>
      </c>
    </row>
    <row r="596" spans="1:18" ht="33" hidden="1" x14ac:dyDescent="0.25">
      <c r="A596" s="1">
        <v>592</v>
      </c>
      <c r="B596" s="56" t="s">
        <v>2194</v>
      </c>
      <c r="C596" s="57" t="s">
        <v>2195</v>
      </c>
      <c r="D596" s="57" t="s">
        <v>2196</v>
      </c>
      <c r="E596" s="58" t="s">
        <v>368</v>
      </c>
      <c r="F596" s="58" t="s">
        <v>2197</v>
      </c>
      <c r="G596" s="58"/>
      <c r="H596" s="58"/>
      <c r="I596" s="57">
        <v>480</v>
      </c>
      <c r="J596" s="79">
        <f t="shared" si="22"/>
        <v>374.4</v>
      </c>
      <c r="K596" s="59"/>
      <c r="L596" s="84">
        <f t="shared" si="23"/>
        <v>0</v>
      </c>
      <c r="M596" s="60" t="s">
        <v>2106</v>
      </c>
      <c r="N596" s="57"/>
      <c r="O596" s="57"/>
      <c r="P596" s="57"/>
      <c r="Q596" s="17" t="s">
        <v>19</v>
      </c>
      <c r="R596" s="70" t="str">
        <f>HYPERLINK("http://search.books.com.tw/search/query/key/9789869700634/cat/all
","
9789869700634")</f>
        <v xml:space="preserve">
9789869700634</v>
      </c>
    </row>
    <row r="597" spans="1:18" hidden="1" x14ac:dyDescent="0.25">
      <c r="A597" s="1">
        <v>593</v>
      </c>
      <c r="B597" s="56" t="s">
        <v>2198</v>
      </c>
      <c r="C597" s="57" t="s">
        <v>2199</v>
      </c>
      <c r="D597" s="57" t="s">
        <v>2200</v>
      </c>
      <c r="E597" s="58" t="s">
        <v>363</v>
      </c>
      <c r="F597" s="58" t="s">
        <v>2201</v>
      </c>
      <c r="G597" s="58"/>
      <c r="H597" s="58"/>
      <c r="I597" s="57">
        <v>280</v>
      </c>
      <c r="J597" s="79">
        <f t="shared" si="22"/>
        <v>218.4</v>
      </c>
      <c r="K597" s="59"/>
      <c r="L597" s="84">
        <f t="shared" si="23"/>
        <v>0</v>
      </c>
      <c r="M597" s="60" t="s">
        <v>2094</v>
      </c>
      <c r="N597" s="57"/>
      <c r="O597" s="57"/>
      <c r="P597" s="57"/>
      <c r="Q597" s="17" t="s">
        <v>19</v>
      </c>
      <c r="R597" s="70" t="str">
        <f>HYPERLINK("http://search.books.com.tw/search/query/key/9789869671033/cat/all
","
9789869671033")</f>
        <v xml:space="preserve">
9789869671033</v>
      </c>
    </row>
    <row r="598" spans="1:18" hidden="1" x14ac:dyDescent="0.25">
      <c r="A598" s="1">
        <v>594</v>
      </c>
      <c r="B598" s="56" t="s">
        <v>2202</v>
      </c>
      <c r="C598" s="57" t="s">
        <v>2203</v>
      </c>
      <c r="D598" s="57" t="s">
        <v>2204</v>
      </c>
      <c r="E598" s="58" t="s">
        <v>363</v>
      </c>
      <c r="F598" s="58" t="s">
        <v>2205</v>
      </c>
      <c r="G598" s="58"/>
      <c r="H598" s="58"/>
      <c r="I598" s="57">
        <v>320</v>
      </c>
      <c r="J598" s="79">
        <f t="shared" si="22"/>
        <v>249.6</v>
      </c>
      <c r="K598" s="59"/>
      <c r="L598" s="84">
        <f t="shared" si="23"/>
        <v>0</v>
      </c>
      <c r="M598" s="60" t="s">
        <v>2206</v>
      </c>
      <c r="N598" s="57"/>
      <c r="O598" s="57"/>
      <c r="P598" s="57"/>
      <c r="Q598" s="17" t="s">
        <v>19</v>
      </c>
      <c r="R598" s="70" t="str">
        <f>HYPERLINK("http://search.books.com.tw/search/query/key/9789869702607/cat/all
","
9789869702607")</f>
        <v xml:space="preserve">
9789869702607</v>
      </c>
    </row>
    <row r="599" spans="1:18" ht="82.5" hidden="1" x14ac:dyDescent="0.25">
      <c r="A599" s="1">
        <v>595</v>
      </c>
      <c r="B599" s="56" t="s">
        <v>2207</v>
      </c>
      <c r="C599" s="57" t="s">
        <v>2208</v>
      </c>
      <c r="D599" s="57" t="s">
        <v>892</v>
      </c>
      <c r="E599" s="58" t="s">
        <v>363</v>
      </c>
      <c r="F599" s="58" t="s">
        <v>2209</v>
      </c>
      <c r="G599" s="58"/>
      <c r="H599" s="58"/>
      <c r="I599" s="57">
        <v>300</v>
      </c>
      <c r="J599" s="79">
        <f t="shared" si="22"/>
        <v>234</v>
      </c>
      <c r="K599" s="59"/>
      <c r="L599" s="84">
        <f t="shared" si="23"/>
        <v>0</v>
      </c>
      <c r="M599" s="60" t="s">
        <v>2210</v>
      </c>
      <c r="N599" s="56" t="s">
        <v>2211</v>
      </c>
      <c r="O599" s="57"/>
      <c r="P599" s="57"/>
      <c r="Q599" s="17" t="s">
        <v>19</v>
      </c>
      <c r="R599" s="70" t="str">
        <f>HYPERLINK("http://search.books.com.tw/search/query/key/9789861784755/cat/all
","
9789861784755")</f>
        <v xml:space="preserve">
9789861784755</v>
      </c>
    </row>
    <row r="600" spans="1:18" hidden="1" x14ac:dyDescent="0.25">
      <c r="A600" s="1">
        <v>596</v>
      </c>
      <c r="B600" s="56" t="s">
        <v>2212</v>
      </c>
      <c r="C600" s="57" t="s">
        <v>2213</v>
      </c>
      <c r="D600" s="57" t="s">
        <v>2214</v>
      </c>
      <c r="E600" s="58" t="s">
        <v>368</v>
      </c>
      <c r="F600" s="58" t="s">
        <v>2215</v>
      </c>
      <c r="G600" s="58"/>
      <c r="H600" s="58"/>
      <c r="I600" s="57">
        <v>199</v>
      </c>
      <c r="J600" s="79">
        <f t="shared" si="22"/>
        <v>155.22</v>
      </c>
      <c r="K600" s="59"/>
      <c r="L600" s="84">
        <f t="shared" si="23"/>
        <v>0</v>
      </c>
      <c r="M600" s="60" t="s">
        <v>2210</v>
      </c>
      <c r="N600" s="57" t="s">
        <v>2216</v>
      </c>
      <c r="O600" s="57"/>
      <c r="P600" s="57"/>
      <c r="Q600" s="17" t="s">
        <v>19</v>
      </c>
      <c r="R600" s="70" t="str">
        <f>HYPERLINK("http://search.books.com.tw/search/query/key/9789869131377/cat/all
","
9789869131377")</f>
        <v xml:space="preserve">
9789869131377</v>
      </c>
    </row>
    <row r="601" spans="1:18" hidden="1" x14ac:dyDescent="0.25">
      <c r="A601" s="1">
        <v>597</v>
      </c>
      <c r="B601" s="56" t="s">
        <v>2217</v>
      </c>
      <c r="C601" s="57" t="s">
        <v>2218</v>
      </c>
      <c r="D601" s="57" t="s">
        <v>905</v>
      </c>
      <c r="E601" s="58" t="s">
        <v>363</v>
      </c>
      <c r="F601" s="58" t="s">
        <v>2219</v>
      </c>
      <c r="G601" s="58"/>
      <c r="H601" s="58"/>
      <c r="I601" s="57">
        <v>390</v>
      </c>
      <c r="J601" s="79">
        <f t="shared" si="22"/>
        <v>304.2</v>
      </c>
      <c r="K601" s="59"/>
      <c r="L601" s="84">
        <f t="shared" si="23"/>
        <v>0</v>
      </c>
      <c r="M601" s="60" t="s">
        <v>2206</v>
      </c>
      <c r="N601" s="57"/>
      <c r="O601" s="57"/>
      <c r="P601" s="57"/>
      <c r="Q601" s="17" t="s">
        <v>19</v>
      </c>
      <c r="R601" s="70" t="str">
        <f>HYPERLINK("http://search.books.com.tw/search/query/key/9789863601210/cat/all
","
9789863601210")</f>
        <v xml:space="preserve">
9789863601210</v>
      </c>
    </row>
    <row r="602" spans="1:18" ht="33" hidden="1" x14ac:dyDescent="0.25">
      <c r="A602" s="1">
        <v>598</v>
      </c>
      <c r="B602" s="56" t="s">
        <v>2220</v>
      </c>
      <c r="C602" s="57" t="s">
        <v>2221</v>
      </c>
      <c r="D602" s="57" t="s">
        <v>2222</v>
      </c>
      <c r="E602" s="58" t="s">
        <v>363</v>
      </c>
      <c r="F602" s="58" t="s">
        <v>2223</v>
      </c>
      <c r="G602" s="58"/>
      <c r="H602" s="58"/>
      <c r="I602" s="57">
        <v>500</v>
      </c>
      <c r="J602" s="79">
        <f t="shared" si="22"/>
        <v>390</v>
      </c>
      <c r="K602" s="59"/>
      <c r="L602" s="84">
        <f t="shared" si="23"/>
        <v>0</v>
      </c>
      <c r="M602" s="60" t="s">
        <v>2206</v>
      </c>
      <c r="N602" s="57"/>
      <c r="O602" s="57"/>
      <c r="P602" s="57"/>
      <c r="Q602" s="17" t="s">
        <v>19</v>
      </c>
      <c r="R602" s="70" t="str">
        <f>HYPERLINK("http://search.books.com.tw/search/query/key/9789868319547/cat/all
","
9789868319547")</f>
        <v xml:space="preserve">
9789868319547</v>
      </c>
    </row>
    <row r="603" spans="1:18" hidden="1" x14ac:dyDescent="0.25">
      <c r="A603" s="1">
        <v>599</v>
      </c>
      <c r="B603" s="56" t="s">
        <v>254</v>
      </c>
      <c r="C603" s="57" t="s">
        <v>2224</v>
      </c>
      <c r="D603" s="57" t="s">
        <v>2222</v>
      </c>
      <c r="E603" s="58" t="s">
        <v>363</v>
      </c>
      <c r="F603" s="58" t="s">
        <v>2225</v>
      </c>
      <c r="G603" s="58"/>
      <c r="H603" s="58"/>
      <c r="I603" s="57">
        <v>450</v>
      </c>
      <c r="J603" s="79">
        <f t="shared" si="22"/>
        <v>351</v>
      </c>
      <c r="K603" s="59"/>
      <c r="L603" s="84">
        <f t="shared" si="23"/>
        <v>0</v>
      </c>
      <c r="M603" s="60" t="s">
        <v>2206</v>
      </c>
      <c r="N603" s="57"/>
      <c r="O603" s="57"/>
      <c r="P603" s="57"/>
      <c r="Q603" s="17" t="s">
        <v>19</v>
      </c>
      <c r="R603" s="70" t="str">
        <f>HYPERLINK("http://search.books.com.tw/search/query/key/9789868319509/cat/all
","
9789868319509")</f>
        <v xml:space="preserve">
9789868319509</v>
      </c>
    </row>
    <row r="604" spans="1:18" ht="33" hidden="1" x14ac:dyDescent="0.25">
      <c r="A604" s="1">
        <v>600</v>
      </c>
      <c r="B604" s="56" t="s">
        <v>2226</v>
      </c>
      <c r="C604" s="57" t="s">
        <v>2227</v>
      </c>
      <c r="D604" s="57" t="s">
        <v>1099</v>
      </c>
      <c r="E604" s="58" t="s">
        <v>363</v>
      </c>
      <c r="F604" s="58" t="s">
        <v>2228</v>
      </c>
      <c r="G604" s="58"/>
      <c r="H604" s="58"/>
      <c r="I604" s="57">
        <v>330</v>
      </c>
      <c r="J604" s="79">
        <f t="shared" si="22"/>
        <v>257.39999999999998</v>
      </c>
      <c r="K604" s="59"/>
      <c r="L604" s="84">
        <f t="shared" si="23"/>
        <v>0</v>
      </c>
      <c r="M604" s="60" t="s">
        <v>2206</v>
      </c>
      <c r="N604" s="56" t="s">
        <v>2229</v>
      </c>
      <c r="O604" s="57"/>
      <c r="P604" s="57"/>
      <c r="Q604" s="17" t="s">
        <v>19</v>
      </c>
      <c r="R604" s="70" t="str">
        <f>HYPERLINK("http://search.books.com.tw/search/query/key/9789864061389/cat/all
","
9789864061389")</f>
        <v xml:space="preserve">
9789864061389</v>
      </c>
    </row>
    <row r="605" spans="1:18" ht="33" hidden="1" x14ac:dyDescent="0.25">
      <c r="A605" s="1">
        <v>601</v>
      </c>
      <c r="B605" s="56" t="s">
        <v>2230</v>
      </c>
      <c r="C605" s="57" t="s">
        <v>2231</v>
      </c>
      <c r="D605" s="57" t="s">
        <v>1378</v>
      </c>
      <c r="E605" s="58" t="s">
        <v>363</v>
      </c>
      <c r="F605" s="58" t="s">
        <v>2232</v>
      </c>
      <c r="G605" s="58"/>
      <c r="H605" s="58"/>
      <c r="I605" s="57">
        <v>450</v>
      </c>
      <c r="J605" s="79">
        <f t="shared" si="22"/>
        <v>351</v>
      </c>
      <c r="K605" s="59"/>
      <c r="L605" s="84">
        <f t="shared" si="23"/>
        <v>0</v>
      </c>
      <c r="M605" s="60" t="s">
        <v>2206</v>
      </c>
      <c r="N605" s="57"/>
      <c r="O605" s="57"/>
      <c r="P605" s="57"/>
      <c r="Q605" s="17" t="s">
        <v>19</v>
      </c>
      <c r="R605" s="70" t="str">
        <f>HYPERLINK("http://search.books.com.tw/search/query/key/9789869689694/cat/all
","
9789869689694")</f>
        <v xml:space="preserve">
9789869689694</v>
      </c>
    </row>
    <row r="606" spans="1:18" ht="33" hidden="1" x14ac:dyDescent="0.25">
      <c r="A606" s="1">
        <v>602</v>
      </c>
      <c r="B606" s="56" t="s">
        <v>2233</v>
      </c>
      <c r="C606" s="57" t="s">
        <v>2234</v>
      </c>
      <c r="D606" s="57" t="s">
        <v>1387</v>
      </c>
      <c r="E606" s="58" t="s">
        <v>368</v>
      </c>
      <c r="F606" s="58" t="s">
        <v>2235</v>
      </c>
      <c r="G606" s="58"/>
      <c r="H606" s="58"/>
      <c r="I606" s="57">
        <v>360</v>
      </c>
      <c r="J606" s="79">
        <f t="shared" si="22"/>
        <v>280.8</v>
      </c>
      <c r="K606" s="59"/>
      <c r="L606" s="84">
        <f t="shared" si="23"/>
        <v>0</v>
      </c>
      <c r="M606" s="60" t="s">
        <v>2210</v>
      </c>
      <c r="N606" s="57" t="s">
        <v>2236</v>
      </c>
      <c r="O606" s="57"/>
      <c r="P606" s="57"/>
      <c r="Q606" s="17" t="s">
        <v>19</v>
      </c>
      <c r="R606" s="70" t="str">
        <f>HYPERLINK("http://search.books.com.tw/search/query/key/9789864890118/cat/all
","
9789864890118")</f>
        <v xml:space="preserve">
9789864890118</v>
      </c>
    </row>
    <row r="607" spans="1:18" hidden="1" x14ac:dyDescent="0.25">
      <c r="A607" s="1">
        <v>603</v>
      </c>
      <c r="B607" s="56" t="s">
        <v>2237</v>
      </c>
      <c r="C607" s="57" t="s">
        <v>2238</v>
      </c>
      <c r="D607" s="57" t="s">
        <v>517</v>
      </c>
      <c r="E607" s="58" t="s">
        <v>363</v>
      </c>
      <c r="F607" s="58" t="s">
        <v>2239</v>
      </c>
      <c r="G607" s="58"/>
      <c r="H607" s="58"/>
      <c r="I607" s="57">
        <v>480</v>
      </c>
      <c r="J607" s="79">
        <f t="shared" si="22"/>
        <v>374.4</v>
      </c>
      <c r="K607" s="59"/>
      <c r="L607" s="84">
        <f t="shared" si="23"/>
        <v>0</v>
      </c>
      <c r="M607" s="60" t="s">
        <v>2206</v>
      </c>
      <c r="N607" s="57" t="s">
        <v>2240</v>
      </c>
      <c r="O607" s="57"/>
      <c r="P607" s="57"/>
      <c r="Q607" s="17" t="s">
        <v>19</v>
      </c>
      <c r="R607" s="70" t="str">
        <f>HYPERLINK("http://search.books.com.tw/search/query/key/9789577631138/cat/all
","
9789577631138")</f>
        <v xml:space="preserve">
9789577631138</v>
      </c>
    </row>
    <row r="608" spans="1:18" hidden="1" x14ac:dyDescent="0.25">
      <c r="A608" s="1">
        <v>604</v>
      </c>
      <c r="B608" s="56" t="s">
        <v>2241</v>
      </c>
      <c r="C608" s="57" t="s">
        <v>2242</v>
      </c>
      <c r="D608" s="57" t="s">
        <v>517</v>
      </c>
      <c r="E608" s="58" t="s">
        <v>363</v>
      </c>
      <c r="F608" s="58" t="s">
        <v>2243</v>
      </c>
      <c r="G608" s="58"/>
      <c r="H608" s="58"/>
      <c r="I608" s="57">
        <v>220</v>
      </c>
      <c r="J608" s="79">
        <f t="shared" si="22"/>
        <v>171.6</v>
      </c>
      <c r="K608" s="59"/>
      <c r="L608" s="84">
        <f t="shared" si="23"/>
        <v>0</v>
      </c>
      <c r="M608" s="60" t="s">
        <v>2206</v>
      </c>
      <c r="N608" s="57"/>
      <c r="O608" s="57"/>
      <c r="P608" s="57"/>
      <c r="Q608" s="17" t="s">
        <v>19</v>
      </c>
      <c r="R608" s="70" t="str">
        <f>HYPERLINK("http://search.books.com.tw/search/query/key/9789571199535/cat/all
","
9789571199535")</f>
        <v xml:space="preserve">
9789571199535</v>
      </c>
    </row>
    <row r="609" spans="1:18" ht="33" hidden="1" x14ac:dyDescent="0.25">
      <c r="A609" s="1">
        <v>605</v>
      </c>
      <c r="B609" s="56" t="s">
        <v>2244</v>
      </c>
      <c r="C609" s="57" t="s">
        <v>2245</v>
      </c>
      <c r="D609" s="57" t="s">
        <v>916</v>
      </c>
      <c r="E609" s="58" t="s">
        <v>363</v>
      </c>
      <c r="F609" s="58" t="s">
        <v>2246</v>
      </c>
      <c r="G609" s="58"/>
      <c r="H609" s="58"/>
      <c r="I609" s="57">
        <v>460</v>
      </c>
      <c r="J609" s="79">
        <f t="shared" si="22"/>
        <v>358.8</v>
      </c>
      <c r="K609" s="59"/>
      <c r="L609" s="84">
        <f t="shared" si="23"/>
        <v>0</v>
      </c>
      <c r="M609" s="60" t="s">
        <v>2206</v>
      </c>
      <c r="N609" s="57"/>
      <c r="O609" s="57"/>
      <c r="P609" s="57"/>
      <c r="Q609" s="17" t="s">
        <v>19</v>
      </c>
      <c r="R609" s="70" t="str">
        <f>HYPERLINK("http://search.books.com.tw/search/query/key/9789578654365/cat/all
","
9789578654365")</f>
        <v xml:space="preserve">
9789578654365</v>
      </c>
    </row>
    <row r="610" spans="1:18" hidden="1" x14ac:dyDescent="0.25">
      <c r="A610" s="1">
        <v>606</v>
      </c>
      <c r="B610" s="56" t="s">
        <v>2247</v>
      </c>
      <c r="C610" s="57" t="s">
        <v>2248</v>
      </c>
      <c r="D610" s="57" t="s">
        <v>916</v>
      </c>
      <c r="E610" s="58" t="s">
        <v>363</v>
      </c>
      <c r="F610" s="58" t="s">
        <v>2249</v>
      </c>
      <c r="G610" s="58"/>
      <c r="H610" s="58"/>
      <c r="I610" s="57">
        <v>420</v>
      </c>
      <c r="J610" s="79">
        <f t="shared" si="22"/>
        <v>327.60000000000002</v>
      </c>
      <c r="K610" s="59"/>
      <c r="L610" s="84">
        <f t="shared" si="23"/>
        <v>0</v>
      </c>
      <c r="M610" s="60" t="s">
        <v>2206</v>
      </c>
      <c r="N610" s="57"/>
      <c r="O610" s="57"/>
      <c r="P610" s="57"/>
      <c r="Q610" s="17" t="s">
        <v>19</v>
      </c>
      <c r="R610" s="70" t="str">
        <f>HYPERLINK("http://search.books.com.tw/search/query/key/9789578654419/cat/all
","
9789578654419")</f>
        <v xml:space="preserve">
9789578654419</v>
      </c>
    </row>
    <row r="611" spans="1:18" ht="33" hidden="1" x14ac:dyDescent="0.25">
      <c r="A611" s="1">
        <v>607</v>
      </c>
      <c r="B611" s="56" t="s">
        <v>2250</v>
      </c>
      <c r="C611" s="57" t="s">
        <v>2251</v>
      </c>
      <c r="D611" s="57" t="s">
        <v>531</v>
      </c>
      <c r="E611" s="58" t="s">
        <v>359</v>
      </c>
      <c r="F611" s="58" t="s">
        <v>2252</v>
      </c>
      <c r="G611" s="58"/>
      <c r="H611" s="58"/>
      <c r="I611" s="57">
        <v>600</v>
      </c>
      <c r="J611" s="79">
        <f t="shared" si="22"/>
        <v>468</v>
      </c>
      <c r="K611" s="59"/>
      <c r="L611" s="84">
        <f t="shared" si="23"/>
        <v>0</v>
      </c>
      <c r="M611" s="60" t="s">
        <v>2206</v>
      </c>
      <c r="N611" s="57"/>
      <c r="O611" s="57"/>
      <c r="P611" s="57"/>
      <c r="Q611" s="17" t="s">
        <v>19</v>
      </c>
      <c r="R611" s="70" t="str">
        <f>HYPERLINK("http://search.books.com.tw/search/query/key/9789869633581/cat/all
","
9789869633581")</f>
        <v xml:space="preserve">
9789869633581</v>
      </c>
    </row>
    <row r="612" spans="1:18" hidden="1" x14ac:dyDescent="0.25">
      <c r="A612" s="1">
        <v>608</v>
      </c>
      <c r="B612" s="56" t="s">
        <v>2253</v>
      </c>
      <c r="C612" s="57" t="s">
        <v>2254</v>
      </c>
      <c r="D612" s="57" t="s">
        <v>531</v>
      </c>
      <c r="E612" s="58" t="s">
        <v>363</v>
      </c>
      <c r="F612" s="58" t="s">
        <v>2255</v>
      </c>
      <c r="G612" s="58"/>
      <c r="H612" s="58"/>
      <c r="I612" s="57">
        <v>420</v>
      </c>
      <c r="J612" s="79">
        <f t="shared" si="22"/>
        <v>327.60000000000002</v>
      </c>
      <c r="K612" s="59"/>
      <c r="L612" s="84">
        <f t="shared" si="23"/>
        <v>0</v>
      </c>
      <c r="M612" s="60" t="s">
        <v>2206</v>
      </c>
      <c r="N612" s="57"/>
      <c r="O612" s="57"/>
      <c r="P612" s="57"/>
      <c r="Q612" s="17" t="s">
        <v>19</v>
      </c>
      <c r="R612" s="70" t="str">
        <f>HYPERLINK("http://search.books.com.tw/search/query/key/9789869706919/cat/all
","
9789869706919")</f>
        <v xml:space="preserve">
9789869706919</v>
      </c>
    </row>
    <row r="613" spans="1:18" hidden="1" x14ac:dyDescent="0.25">
      <c r="A613" s="1">
        <v>609</v>
      </c>
      <c r="B613" s="56" t="s">
        <v>2256</v>
      </c>
      <c r="C613" s="57" t="s">
        <v>2257</v>
      </c>
      <c r="D613" s="57" t="s">
        <v>2258</v>
      </c>
      <c r="E613" s="58" t="s">
        <v>363</v>
      </c>
      <c r="F613" s="58" t="s">
        <v>2259</v>
      </c>
      <c r="G613" s="58"/>
      <c r="H613" s="58"/>
      <c r="I613" s="57">
        <v>450</v>
      </c>
      <c r="J613" s="79">
        <f t="shared" si="22"/>
        <v>351</v>
      </c>
      <c r="K613" s="59"/>
      <c r="L613" s="84">
        <f t="shared" si="23"/>
        <v>0</v>
      </c>
      <c r="M613" s="60" t="s">
        <v>2206</v>
      </c>
      <c r="N613" s="57"/>
      <c r="O613" s="57"/>
      <c r="P613" s="57"/>
      <c r="Q613" s="17" t="s">
        <v>19</v>
      </c>
      <c r="R613" s="70" t="str">
        <f>HYPERLINK("http://search.books.com.tw/search/query/key/9789888395941/cat/all
","
9789888395941")</f>
        <v xml:space="preserve">
9789888395941</v>
      </c>
    </row>
    <row r="614" spans="1:18" ht="33" hidden="1" x14ac:dyDescent="0.25">
      <c r="A614" s="1">
        <v>610</v>
      </c>
      <c r="B614" s="56" t="s">
        <v>2260</v>
      </c>
      <c r="C614" s="57" t="s">
        <v>2261</v>
      </c>
      <c r="D614" s="57" t="s">
        <v>2262</v>
      </c>
      <c r="E614" s="58" t="s">
        <v>368</v>
      </c>
      <c r="F614" s="58" t="s">
        <v>2263</v>
      </c>
      <c r="G614" s="58"/>
      <c r="H614" s="58"/>
      <c r="I614" s="57">
        <v>500</v>
      </c>
      <c r="J614" s="79">
        <f t="shared" si="22"/>
        <v>390</v>
      </c>
      <c r="K614" s="59"/>
      <c r="L614" s="84">
        <f t="shared" si="23"/>
        <v>0</v>
      </c>
      <c r="M614" s="60" t="s">
        <v>2210</v>
      </c>
      <c r="N614" s="57"/>
      <c r="O614" s="57"/>
      <c r="P614" s="57"/>
      <c r="Q614" s="17" t="s">
        <v>19</v>
      </c>
      <c r="R614" s="70" t="str">
        <f>HYPERLINK("http://search.books.com.tw/search/query/key/9789863586661/cat/all
","
9789863586661")</f>
        <v xml:space="preserve">
9789863586661</v>
      </c>
    </row>
    <row r="615" spans="1:18" hidden="1" x14ac:dyDescent="0.25">
      <c r="A615" s="1">
        <v>611</v>
      </c>
      <c r="B615" s="56" t="s">
        <v>2264</v>
      </c>
      <c r="C615" s="57" t="s">
        <v>2265</v>
      </c>
      <c r="D615" s="57" t="s">
        <v>2266</v>
      </c>
      <c r="E615" s="58" t="s">
        <v>363</v>
      </c>
      <c r="F615" s="58" t="s">
        <v>2267</v>
      </c>
      <c r="G615" s="58"/>
      <c r="H615" s="58"/>
      <c r="I615" s="57">
        <v>260</v>
      </c>
      <c r="J615" s="79">
        <f t="shared" si="22"/>
        <v>202.8</v>
      </c>
      <c r="K615" s="59"/>
      <c r="L615" s="84">
        <f t="shared" si="23"/>
        <v>0</v>
      </c>
      <c r="M615" s="60" t="s">
        <v>2206</v>
      </c>
      <c r="N615" s="57"/>
      <c r="O615" s="57"/>
      <c r="P615" s="57"/>
      <c r="Q615" s="17" t="s">
        <v>19</v>
      </c>
      <c r="R615" s="70" t="str">
        <f>HYPERLINK("http://search.books.com.tw/search/query/key/9789869715003/cat/all
","
9789869715003")</f>
        <v xml:space="preserve">
9789869715003</v>
      </c>
    </row>
    <row r="616" spans="1:18" hidden="1" x14ac:dyDescent="0.25">
      <c r="A616" s="1">
        <v>612</v>
      </c>
      <c r="B616" s="56" t="s">
        <v>2268</v>
      </c>
      <c r="C616" s="57" t="s">
        <v>2269</v>
      </c>
      <c r="D616" s="57" t="s">
        <v>2270</v>
      </c>
      <c r="E616" s="58" t="s">
        <v>368</v>
      </c>
      <c r="F616" s="58" t="s">
        <v>2271</v>
      </c>
      <c r="G616" s="58"/>
      <c r="H616" s="58"/>
      <c r="I616" s="57">
        <v>380</v>
      </c>
      <c r="J616" s="79">
        <f t="shared" si="22"/>
        <v>296.39999999999998</v>
      </c>
      <c r="K616" s="59"/>
      <c r="L616" s="84">
        <f t="shared" si="23"/>
        <v>0</v>
      </c>
      <c r="M616" s="60" t="s">
        <v>2210</v>
      </c>
      <c r="N616" s="57"/>
      <c r="O616" s="57"/>
      <c r="P616" s="57"/>
      <c r="Q616" s="17" t="s">
        <v>19</v>
      </c>
      <c r="R616" s="70" t="str">
        <f>HYPERLINK("http://search.books.com.tw/search/query/key/9789869692755/cat/all
","
9789869692755")</f>
        <v xml:space="preserve">
9789869692755</v>
      </c>
    </row>
    <row r="617" spans="1:18" hidden="1" x14ac:dyDescent="0.25">
      <c r="A617" s="1">
        <v>613</v>
      </c>
      <c r="B617" s="56" t="s">
        <v>2272</v>
      </c>
      <c r="C617" s="57" t="s">
        <v>2273</v>
      </c>
      <c r="D617" s="57" t="s">
        <v>2274</v>
      </c>
      <c r="E617" s="58" t="s">
        <v>363</v>
      </c>
      <c r="F617" s="58" t="s">
        <v>2275</v>
      </c>
      <c r="G617" s="58"/>
      <c r="H617" s="58"/>
      <c r="I617" s="57">
        <v>280</v>
      </c>
      <c r="J617" s="79">
        <f t="shared" si="22"/>
        <v>218.4</v>
      </c>
      <c r="K617" s="59"/>
      <c r="L617" s="84">
        <f t="shared" si="23"/>
        <v>0</v>
      </c>
      <c r="M617" s="60" t="s">
        <v>2206</v>
      </c>
      <c r="N617" s="57"/>
      <c r="O617" s="57"/>
      <c r="P617" s="57"/>
      <c r="Q617" s="17" t="s">
        <v>19</v>
      </c>
      <c r="R617" s="70" t="str">
        <f>HYPERLINK("http://search.books.com.tw/search/query/key/9789869696418/cat/all
","
9789869696418")</f>
        <v xml:space="preserve">
9789869696418</v>
      </c>
    </row>
    <row r="618" spans="1:18" hidden="1" x14ac:dyDescent="0.25">
      <c r="A618" s="1">
        <v>614</v>
      </c>
      <c r="B618" s="56" t="s">
        <v>2276</v>
      </c>
      <c r="C618" s="57" t="s">
        <v>2277</v>
      </c>
      <c r="D618" s="57" t="s">
        <v>2117</v>
      </c>
      <c r="E618" s="58" t="s">
        <v>368</v>
      </c>
      <c r="F618" s="58" t="s">
        <v>2278</v>
      </c>
      <c r="G618" s="58"/>
      <c r="H618" s="58"/>
      <c r="I618" s="57">
        <v>250</v>
      </c>
      <c r="J618" s="79">
        <f t="shared" si="22"/>
        <v>195</v>
      </c>
      <c r="K618" s="59"/>
      <c r="L618" s="84">
        <f t="shared" si="23"/>
        <v>0</v>
      </c>
      <c r="M618" s="60" t="s">
        <v>2210</v>
      </c>
      <c r="N618" s="57"/>
      <c r="O618" s="57"/>
      <c r="P618" s="57"/>
      <c r="Q618" s="17" t="s">
        <v>19</v>
      </c>
      <c r="R618" s="70" t="str">
        <f>HYPERLINK("http://search.books.com.tw/search/query/key/9789869591881/cat/all
","
9789869591881")</f>
        <v xml:space="preserve">
9789869591881</v>
      </c>
    </row>
    <row r="619" spans="1:18" ht="49.5" hidden="1" x14ac:dyDescent="0.25">
      <c r="A619" s="1">
        <v>615</v>
      </c>
      <c r="B619" s="56" t="s">
        <v>2279</v>
      </c>
      <c r="C619" s="57" t="s">
        <v>2280</v>
      </c>
      <c r="D619" s="57" t="s">
        <v>1200</v>
      </c>
      <c r="E619" s="58" t="s">
        <v>363</v>
      </c>
      <c r="F619" s="58" t="s">
        <v>2281</v>
      </c>
      <c r="G619" s="58"/>
      <c r="H619" s="58"/>
      <c r="I619" s="57">
        <v>300</v>
      </c>
      <c r="J619" s="79">
        <f t="shared" si="22"/>
        <v>234</v>
      </c>
      <c r="K619" s="59"/>
      <c r="L619" s="84">
        <f t="shared" si="23"/>
        <v>0</v>
      </c>
      <c r="M619" s="60" t="s">
        <v>2206</v>
      </c>
      <c r="N619" s="57" t="s">
        <v>2282</v>
      </c>
      <c r="O619" s="57"/>
      <c r="P619" s="57"/>
      <c r="Q619" s="17" t="s">
        <v>19</v>
      </c>
      <c r="R619" s="70" t="str">
        <f>HYPERLINK("http://search.books.com.tw/search/query/key/9789864452989/cat/all
","
9789864452989")</f>
        <v xml:space="preserve">
9789864452989</v>
      </c>
    </row>
    <row r="620" spans="1:18" ht="66" hidden="1" x14ac:dyDescent="0.25">
      <c r="A620" s="1">
        <v>616</v>
      </c>
      <c r="B620" s="56" t="s">
        <v>2283</v>
      </c>
      <c r="C620" s="57" t="s">
        <v>2284</v>
      </c>
      <c r="D620" s="57" t="s">
        <v>2285</v>
      </c>
      <c r="E620" s="58" t="s">
        <v>363</v>
      </c>
      <c r="F620" s="58" t="s">
        <v>2286</v>
      </c>
      <c r="G620" s="58"/>
      <c r="H620" s="58"/>
      <c r="I620" s="57">
        <v>420</v>
      </c>
      <c r="J620" s="79">
        <f t="shared" si="22"/>
        <v>327.60000000000002</v>
      </c>
      <c r="K620" s="59"/>
      <c r="L620" s="84">
        <f t="shared" si="23"/>
        <v>0</v>
      </c>
      <c r="M620" s="60" t="s">
        <v>2206</v>
      </c>
      <c r="N620" s="56" t="s">
        <v>2287</v>
      </c>
      <c r="O620" s="57"/>
      <c r="P620" s="57"/>
      <c r="Q620" s="17" t="s">
        <v>19</v>
      </c>
      <c r="R620" s="70" t="str">
        <f>HYPERLINK("http://search.books.com.tw/search/query/key/9789869541473/cat/all
","
9789869541473")</f>
        <v xml:space="preserve">
9789869541473</v>
      </c>
    </row>
    <row r="621" spans="1:18" ht="49.5" hidden="1" x14ac:dyDescent="0.25">
      <c r="A621" s="1">
        <v>617</v>
      </c>
      <c r="B621" s="56" t="s">
        <v>2288</v>
      </c>
      <c r="C621" s="57" t="s">
        <v>2289</v>
      </c>
      <c r="D621" s="57" t="s">
        <v>1212</v>
      </c>
      <c r="E621" s="58" t="s">
        <v>368</v>
      </c>
      <c r="F621" s="58" t="s">
        <v>2290</v>
      </c>
      <c r="G621" s="58"/>
      <c r="H621" s="58"/>
      <c r="I621" s="57">
        <v>360</v>
      </c>
      <c r="J621" s="79">
        <f t="shared" si="22"/>
        <v>280.8</v>
      </c>
      <c r="K621" s="59"/>
      <c r="L621" s="84">
        <f t="shared" si="23"/>
        <v>0</v>
      </c>
      <c r="M621" s="60" t="s">
        <v>2210</v>
      </c>
      <c r="N621" s="57"/>
      <c r="O621" s="57"/>
      <c r="P621" s="57"/>
      <c r="Q621" s="17" t="s">
        <v>19</v>
      </c>
      <c r="R621" s="70" t="str">
        <f>HYPERLINK("http://search.books.com.tw/search/query/key/9789578950757/cat/all
","
9789578950757")</f>
        <v xml:space="preserve">
9789578950757</v>
      </c>
    </row>
    <row r="622" spans="1:18" ht="33" hidden="1" x14ac:dyDescent="0.25">
      <c r="A622" s="1">
        <v>618</v>
      </c>
      <c r="B622" s="56" t="s">
        <v>2291</v>
      </c>
      <c r="C622" s="57" t="s">
        <v>2292</v>
      </c>
      <c r="D622" s="57" t="s">
        <v>2293</v>
      </c>
      <c r="E622" s="58" t="s">
        <v>363</v>
      </c>
      <c r="F622" s="58" t="s">
        <v>2294</v>
      </c>
      <c r="G622" s="58"/>
      <c r="H622" s="58"/>
      <c r="I622" s="57">
        <v>420</v>
      </c>
      <c r="J622" s="79">
        <f t="shared" si="22"/>
        <v>327.60000000000002</v>
      </c>
      <c r="K622" s="59"/>
      <c r="L622" s="84">
        <f t="shared" si="23"/>
        <v>0</v>
      </c>
      <c r="M622" s="60" t="s">
        <v>2206</v>
      </c>
      <c r="N622" s="57"/>
      <c r="O622" s="57"/>
      <c r="P622" s="57"/>
      <c r="Q622" s="17" t="s">
        <v>19</v>
      </c>
      <c r="R622" s="70" t="str">
        <f>HYPERLINK("http://search.books.com.tw/search/query/key/9789869333795/cat/all
","
9789869333795")</f>
        <v xml:space="preserve">
9789869333795</v>
      </c>
    </row>
    <row r="623" spans="1:18" ht="33" hidden="1" x14ac:dyDescent="0.25">
      <c r="A623" s="1">
        <v>619</v>
      </c>
      <c r="B623" s="56" t="s">
        <v>2295</v>
      </c>
      <c r="C623" s="57" t="s">
        <v>2296</v>
      </c>
      <c r="D623" s="57" t="s">
        <v>2297</v>
      </c>
      <c r="E623" s="58" t="s">
        <v>363</v>
      </c>
      <c r="F623" s="58" t="s">
        <v>2298</v>
      </c>
      <c r="G623" s="58"/>
      <c r="H623" s="58"/>
      <c r="I623" s="57">
        <v>450</v>
      </c>
      <c r="J623" s="79">
        <f t="shared" si="22"/>
        <v>351</v>
      </c>
      <c r="K623" s="59"/>
      <c r="L623" s="84">
        <f t="shared" si="23"/>
        <v>0</v>
      </c>
      <c r="M623" s="60" t="s">
        <v>2206</v>
      </c>
      <c r="N623" s="57"/>
      <c r="O623" s="57"/>
      <c r="P623" s="57"/>
      <c r="Q623" s="17" t="s">
        <v>19</v>
      </c>
      <c r="R623" s="70" t="str">
        <f>HYPERLINK("http://search.books.com.tw/search/query/key/9789869409742/cat/all
","
9789869409742")</f>
        <v xml:space="preserve">
9789869409742</v>
      </c>
    </row>
    <row r="624" spans="1:18" hidden="1" x14ac:dyDescent="0.25">
      <c r="A624" s="1">
        <v>620</v>
      </c>
      <c r="B624" s="56" t="s">
        <v>2299</v>
      </c>
      <c r="C624" s="57" t="s">
        <v>2300</v>
      </c>
      <c r="D624" s="57" t="s">
        <v>648</v>
      </c>
      <c r="E624" s="58" t="s">
        <v>363</v>
      </c>
      <c r="F624" s="58" t="s">
        <v>2301</v>
      </c>
      <c r="G624" s="58"/>
      <c r="H624" s="58"/>
      <c r="I624" s="57">
        <v>350</v>
      </c>
      <c r="J624" s="79">
        <f t="shared" si="22"/>
        <v>273</v>
      </c>
      <c r="K624" s="59"/>
      <c r="L624" s="84">
        <f t="shared" si="23"/>
        <v>0</v>
      </c>
      <c r="M624" s="60" t="s">
        <v>2206</v>
      </c>
      <c r="N624" s="57"/>
      <c r="O624" s="57"/>
      <c r="P624" s="57"/>
      <c r="Q624" s="17" t="s">
        <v>19</v>
      </c>
      <c r="R624" s="70" t="str">
        <f>HYPERLINK("http://search.books.com.tw/search/query/key/9789864272471/cat/all
","
9789864272471")</f>
        <v xml:space="preserve">
9789864272471</v>
      </c>
    </row>
    <row r="625" spans="1:18" hidden="1" x14ac:dyDescent="0.25">
      <c r="A625" s="1">
        <v>621</v>
      </c>
      <c r="B625" s="56" t="s">
        <v>2302</v>
      </c>
      <c r="C625" s="57" t="s">
        <v>2303</v>
      </c>
      <c r="D625" s="57" t="s">
        <v>993</v>
      </c>
      <c r="E625" s="58" t="s">
        <v>363</v>
      </c>
      <c r="F625" s="58" t="s">
        <v>2304</v>
      </c>
      <c r="G625" s="58"/>
      <c r="H625" s="58"/>
      <c r="I625" s="57">
        <v>580</v>
      </c>
      <c r="J625" s="79">
        <f t="shared" si="22"/>
        <v>452.4</v>
      </c>
      <c r="K625" s="59"/>
      <c r="L625" s="84">
        <f t="shared" si="23"/>
        <v>0</v>
      </c>
      <c r="M625" s="60" t="s">
        <v>2206</v>
      </c>
      <c r="N625" s="57"/>
      <c r="O625" s="57"/>
      <c r="P625" s="57"/>
      <c r="Q625" s="17" t="s">
        <v>19</v>
      </c>
      <c r="R625" s="70" t="str">
        <f>HYPERLINK("http://search.books.com.tw/search/query/key/9789888466832/cat/all
","
9789888466832")</f>
        <v xml:space="preserve">
9789888466832</v>
      </c>
    </row>
    <row r="626" spans="1:18" ht="33" hidden="1" x14ac:dyDescent="0.25">
      <c r="A626" s="1">
        <v>622</v>
      </c>
      <c r="B626" s="56" t="s">
        <v>2305</v>
      </c>
      <c r="C626" s="57" t="s">
        <v>2306</v>
      </c>
      <c r="D626" s="57" t="s">
        <v>427</v>
      </c>
      <c r="E626" s="58" t="s">
        <v>363</v>
      </c>
      <c r="F626" s="58" t="s">
        <v>2307</v>
      </c>
      <c r="G626" s="58"/>
      <c r="H626" s="58"/>
      <c r="I626" s="57">
        <v>360</v>
      </c>
      <c r="J626" s="79">
        <f t="shared" si="22"/>
        <v>280.8</v>
      </c>
      <c r="K626" s="59"/>
      <c r="L626" s="84">
        <f t="shared" si="23"/>
        <v>0</v>
      </c>
      <c r="M626" s="60" t="s">
        <v>2206</v>
      </c>
      <c r="N626" s="57"/>
      <c r="O626" s="57"/>
      <c r="P626" s="57"/>
      <c r="Q626" s="17" t="s">
        <v>19</v>
      </c>
      <c r="R626" s="70" t="str">
        <f>HYPERLINK("http://search.books.com.tw/search/query/key/9789571375953/cat/all
","
9789571375953")</f>
        <v xml:space="preserve">
9789571375953</v>
      </c>
    </row>
    <row r="627" spans="1:18" hidden="1" x14ac:dyDescent="0.25">
      <c r="A627" s="1">
        <v>623</v>
      </c>
      <c r="B627" s="56" t="s">
        <v>2308</v>
      </c>
      <c r="C627" s="57" t="s">
        <v>2309</v>
      </c>
      <c r="D627" s="57" t="s">
        <v>2310</v>
      </c>
      <c r="E627" s="58" t="s">
        <v>363</v>
      </c>
      <c r="F627" s="58" t="s">
        <v>2311</v>
      </c>
      <c r="G627" s="58"/>
      <c r="H627" s="58"/>
      <c r="I627" s="57">
        <v>400</v>
      </c>
      <c r="J627" s="79">
        <f t="shared" si="22"/>
        <v>312</v>
      </c>
      <c r="K627" s="59"/>
      <c r="L627" s="84">
        <f t="shared" si="23"/>
        <v>0</v>
      </c>
      <c r="M627" s="60" t="s">
        <v>2206</v>
      </c>
      <c r="N627" s="57"/>
      <c r="O627" s="57"/>
      <c r="P627" s="57"/>
      <c r="Q627" s="17" t="s">
        <v>19</v>
      </c>
      <c r="R627" s="70" t="str">
        <f>HYPERLINK("http://search.books.com.tw/search/query/key/9789869709316/cat/all
","
9789869709316")</f>
        <v xml:space="preserve">
9789869709316</v>
      </c>
    </row>
    <row r="628" spans="1:18" ht="66" hidden="1" x14ac:dyDescent="0.25">
      <c r="A628" s="1">
        <v>624</v>
      </c>
      <c r="B628" s="56" t="s">
        <v>2312</v>
      </c>
      <c r="C628" s="57" t="s">
        <v>2313</v>
      </c>
      <c r="D628" s="57" t="s">
        <v>2314</v>
      </c>
      <c r="E628" s="58" t="s">
        <v>363</v>
      </c>
      <c r="F628" s="58" t="s">
        <v>2315</v>
      </c>
      <c r="G628" s="58"/>
      <c r="H628" s="58"/>
      <c r="I628" s="57">
        <v>580</v>
      </c>
      <c r="J628" s="79">
        <f t="shared" si="22"/>
        <v>452.4</v>
      </c>
      <c r="K628" s="59"/>
      <c r="L628" s="84">
        <f t="shared" si="23"/>
        <v>0</v>
      </c>
      <c r="M628" s="60" t="s">
        <v>2206</v>
      </c>
      <c r="N628" s="56" t="s">
        <v>2316</v>
      </c>
      <c r="O628" s="57"/>
      <c r="P628" s="57"/>
      <c r="Q628" s="17" t="s">
        <v>19</v>
      </c>
      <c r="R628" s="70" t="str">
        <f>HYPERLINK("http://search.books.com.tw/search/query/key/9789867885975/cat/all
","
9789867885975")</f>
        <v xml:space="preserve">
9789867885975</v>
      </c>
    </row>
    <row r="629" spans="1:18" ht="66" hidden="1" x14ac:dyDescent="0.25">
      <c r="A629" s="1">
        <v>625</v>
      </c>
      <c r="B629" s="56" t="s">
        <v>2317</v>
      </c>
      <c r="C629" s="57" t="s">
        <v>2318</v>
      </c>
      <c r="D629" s="57" t="s">
        <v>1245</v>
      </c>
      <c r="E629" s="58" t="s">
        <v>368</v>
      </c>
      <c r="F629" s="58" t="s">
        <v>2319</v>
      </c>
      <c r="G629" s="58"/>
      <c r="H629" s="58"/>
      <c r="I629" s="57">
        <v>420</v>
      </c>
      <c r="J629" s="79">
        <f t="shared" si="22"/>
        <v>327.60000000000002</v>
      </c>
      <c r="K629" s="59"/>
      <c r="L629" s="84">
        <f t="shared" si="23"/>
        <v>0</v>
      </c>
      <c r="M629" s="60" t="s">
        <v>2210</v>
      </c>
      <c r="N629" s="57"/>
      <c r="O629" s="57"/>
      <c r="P629" s="57"/>
      <c r="Q629" s="17" t="s">
        <v>19</v>
      </c>
      <c r="R629" s="70" t="str">
        <f>HYPERLINK("http://search.books.com.tw/search/query/key/9789864775514/cat/all
","
9789864775514")</f>
        <v xml:space="preserve">
9789864775514</v>
      </c>
    </row>
    <row r="630" spans="1:18" ht="82.5" hidden="1" x14ac:dyDescent="0.25">
      <c r="A630" s="1">
        <v>626</v>
      </c>
      <c r="B630" s="56" t="s">
        <v>2320</v>
      </c>
      <c r="C630" s="57" t="s">
        <v>2321</v>
      </c>
      <c r="D630" s="57" t="s">
        <v>1013</v>
      </c>
      <c r="E630" s="58" t="s">
        <v>363</v>
      </c>
      <c r="F630" s="58" t="s">
        <v>2322</v>
      </c>
      <c r="G630" s="58"/>
      <c r="H630" s="58"/>
      <c r="I630" s="57">
        <v>299</v>
      </c>
      <c r="J630" s="79">
        <f t="shared" si="22"/>
        <v>233.22</v>
      </c>
      <c r="K630" s="59"/>
      <c r="L630" s="84">
        <f t="shared" si="23"/>
        <v>0</v>
      </c>
      <c r="M630" s="60" t="s">
        <v>2206</v>
      </c>
      <c r="N630" s="56" t="s">
        <v>2323</v>
      </c>
      <c r="O630" s="57"/>
      <c r="P630" s="57"/>
      <c r="Q630" s="17" t="s">
        <v>19</v>
      </c>
      <c r="R630" s="70" t="str">
        <f>HYPERLINK("http://search.books.com.tw/search/query/key/9789863446118/cat/all
","
9789863446118")</f>
        <v xml:space="preserve">
9789863446118</v>
      </c>
    </row>
    <row r="631" spans="1:18" ht="33" hidden="1" x14ac:dyDescent="0.25">
      <c r="A631" s="1">
        <v>627</v>
      </c>
      <c r="B631" s="56" t="s">
        <v>2324</v>
      </c>
      <c r="C631" s="57" t="s">
        <v>2325</v>
      </c>
      <c r="D631" s="57" t="s">
        <v>1013</v>
      </c>
      <c r="E631" s="58" t="s">
        <v>368</v>
      </c>
      <c r="F631" s="58" t="s">
        <v>2326</v>
      </c>
      <c r="G631" s="58"/>
      <c r="H631" s="58"/>
      <c r="I631" s="57">
        <v>350</v>
      </c>
      <c r="J631" s="79">
        <f t="shared" si="22"/>
        <v>273</v>
      </c>
      <c r="K631" s="59"/>
      <c r="L631" s="84">
        <f t="shared" si="23"/>
        <v>0</v>
      </c>
      <c r="M631" s="60" t="s">
        <v>2210</v>
      </c>
      <c r="N631" s="57"/>
      <c r="O631" s="57"/>
      <c r="P631" s="57"/>
      <c r="Q631" s="17" t="s">
        <v>19</v>
      </c>
      <c r="R631" s="70" t="str">
        <f>HYPERLINK("http://search.books.com.tw/search/query/key/9789863446132/cat/all
","
9789863446132")</f>
        <v xml:space="preserve">
9789863446132</v>
      </c>
    </row>
    <row r="632" spans="1:18" ht="66" hidden="1" x14ac:dyDescent="0.25">
      <c r="A632" s="1">
        <v>628</v>
      </c>
      <c r="B632" s="56" t="s">
        <v>2327</v>
      </c>
      <c r="C632" s="57" t="s">
        <v>2328</v>
      </c>
      <c r="D632" s="57" t="s">
        <v>1748</v>
      </c>
      <c r="E632" s="58" t="s">
        <v>363</v>
      </c>
      <c r="F632" s="58" t="s">
        <v>2329</v>
      </c>
      <c r="G632" s="58"/>
      <c r="H632" s="58"/>
      <c r="I632" s="57">
        <v>300</v>
      </c>
      <c r="J632" s="79">
        <f t="shared" si="22"/>
        <v>234</v>
      </c>
      <c r="K632" s="59"/>
      <c r="L632" s="84">
        <f t="shared" si="23"/>
        <v>0</v>
      </c>
      <c r="M632" s="60" t="s">
        <v>2210</v>
      </c>
      <c r="N632" s="57" t="s">
        <v>2330</v>
      </c>
      <c r="O632" s="57"/>
      <c r="P632" s="57"/>
      <c r="Q632" s="17" t="s">
        <v>19</v>
      </c>
      <c r="R632" s="70" t="str">
        <f>HYPERLINK("http://search.books.com.tw/search/query/key/9789862357132/cat/all
","
9789862357132")</f>
        <v xml:space="preserve">
9789862357132</v>
      </c>
    </row>
    <row r="633" spans="1:18" hidden="1" x14ac:dyDescent="0.25">
      <c r="A633" s="1">
        <v>629</v>
      </c>
      <c r="B633" s="56" t="s">
        <v>2331</v>
      </c>
      <c r="C633" s="57" t="s">
        <v>2332</v>
      </c>
      <c r="D633" s="57" t="s">
        <v>2333</v>
      </c>
      <c r="E633" s="58" t="s">
        <v>368</v>
      </c>
      <c r="F633" s="58" t="s">
        <v>2334</v>
      </c>
      <c r="G633" s="58"/>
      <c r="H633" s="58"/>
      <c r="I633" s="57">
        <v>380</v>
      </c>
      <c r="J633" s="79">
        <f t="shared" si="22"/>
        <v>296.39999999999998</v>
      </c>
      <c r="K633" s="59"/>
      <c r="L633" s="84">
        <f t="shared" si="23"/>
        <v>0</v>
      </c>
      <c r="M633" s="60" t="s">
        <v>2210</v>
      </c>
      <c r="N633" s="57"/>
      <c r="O633" s="57"/>
      <c r="P633" s="57"/>
      <c r="Q633" s="17" t="s">
        <v>19</v>
      </c>
      <c r="R633" s="70" t="str">
        <f>HYPERLINK("http://search.books.com.tw/search/query/key/9789869582810/cat/all
","
9789869582810")</f>
        <v xml:space="preserve">
9789869582810</v>
      </c>
    </row>
    <row r="634" spans="1:18" ht="33" hidden="1" x14ac:dyDescent="0.25">
      <c r="A634" s="1">
        <v>630</v>
      </c>
      <c r="B634" s="56" t="s">
        <v>2335</v>
      </c>
      <c r="C634" s="57" t="s">
        <v>2336</v>
      </c>
      <c r="D634" s="57" t="s">
        <v>714</v>
      </c>
      <c r="E634" s="58" t="s">
        <v>363</v>
      </c>
      <c r="F634" s="58" t="s">
        <v>2337</v>
      </c>
      <c r="G634" s="58"/>
      <c r="H634" s="58"/>
      <c r="I634" s="57">
        <v>420</v>
      </c>
      <c r="J634" s="79">
        <f t="shared" si="22"/>
        <v>327.60000000000002</v>
      </c>
      <c r="K634" s="59"/>
      <c r="L634" s="84">
        <f t="shared" si="23"/>
        <v>0</v>
      </c>
      <c r="M634" s="60" t="s">
        <v>2206</v>
      </c>
      <c r="N634" s="57"/>
      <c r="O634" s="57"/>
      <c r="P634" s="57"/>
      <c r="Q634" s="17" t="s">
        <v>19</v>
      </c>
      <c r="R634" s="70" t="str">
        <f>HYPERLINK("http://search.books.com.tw/search/query/key/9789573284024/cat/all
","
9789573284024")</f>
        <v xml:space="preserve">
9789573284024</v>
      </c>
    </row>
    <row r="635" spans="1:18" hidden="1" x14ac:dyDescent="0.25">
      <c r="A635" s="1">
        <v>631</v>
      </c>
      <c r="B635" s="56" t="s">
        <v>2338</v>
      </c>
      <c r="C635" s="57" t="s">
        <v>2339</v>
      </c>
      <c r="D635" s="57" t="s">
        <v>714</v>
      </c>
      <c r="E635" s="58" t="s">
        <v>363</v>
      </c>
      <c r="F635" s="58" t="s">
        <v>2340</v>
      </c>
      <c r="G635" s="58"/>
      <c r="H635" s="58"/>
      <c r="I635" s="57">
        <v>380</v>
      </c>
      <c r="J635" s="79">
        <f t="shared" si="22"/>
        <v>296.39999999999998</v>
      </c>
      <c r="K635" s="59"/>
      <c r="L635" s="84">
        <f t="shared" si="23"/>
        <v>0</v>
      </c>
      <c r="M635" s="60" t="s">
        <v>2206</v>
      </c>
      <c r="N635" s="57"/>
      <c r="O635" s="57"/>
      <c r="P635" s="57"/>
      <c r="Q635" s="17" t="s">
        <v>19</v>
      </c>
      <c r="R635" s="70" t="str">
        <f>HYPERLINK("http://search.books.com.tw/search/query/key/9789573284130/cat/all
","
9789573284130")</f>
        <v xml:space="preserve">
9789573284130</v>
      </c>
    </row>
    <row r="636" spans="1:18" ht="33" hidden="1" x14ac:dyDescent="0.25">
      <c r="A636" s="1">
        <v>632</v>
      </c>
      <c r="B636" s="56" t="s">
        <v>2341</v>
      </c>
      <c r="C636" s="57" t="s">
        <v>2342</v>
      </c>
      <c r="D636" s="57" t="s">
        <v>1802</v>
      </c>
      <c r="E636" s="58" t="s">
        <v>363</v>
      </c>
      <c r="F636" s="58" t="s">
        <v>2343</v>
      </c>
      <c r="G636" s="58"/>
      <c r="H636" s="58"/>
      <c r="I636" s="57">
        <v>350</v>
      </c>
      <c r="J636" s="79">
        <f t="shared" si="22"/>
        <v>273</v>
      </c>
      <c r="K636" s="59"/>
      <c r="L636" s="84">
        <f t="shared" si="23"/>
        <v>0</v>
      </c>
      <c r="M636" s="60" t="s">
        <v>2206</v>
      </c>
      <c r="N636" s="57"/>
      <c r="O636" s="57"/>
      <c r="P636" s="57"/>
      <c r="Q636" s="17" t="s">
        <v>19</v>
      </c>
      <c r="R636" s="70" t="str">
        <f>HYPERLINK("http://search.books.com.tw/search/query/key/9789863232766/cat/all
","
9789863232766")</f>
        <v xml:space="preserve">
9789863232766</v>
      </c>
    </row>
    <row r="637" spans="1:18" ht="33" hidden="1" x14ac:dyDescent="0.25">
      <c r="A637" s="1">
        <v>633</v>
      </c>
      <c r="B637" s="56" t="s">
        <v>2344</v>
      </c>
      <c r="C637" s="57" t="s">
        <v>2345</v>
      </c>
      <c r="D637" s="57" t="s">
        <v>732</v>
      </c>
      <c r="E637" s="58" t="s">
        <v>368</v>
      </c>
      <c r="F637" s="58" t="s">
        <v>2346</v>
      </c>
      <c r="G637" s="58"/>
      <c r="H637" s="58"/>
      <c r="I637" s="57">
        <v>290</v>
      </c>
      <c r="J637" s="79">
        <f t="shared" si="22"/>
        <v>226.2</v>
      </c>
      <c r="K637" s="59"/>
      <c r="L637" s="84">
        <f t="shared" si="23"/>
        <v>0</v>
      </c>
      <c r="M637" s="60" t="s">
        <v>2210</v>
      </c>
      <c r="N637" s="57"/>
      <c r="O637" s="57"/>
      <c r="P637" s="57"/>
      <c r="Q637" s="17" t="s">
        <v>19</v>
      </c>
      <c r="R637" s="70" t="str">
        <f>HYPERLINK("http://search.books.com.tw/search/query/key/9789570852233/cat/all
","
9789570852233")</f>
        <v xml:space="preserve">
9789570852233</v>
      </c>
    </row>
    <row r="638" spans="1:18" ht="33" hidden="1" x14ac:dyDescent="0.25">
      <c r="A638" s="1">
        <v>634</v>
      </c>
      <c r="B638" s="56" t="s">
        <v>2347</v>
      </c>
      <c r="C638" s="57" t="s">
        <v>2348</v>
      </c>
      <c r="D638" s="57" t="s">
        <v>732</v>
      </c>
      <c r="E638" s="58" t="s">
        <v>368</v>
      </c>
      <c r="F638" s="58" t="s">
        <v>2349</v>
      </c>
      <c r="G638" s="58"/>
      <c r="H638" s="58"/>
      <c r="I638" s="57">
        <v>290</v>
      </c>
      <c r="J638" s="79">
        <f t="shared" si="22"/>
        <v>226.2</v>
      </c>
      <c r="K638" s="59"/>
      <c r="L638" s="84">
        <f t="shared" si="23"/>
        <v>0</v>
      </c>
      <c r="M638" s="60" t="s">
        <v>2210</v>
      </c>
      <c r="N638" s="57"/>
      <c r="O638" s="57"/>
      <c r="P638" s="57"/>
      <c r="Q638" s="17" t="s">
        <v>19</v>
      </c>
      <c r="R638" s="70" t="str">
        <f>HYPERLINK("http://search.books.com.tw/search/query/key/9789570852257/cat/all
","
9789570852257")</f>
        <v xml:space="preserve">
9789570852257</v>
      </c>
    </row>
    <row r="639" spans="1:18" ht="33" hidden="1" x14ac:dyDescent="0.25">
      <c r="A639" s="1">
        <v>635</v>
      </c>
      <c r="B639" s="56" t="s">
        <v>2350</v>
      </c>
      <c r="C639" s="57" t="s">
        <v>2351</v>
      </c>
      <c r="D639" s="57" t="s">
        <v>732</v>
      </c>
      <c r="E639" s="58" t="s">
        <v>368</v>
      </c>
      <c r="F639" s="58" t="s">
        <v>2352</v>
      </c>
      <c r="G639" s="58"/>
      <c r="H639" s="58"/>
      <c r="I639" s="57">
        <v>380</v>
      </c>
      <c r="J639" s="79">
        <f t="shared" si="22"/>
        <v>296.39999999999998</v>
      </c>
      <c r="K639" s="59"/>
      <c r="L639" s="84">
        <f t="shared" si="23"/>
        <v>0</v>
      </c>
      <c r="M639" s="60" t="s">
        <v>2210</v>
      </c>
      <c r="N639" s="57"/>
      <c r="O639" s="57"/>
      <c r="P639" s="57"/>
      <c r="Q639" s="17" t="s">
        <v>19</v>
      </c>
      <c r="R639" s="70" t="str">
        <f>HYPERLINK("http://search.books.com.tw/search/query/key/9789570852226/cat/all
","
9789570852226")</f>
        <v xml:space="preserve">
9789570852226</v>
      </c>
    </row>
    <row r="640" spans="1:18" ht="49.5" hidden="1" x14ac:dyDescent="0.25">
      <c r="A640" s="1">
        <v>636</v>
      </c>
      <c r="B640" s="56" t="s">
        <v>2353</v>
      </c>
      <c r="C640" s="57" t="s">
        <v>2354</v>
      </c>
      <c r="D640" s="57" t="s">
        <v>732</v>
      </c>
      <c r="E640" s="58" t="s">
        <v>363</v>
      </c>
      <c r="F640" s="58" t="s">
        <v>2355</v>
      </c>
      <c r="G640" s="58"/>
      <c r="H640" s="58"/>
      <c r="I640" s="57">
        <v>380</v>
      </c>
      <c r="J640" s="79">
        <f t="shared" si="22"/>
        <v>296.39999999999998</v>
      </c>
      <c r="K640" s="59"/>
      <c r="L640" s="84">
        <f t="shared" si="23"/>
        <v>0</v>
      </c>
      <c r="M640" s="60" t="s">
        <v>2206</v>
      </c>
      <c r="N640" s="57"/>
      <c r="O640" s="57"/>
      <c r="P640" s="57"/>
      <c r="Q640" s="17" t="s">
        <v>19</v>
      </c>
      <c r="R640" s="70" t="str">
        <f>HYPERLINK("http://search.books.com.tw/search/query/key/9789570852066/cat/all
","
9789570852066")</f>
        <v xml:space="preserve">
9789570852066</v>
      </c>
    </row>
    <row r="641" spans="1:18" ht="33" hidden="1" x14ac:dyDescent="0.25">
      <c r="A641" s="1">
        <v>637</v>
      </c>
      <c r="B641" s="56" t="s">
        <v>2356</v>
      </c>
      <c r="C641" s="57" t="s">
        <v>2357</v>
      </c>
      <c r="D641" s="57" t="s">
        <v>732</v>
      </c>
      <c r="E641" s="58" t="s">
        <v>368</v>
      </c>
      <c r="F641" s="58" t="s">
        <v>2358</v>
      </c>
      <c r="G641" s="58"/>
      <c r="H641" s="58"/>
      <c r="I641" s="57">
        <v>290</v>
      </c>
      <c r="J641" s="79">
        <f t="shared" si="22"/>
        <v>226.2</v>
      </c>
      <c r="K641" s="59"/>
      <c r="L641" s="84">
        <f t="shared" si="23"/>
        <v>0</v>
      </c>
      <c r="M641" s="60" t="s">
        <v>2210</v>
      </c>
      <c r="N641" s="57"/>
      <c r="O641" s="57"/>
      <c r="P641" s="57"/>
      <c r="Q641" s="17" t="s">
        <v>19</v>
      </c>
      <c r="R641" s="70" t="str">
        <f>HYPERLINK("http://search.books.com.tw/search/query/key/9789570852240/cat/all
","
9789570852240")</f>
        <v xml:space="preserve">
9789570852240</v>
      </c>
    </row>
    <row r="642" spans="1:18" hidden="1" x14ac:dyDescent="0.25">
      <c r="A642" s="1">
        <v>638</v>
      </c>
      <c r="B642" s="56" t="s">
        <v>2359</v>
      </c>
      <c r="C642" s="57" t="s">
        <v>819</v>
      </c>
      <c r="D642" s="57" t="s">
        <v>885</v>
      </c>
      <c r="E642" s="58" t="s">
        <v>368</v>
      </c>
      <c r="F642" s="58" t="s">
        <v>2360</v>
      </c>
      <c r="G642" s="58"/>
      <c r="H642" s="58"/>
      <c r="I642" s="57">
        <v>200</v>
      </c>
      <c r="J642" s="79">
        <f t="shared" si="22"/>
        <v>156</v>
      </c>
      <c r="K642" s="59"/>
      <c r="L642" s="84">
        <f t="shared" si="23"/>
        <v>0</v>
      </c>
      <c r="M642" s="60" t="s">
        <v>783</v>
      </c>
      <c r="N642" s="57"/>
      <c r="O642" s="57"/>
      <c r="P642" s="57"/>
      <c r="Q642" s="17" t="s">
        <v>19</v>
      </c>
      <c r="R642" s="70" t="str">
        <f>HYPERLINK("http://search.books.com.tw/search/query/key/9789869699143/cat/all
","
9789869699143")</f>
        <v xml:space="preserve">
9789869699143</v>
      </c>
    </row>
    <row r="643" spans="1:18" hidden="1" x14ac:dyDescent="0.25">
      <c r="A643" s="1">
        <v>639</v>
      </c>
      <c r="B643" s="56" t="s">
        <v>2361</v>
      </c>
      <c r="C643" s="57" t="s">
        <v>2362</v>
      </c>
      <c r="D643" s="57" t="s">
        <v>885</v>
      </c>
      <c r="E643" s="58" t="s">
        <v>368</v>
      </c>
      <c r="F643" s="58" t="s">
        <v>2363</v>
      </c>
      <c r="G643" s="58"/>
      <c r="H643" s="58"/>
      <c r="I643" s="57">
        <v>200</v>
      </c>
      <c r="J643" s="79">
        <f t="shared" si="22"/>
        <v>156</v>
      </c>
      <c r="K643" s="59"/>
      <c r="L643" s="84">
        <f t="shared" si="23"/>
        <v>0</v>
      </c>
      <c r="M643" s="60" t="s">
        <v>783</v>
      </c>
      <c r="N643" s="57"/>
      <c r="O643" s="57"/>
      <c r="P643" s="57"/>
      <c r="Q643" s="17" t="s">
        <v>19</v>
      </c>
      <c r="R643" s="70" t="str">
        <f>HYPERLINK("http://search.books.com.tw/search/query/key/9789869699150/cat/all
","
9789869699150")</f>
        <v xml:space="preserve">
9789869699150</v>
      </c>
    </row>
    <row r="644" spans="1:18" hidden="1" x14ac:dyDescent="0.25">
      <c r="A644" s="1">
        <v>640</v>
      </c>
      <c r="B644" s="56" t="s">
        <v>2364</v>
      </c>
      <c r="C644" s="57" t="s">
        <v>2365</v>
      </c>
      <c r="D644" s="57" t="s">
        <v>2366</v>
      </c>
      <c r="E644" s="58" t="s">
        <v>363</v>
      </c>
      <c r="F644" s="58" t="s">
        <v>2367</v>
      </c>
      <c r="G644" s="58"/>
      <c r="H644" s="58"/>
      <c r="I644" s="57">
        <v>600</v>
      </c>
      <c r="J644" s="79">
        <f t="shared" si="22"/>
        <v>468</v>
      </c>
      <c r="K644" s="59"/>
      <c r="L644" s="84">
        <f t="shared" si="23"/>
        <v>0</v>
      </c>
      <c r="M644" s="60" t="s">
        <v>2368</v>
      </c>
      <c r="N644" s="57" t="s">
        <v>2369</v>
      </c>
      <c r="O644" s="57"/>
      <c r="P644" s="57"/>
      <c r="Q644" s="17" t="s">
        <v>19</v>
      </c>
      <c r="R644" s="70" t="str">
        <f>HYPERLINK("http://search.books.com.tw/search/query/key/9789864611690/cat/all
","
9789864611690")</f>
        <v xml:space="preserve">
9789864611690</v>
      </c>
    </row>
    <row r="645" spans="1:18" ht="33" hidden="1" x14ac:dyDescent="0.25">
      <c r="A645" s="1">
        <v>641</v>
      </c>
      <c r="B645" s="56" t="s">
        <v>2370</v>
      </c>
      <c r="C645" s="57" t="s">
        <v>2371</v>
      </c>
      <c r="D645" s="57" t="s">
        <v>2019</v>
      </c>
      <c r="E645" s="58" t="s">
        <v>363</v>
      </c>
      <c r="F645" s="58" t="s">
        <v>2372</v>
      </c>
      <c r="G645" s="58"/>
      <c r="H645" s="58"/>
      <c r="I645" s="57">
        <v>450</v>
      </c>
      <c r="J645" s="79">
        <f t="shared" si="22"/>
        <v>351</v>
      </c>
      <c r="K645" s="59"/>
      <c r="L645" s="84">
        <f t="shared" si="23"/>
        <v>0</v>
      </c>
      <c r="M645" s="60" t="s">
        <v>1856</v>
      </c>
      <c r="N645" s="57"/>
      <c r="O645" s="57"/>
      <c r="P645" s="57"/>
      <c r="Q645" s="17" t="s">
        <v>19</v>
      </c>
      <c r="R645" s="70" t="str">
        <f>HYPERLINK("http://search.books.com.tw/search/query/key/9789863362760/cat/all
","
9789863362760")</f>
        <v xml:space="preserve">
9789863362760</v>
      </c>
    </row>
    <row r="646" spans="1:18" hidden="1" x14ac:dyDescent="0.25">
      <c r="A646" s="1">
        <v>642</v>
      </c>
      <c r="B646" s="56" t="s">
        <v>2373</v>
      </c>
      <c r="C646" s="57" t="s">
        <v>2374</v>
      </c>
      <c r="D646" s="57" t="s">
        <v>2019</v>
      </c>
      <c r="E646" s="58" t="s">
        <v>363</v>
      </c>
      <c r="F646" s="58" t="s">
        <v>2375</v>
      </c>
      <c r="G646" s="58"/>
      <c r="H646" s="58"/>
      <c r="I646" s="57">
        <v>380</v>
      </c>
      <c r="J646" s="79">
        <f t="shared" ref="J646:J709" si="24">ROUND(I646*0.78,2)</f>
        <v>296.39999999999998</v>
      </c>
      <c r="K646" s="59"/>
      <c r="L646" s="84">
        <f t="shared" ref="L646:L709" si="25">K646*J646</f>
        <v>0</v>
      </c>
      <c r="M646" s="60" t="s">
        <v>1856</v>
      </c>
      <c r="N646" s="57"/>
      <c r="O646" s="57"/>
      <c r="P646" s="57"/>
      <c r="Q646" s="17" t="s">
        <v>19</v>
      </c>
      <c r="R646" s="70" t="str">
        <f>HYPERLINK("http://search.books.com.tw/search/query/key/9789863362746/cat/all
","
9789863362746")</f>
        <v xml:space="preserve">
9789863362746</v>
      </c>
    </row>
    <row r="647" spans="1:18" hidden="1" x14ac:dyDescent="0.25">
      <c r="A647" s="1">
        <v>643</v>
      </c>
      <c r="B647" s="56" t="s">
        <v>2376</v>
      </c>
      <c r="C647" s="57" t="s">
        <v>2377</v>
      </c>
      <c r="D647" s="57" t="s">
        <v>2378</v>
      </c>
      <c r="E647" s="58" t="s">
        <v>359</v>
      </c>
      <c r="F647" s="58" t="s">
        <v>2379</v>
      </c>
      <c r="G647" s="58"/>
      <c r="H647" s="58"/>
      <c r="I647" s="57">
        <v>320</v>
      </c>
      <c r="J647" s="79">
        <f t="shared" si="24"/>
        <v>249.6</v>
      </c>
      <c r="K647" s="59"/>
      <c r="L647" s="84">
        <f t="shared" si="25"/>
        <v>0</v>
      </c>
      <c r="M647" s="60" t="s">
        <v>2368</v>
      </c>
      <c r="N647" s="57"/>
      <c r="O647" s="57"/>
      <c r="P647" s="57"/>
      <c r="Q647" s="17" t="s">
        <v>19</v>
      </c>
      <c r="R647" s="70" t="str">
        <f>HYPERLINK("http://search.books.com.tw/search/query/key/9789861923345/cat/all
","
9789861923345")</f>
        <v xml:space="preserve">
9789861923345</v>
      </c>
    </row>
    <row r="648" spans="1:18" hidden="1" x14ac:dyDescent="0.25">
      <c r="A648" s="1">
        <v>644</v>
      </c>
      <c r="B648" s="56" t="s">
        <v>2380</v>
      </c>
      <c r="C648" s="57" t="s">
        <v>2381</v>
      </c>
      <c r="D648" s="57" t="s">
        <v>2382</v>
      </c>
      <c r="E648" s="58" t="s">
        <v>368</v>
      </c>
      <c r="F648" s="58" t="s">
        <v>2383</v>
      </c>
      <c r="G648" s="58"/>
      <c r="H648" s="58"/>
      <c r="I648" s="57">
        <v>340</v>
      </c>
      <c r="J648" s="79">
        <f t="shared" si="24"/>
        <v>265.2</v>
      </c>
      <c r="K648" s="59"/>
      <c r="L648" s="84">
        <f t="shared" si="25"/>
        <v>0</v>
      </c>
      <c r="M648" s="60" t="s">
        <v>1856</v>
      </c>
      <c r="N648" s="57"/>
      <c r="O648" s="57"/>
      <c r="P648" s="57"/>
      <c r="Q648" s="17" t="s">
        <v>19</v>
      </c>
      <c r="R648" s="70" t="str">
        <f>HYPERLINK("http://search.books.com.tw/search/query/key/9789869678827/cat/all
","
9789869678827")</f>
        <v xml:space="preserve">
9789869678827</v>
      </c>
    </row>
    <row r="649" spans="1:18" ht="33" hidden="1" x14ac:dyDescent="0.25">
      <c r="A649" s="1">
        <v>645</v>
      </c>
      <c r="B649" s="56" t="s">
        <v>2384</v>
      </c>
      <c r="C649" s="57" t="s">
        <v>2385</v>
      </c>
      <c r="D649" s="57" t="s">
        <v>1117</v>
      </c>
      <c r="E649" s="58" t="s">
        <v>363</v>
      </c>
      <c r="F649" s="58" t="s">
        <v>2386</v>
      </c>
      <c r="G649" s="58"/>
      <c r="H649" s="58"/>
      <c r="I649" s="57">
        <v>500</v>
      </c>
      <c r="J649" s="79">
        <f t="shared" si="24"/>
        <v>390</v>
      </c>
      <c r="K649" s="59"/>
      <c r="L649" s="84">
        <f t="shared" si="25"/>
        <v>0</v>
      </c>
      <c r="M649" s="60" t="s">
        <v>2368</v>
      </c>
      <c r="N649" s="57"/>
      <c r="O649" s="57"/>
      <c r="P649" s="57"/>
      <c r="Q649" s="17" t="s">
        <v>19</v>
      </c>
      <c r="R649" s="70" t="str">
        <f>HYPERLINK("http://search.books.com.tw/search/query/key/9789863983927/cat/all
","
9789863983927")</f>
        <v xml:space="preserve">
9789863983927</v>
      </c>
    </row>
    <row r="650" spans="1:18" ht="33" hidden="1" x14ac:dyDescent="0.25">
      <c r="A650" s="1">
        <v>646</v>
      </c>
      <c r="B650" s="56" t="s">
        <v>2387</v>
      </c>
      <c r="C650" s="57" t="s">
        <v>2388</v>
      </c>
      <c r="D650" s="57" t="s">
        <v>569</v>
      </c>
      <c r="E650" s="58" t="s">
        <v>363</v>
      </c>
      <c r="F650" s="58" t="s">
        <v>2389</v>
      </c>
      <c r="G650" s="58"/>
      <c r="H650" s="58"/>
      <c r="I650" s="57">
        <v>320</v>
      </c>
      <c r="J650" s="79">
        <f t="shared" si="24"/>
        <v>249.6</v>
      </c>
      <c r="K650" s="59"/>
      <c r="L650" s="84">
        <f t="shared" si="25"/>
        <v>0</v>
      </c>
      <c r="M650" s="60" t="s">
        <v>2368</v>
      </c>
      <c r="N650" s="57"/>
      <c r="O650" s="57"/>
      <c r="P650" s="57"/>
      <c r="Q650" s="17" t="s">
        <v>19</v>
      </c>
      <c r="R650" s="70" t="str">
        <f>HYPERLINK("http://search.books.com.tw/search/query/key/9789864758487/cat/all
","
9789864758487")</f>
        <v xml:space="preserve">
9789864758487</v>
      </c>
    </row>
    <row r="651" spans="1:18" ht="33" hidden="1" x14ac:dyDescent="0.25">
      <c r="A651" s="1">
        <v>647</v>
      </c>
      <c r="B651" s="56" t="s">
        <v>2390</v>
      </c>
      <c r="C651" s="57" t="s">
        <v>2391</v>
      </c>
      <c r="D651" s="57" t="s">
        <v>1505</v>
      </c>
      <c r="E651" s="58" t="s">
        <v>363</v>
      </c>
      <c r="F651" s="58" t="s">
        <v>2392</v>
      </c>
      <c r="G651" s="58"/>
      <c r="H651" s="58"/>
      <c r="I651" s="57">
        <v>450</v>
      </c>
      <c r="J651" s="79">
        <f t="shared" si="24"/>
        <v>351</v>
      </c>
      <c r="K651" s="59"/>
      <c r="L651" s="84">
        <f t="shared" si="25"/>
        <v>0</v>
      </c>
      <c r="M651" s="60" t="s">
        <v>2368</v>
      </c>
      <c r="N651" s="57"/>
      <c r="O651" s="57"/>
      <c r="P651" s="57"/>
      <c r="Q651" s="17" t="s">
        <v>19</v>
      </c>
      <c r="R651" s="70" t="str">
        <f>HYPERLINK("http://search.books.com.tw/search/query/key/9789571083223/cat/all
","
9789571083223")</f>
        <v xml:space="preserve">
9789571083223</v>
      </c>
    </row>
    <row r="652" spans="1:18" ht="33" hidden="1" x14ac:dyDescent="0.25">
      <c r="A652" s="1">
        <v>648</v>
      </c>
      <c r="B652" s="56" t="s">
        <v>2393</v>
      </c>
      <c r="C652" s="57" t="s">
        <v>2394</v>
      </c>
      <c r="D652" s="57" t="s">
        <v>1621</v>
      </c>
      <c r="E652" s="58" t="s">
        <v>363</v>
      </c>
      <c r="F652" s="58" t="s">
        <v>2395</v>
      </c>
      <c r="G652" s="58"/>
      <c r="H652" s="58"/>
      <c r="I652" s="57">
        <v>420</v>
      </c>
      <c r="J652" s="79">
        <f t="shared" si="24"/>
        <v>327.60000000000002</v>
      </c>
      <c r="K652" s="59"/>
      <c r="L652" s="84">
        <f t="shared" si="25"/>
        <v>0</v>
      </c>
      <c r="M652" s="60" t="s">
        <v>2368</v>
      </c>
      <c r="N652" s="57"/>
      <c r="O652" s="57"/>
      <c r="P652" s="57"/>
      <c r="Q652" s="17" t="s">
        <v>19</v>
      </c>
      <c r="R652" s="70" t="str">
        <f>HYPERLINK("http://search.books.com.tw/search/query/key/9789869670609/cat/all
","
9789869670609")</f>
        <v xml:space="preserve">
9789869670609</v>
      </c>
    </row>
    <row r="653" spans="1:18" hidden="1" x14ac:dyDescent="0.25">
      <c r="A653" s="1">
        <v>649</v>
      </c>
      <c r="B653" s="56" t="s">
        <v>2396</v>
      </c>
      <c r="C653" s="57" t="s">
        <v>2397</v>
      </c>
      <c r="D653" s="57" t="s">
        <v>2398</v>
      </c>
      <c r="E653" s="58" t="s">
        <v>363</v>
      </c>
      <c r="F653" s="58" t="s">
        <v>2399</v>
      </c>
      <c r="G653" s="58"/>
      <c r="H653" s="58"/>
      <c r="I653" s="57">
        <v>400</v>
      </c>
      <c r="J653" s="79">
        <f t="shared" si="24"/>
        <v>312</v>
      </c>
      <c r="K653" s="59"/>
      <c r="L653" s="84">
        <f t="shared" si="25"/>
        <v>0</v>
      </c>
      <c r="M653" s="60" t="s">
        <v>1856</v>
      </c>
      <c r="N653" s="57" t="s">
        <v>2400</v>
      </c>
      <c r="O653" s="57"/>
      <c r="P653" s="57"/>
      <c r="Q653" s="17" t="s">
        <v>19</v>
      </c>
      <c r="R653" s="70" t="str">
        <f>HYPERLINK("http://search.books.com.tw/search/query/key/9789869594578/cat/all
","
9789869594578")</f>
        <v xml:space="preserve">
9789869594578</v>
      </c>
    </row>
    <row r="654" spans="1:18" ht="33" hidden="1" x14ac:dyDescent="0.25">
      <c r="A654" s="1">
        <v>650</v>
      </c>
      <c r="B654" s="56" t="s">
        <v>2401</v>
      </c>
      <c r="C654" s="57" t="s">
        <v>2402</v>
      </c>
      <c r="D654" s="57" t="s">
        <v>1245</v>
      </c>
      <c r="E654" s="58" t="s">
        <v>368</v>
      </c>
      <c r="F654" s="58" t="s">
        <v>2403</v>
      </c>
      <c r="G654" s="58"/>
      <c r="H654" s="58"/>
      <c r="I654" s="57">
        <v>390</v>
      </c>
      <c r="J654" s="79">
        <f t="shared" si="24"/>
        <v>304.2</v>
      </c>
      <c r="K654" s="59"/>
      <c r="L654" s="84">
        <f t="shared" si="25"/>
        <v>0</v>
      </c>
      <c r="M654" s="60" t="s">
        <v>1856</v>
      </c>
      <c r="N654" s="57"/>
      <c r="O654" s="57"/>
      <c r="P654" s="57"/>
      <c r="Q654" s="17" t="s">
        <v>19</v>
      </c>
      <c r="R654" s="70" t="str">
        <f>HYPERLINK("http://search.books.com.tw/search/query/key/9789864775729/cat/all
","
9789864775729")</f>
        <v xml:space="preserve">
9789864775729</v>
      </c>
    </row>
    <row r="655" spans="1:18" hidden="1" x14ac:dyDescent="0.25">
      <c r="A655" s="1">
        <v>651</v>
      </c>
      <c r="B655" s="56" t="s">
        <v>2404</v>
      </c>
      <c r="C655" s="57" t="s">
        <v>2405</v>
      </c>
      <c r="D655" s="57" t="s">
        <v>2406</v>
      </c>
      <c r="E655" s="58" t="s">
        <v>363</v>
      </c>
      <c r="F655" s="58" t="s">
        <v>2407</v>
      </c>
      <c r="G655" s="58"/>
      <c r="H655" s="58"/>
      <c r="I655" s="57">
        <v>320</v>
      </c>
      <c r="J655" s="79">
        <f t="shared" si="24"/>
        <v>249.6</v>
      </c>
      <c r="K655" s="59"/>
      <c r="L655" s="84">
        <f t="shared" si="25"/>
        <v>0</v>
      </c>
      <c r="M655" s="60" t="s">
        <v>2368</v>
      </c>
      <c r="N655" s="57"/>
      <c r="O655" s="57"/>
      <c r="P655" s="57"/>
      <c r="Q655" s="17" t="s">
        <v>19</v>
      </c>
      <c r="R655" s="70" t="str">
        <f>HYPERLINK("http://search.books.com.tw/search/query/key/9789862894330/cat/all
","
9789862894330")</f>
        <v xml:space="preserve">
9789862894330</v>
      </c>
    </row>
    <row r="656" spans="1:18" hidden="1" x14ac:dyDescent="0.25">
      <c r="A656" s="1">
        <v>652</v>
      </c>
      <c r="B656" s="56" t="s">
        <v>2408</v>
      </c>
      <c r="C656" s="57" t="s">
        <v>2409</v>
      </c>
      <c r="D656" s="57" t="s">
        <v>2406</v>
      </c>
      <c r="E656" s="58" t="s">
        <v>359</v>
      </c>
      <c r="F656" s="58" t="s">
        <v>2410</v>
      </c>
      <c r="G656" s="58"/>
      <c r="H656" s="58"/>
      <c r="I656" s="57">
        <v>1500</v>
      </c>
      <c r="J656" s="79">
        <f t="shared" si="24"/>
        <v>1170</v>
      </c>
      <c r="K656" s="59"/>
      <c r="L656" s="84">
        <f t="shared" si="25"/>
        <v>0</v>
      </c>
      <c r="M656" s="60" t="s">
        <v>2368</v>
      </c>
      <c r="N656" s="57"/>
      <c r="O656" s="57"/>
      <c r="P656" s="57"/>
      <c r="Q656" s="17" t="s">
        <v>19</v>
      </c>
      <c r="R656" s="70" t="str">
        <f>HYPERLINK("http://search.books.com.tw/search/query/key/9789862894279/cat/all
","
9789862894279")</f>
        <v xml:space="preserve">
9789862894279</v>
      </c>
    </row>
    <row r="657" spans="1:18" hidden="1" x14ac:dyDescent="0.25">
      <c r="A657" s="1">
        <v>653</v>
      </c>
      <c r="B657" s="56" t="s">
        <v>2411</v>
      </c>
      <c r="C657" s="57" t="s">
        <v>2412</v>
      </c>
      <c r="D657" s="57" t="s">
        <v>2406</v>
      </c>
      <c r="E657" s="58" t="s">
        <v>368</v>
      </c>
      <c r="F657" s="58" t="s">
        <v>2413</v>
      </c>
      <c r="G657" s="58"/>
      <c r="H657" s="58"/>
      <c r="I657" s="57">
        <v>360</v>
      </c>
      <c r="J657" s="79">
        <f t="shared" si="24"/>
        <v>280.8</v>
      </c>
      <c r="K657" s="59"/>
      <c r="L657" s="84">
        <f t="shared" si="25"/>
        <v>0</v>
      </c>
      <c r="M657" s="60" t="s">
        <v>1856</v>
      </c>
      <c r="N657" s="57"/>
      <c r="O657" s="57"/>
      <c r="P657" s="57"/>
      <c r="Q657" s="17" t="s">
        <v>19</v>
      </c>
      <c r="R657" s="70" t="str">
        <f>HYPERLINK("http://search.books.com.tw/search/query/key/9789862894392/cat/all
","
9789862894392")</f>
        <v xml:space="preserve">
9789862894392</v>
      </c>
    </row>
    <row r="658" spans="1:18" hidden="1" x14ac:dyDescent="0.25">
      <c r="A658" s="1">
        <v>654</v>
      </c>
      <c r="B658" s="56" t="s">
        <v>2414</v>
      </c>
      <c r="C658" s="57" t="s">
        <v>2415</v>
      </c>
      <c r="D658" s="57" t="s">
        <v>2406</v>
      </c>
      <c r="E658" s="58" t="s">
        <v>363</v>
      </c>
      <c r="F658" s="58" t="s">
        <v>2416</v>
      </c>
      <c r="G658" s="58"/>
      <c r="H658" s="58"/>
      <c r="I658" s="57">
        <v>450</v>
      </c>
      <c r="J658" s="79">
        <f t="shared" si="24"/>
        <v>351</v>
      </c>
      <c r="K658" s="59"/>
      <c r="L658" s="84">
        <f t="shared" si="25"/>
        <v>0</v>
      </c>
      <c r="M658" s="60" t="s">
        <v>2368</v>
      </c>
      <c r="N658" s="57"/>
      <c r="O658" s="57"/>
      <c r="P658" s="57"/>
      <c r="Q658" s="17" t="s">
        <v>19</v>
      </c>
      <c r="R658" s="70" t="str">
        <f>HYPERLINK("http://search.books.com.tw/search/query/key/9789862894316/cat/all
","
9789862894316")</f>
        <v xml:space="preserve">
9789862894316</v>
      </c>
    </row>
    <row r="659" spans="1:18" hidden="1" x14ac:dyDescent="0.25">
      <c r="A659" s="1">
        <v>655</v>
      </c>
      <c r="B659" s="56" t="s">
        <v>2417</v>
      </c>
      <c r="C659" s="57" t="s">
        <v>2418</v>
      </c>
      <c r="D659" s="57" t="s">
        <v>2406</v>
      </c>
      <c r="E659" s="58" t="s">
        <v>368</v>
      </c>
      <c r="F659" s="58" t="s">
        <v>2419</v>
      </c>
      <c r="G659" s="58"/>
      <c r="H659" s="58"/>
      <c r="I659" s="57">
        <v>340</v>
      </c>
      <c r="J659" s="79">
        <f t="shared" si="24"/>
        <v>265.2</v>
      </c>
      <c r="K659" s="59"/>
      <c r="L659" s="84">
        <f t="shared" si="25"/>
        <v>0</v>
      </c>
      <c r="M659" s="60" t="s">
        <v>1856</v>
      </c>
      <c r="N659" s="57"/>
      <c r="O659" s="57"/>
      <c r="P659" s="57"/>
      <c r="Q659" s="17" t="s">
        <v>19</v>
      </c>
      <c r="R659" s="70" t="str">
        <f>HYPERLINK("http://search.books.com.tw/search/query/key/9789862894385/cat/all
","
9789862894385")</f>
        <v xml:space="preserve">
9789862894385</v>
      </c>
    </row>
    <row r="660" spans="1:18" hidden="1" x14ac:dyDescent="0.25">
      <c r="A660" s="1">
        <v>656</v>
      </c>
      <c r="B660" s="56" t="s">
        <v>2420</v>
      </c>
      <c r="C660" s="57" t="s">
        <v>2421</v>
      </c>
      <c r="D660" s="57" t="s">
        <v>2406</v>
      </c>
      <c r="E660" s="58" t="s">
        <v>363</v>
      </c>
      <c r="F660" s="58" t="s">
        <v>2422</v>
      </c>
      <c r="G660" s="58"/>
      <c r="H660" s="58"/>
      <c r="I660" s="57">
        <v>450</v>
      </c>
      <c r="J660" s="79">
        <f t="shared" si="24"/>
        <v>351</v>
      </c>
      <c r="K660" s="59"/>
      <c r="L660" s="84">
        <f t="shared" si="25"/>
        <v>0</v>
      </c>
      <c r="M660" s="60" t="s">
        <v>2368</v>
      </c>
      <c r="N660" s="57"/>
      <c r="O660" s="57"/>
      <c r="P660" s="57"/>
      <c r="Q660" s="17" t="s">
        <v>19</v>
      </c>
      <c r="R660" s="70" t="str">
        <f>HYPERLINK("http://search.books.com.tw/search/query/key/9789862894361/cat/all
","
9789862894361")</f>
        <v xml:space="preserve">
9789862894361</v>
      </c>
    </row>
    <row r="661" spans="1:18" hidden="1" x14ac:dyDescent="0.25">
      <c r="A661" s="1">
        <v>657</v>
      </c>
      <c r="B661" s="56" t="s">
        <v>2423</v>
      </c>
      <c r="C661" s="57" t="s">
        <v>2424</v>
      </c>
      <c r="D661" s="57" t="s">
        <v>1993</v>
      </c>
      <c r="E661" s="58" t="s">
        <v>368</v>
      </c>
      <c r="F661" s="58" t="s">
        <v>2425</v>
      </c>
      <c r="G661" s="58"/>
      <c r="H661" s="58"/>
      <c r="I661" s="57">
        <v>350</v>
      </c>
      <c r="J661" s="79">
        <f t="shared" si="24"/>
        <v>273</v>
      </c>
      <c r="K661" s="59"/>
      <c r="L661" s="84">
        <f t="shared" si="25"/>
        <v>0</v>
      </c>
      <c r="M661" s="60" t="s">
        <v>1856</v>
      </c>
      <c r="N661" s="57"/>
      <c r="O661" s="57"/>
      <c r="P661" s="57"/>
      <c r="Q661" s="17" t="s">
        <v>19</v>
      </c>
      <c r="R661" s="70" t="str">
        <f>HYPERLINK("http://search.books.com.tw/search/query/key/9789863024583/cat/all
","
9789863024583")</f>
        <v xml:space="preserve">
9789863024583</v>
      </c>
    </row>
    <row r="662" spans="1:18" ht="49.5" hidden="1" x14ac:dyDescent="0.25">
      <c r="A662" s="1">
        <v>658</v>
      </c>
      <c r="B662" s="56" t="s">
        <v>2426</v>
      </c>
      <c r="C662" s="57" t="s">
        <v>2427</v>
      </c>
      <c r="D662" s="57" t="s">
        <v>1993</v>
      </c>
      <c r="E662" s="58" t="s">
        <v>368</v>
      </c>
      <c r="F662" s="58" t="s">
        <v>2428</v>
      </c>
      <c r="G662" s="58"/>
      <c r="H662" s="58"/>
      <c r="I662" s="57">
        <v>480</v>
      </c>
      <c r="J662" s="79">
        <f t="shared" si="24"/>
        <v>374.4</v>
      </c>
      <c r="K662" s="59"/>
      <c r="L662" s="84">
        <f t="shared" si="25"/>
        <v>0</v>
      </c>
      <c r="M662" s="60" t="s">
        <v>1856</v>
      </c>
      <c r="N662" s="57"/>
      <c r="O662" s="57"/>
      <c r="P662" s="57"/>
      <c r="Q662" s="17" t="s">
        <v>19</v>
      </c>
      <c r="R662" s="70" t="str">
        <f>HYPERLINK("http://search.books.com.tw/search/query/key/9789863024644/cat/all
","
9789863024644")</f>
        <v xml:space="preserve">
9789863024644</v>
      </c>
    </row>
    <row r="663" spans="1:18" hidden="1" x14ac:dyDescent="0.25">
      <c r="A663" s="1">
        <v>659</v>
      </c>
      <c r="B663" s="56" t="s">
        <v>2429</v>
      </c>
      <c r="C663" s="57" t="s">
        <v>2430</v>
      </c>
      <c r="D663" s="57" t="s">
        <v>1808</v>
      </c>
      <c r="E663" s="58" t="s">
        <v>363</v>
      </c>
      <c r="F663" s="58" t="s">
        <v>2431</v>
      </c>
      <c r="G663" s="58"/>
      <c r="H663" s="58"/>
      <c r="I663" s="57">
        <v>530</v>
      </c>
      <c r="J663" s="79">
        <f t="shared" si="24"/>
        <v>413.4</v>
      </c>
      <c r="K663" s="59"/>
      <c r="L663" s="84">
        <f t="shared" si="25"/>
        <v>0</v>
      </c>
      <c r="M663" s="60" t="s">
        <v>2368</v>
      </c>
      <c r="N663" s="57"/>
      <c r="O663" s="57"/>
      <c r="P663" s="57"/>
      <c r="Q663" s="17" t="s">
        <v>19</v>
      </c>
      <c r="R663" s="70" t="str">
        <f>HYPERLINK("http://search.books.com.tw/search/query/key/9789888258888/cat/all
","
9789888258888")</f>
        <v xml:space="preserve">
9789888258888</v>
      </c>
    </row>
    <row r="664" spans="1:18" hidden="1" x14ac:dyDescent="0.25">
      <c r="A664" s="1">
        <v>660</v>
      </c>
      <c r="B664" s="56" t="s">
        <v>2432</v>
      </c>
      <c r="C664" s="57" t="s">
        <v>2433</v>
      </c>
      <c r="D664" s="57" t="s">
        <v>2434</v>
      </c>
      <c r="E664" s="58" t="s">
        <v>363</v>
      </c>
      <c r="F664" s="58" t="s">
        <v>2435</v>
      </c>
      <c r="G664" s="58"/>
      <c r="H664" s="58"/>
      <c r="I664" s="57">
        <v>380</v>
      </c>
      <c r="J664" s="79">
        <f t="shared" si="24"/>
        <v>296.39999999999998</v>
      </c>
      <c r="K664" s="59"/>
      <c r="L664" s="84">
        <f t="shared" si="25"/>
        <v>0</v>
      </c>
      <c r="M664" s="60" t="s">
        <v>2368</v>
      </c>
      <c r="N664" s="57"/>
      <c r="O664" s="57"/>
      <c r="P664" s="57"/>
      <c r="Q664" s="17" t="s">
        <v>19</v>
      </c>
      <c r="R664" s="70" t="str">
        <f>HYPERLINK("http://search.books.com.tw/search/query/key/9789869688666/cat/all
","
9789869688666")</f>
        <v xml:space="preserve">
9789869688666</v>
      </c>
    </row>
    <row r="665" spans="1:18" hidden="1" x14ac:dyDescent="0.25">
      <c r="A665" s="1">
        <v>661</v>
      </c>
      <c r="B665" s="56" t="s">
        <v>2436</v>
      </c>
      <c r="C665" s="57" t="s">
        <v>2437</v>
      </c>
      <c r="D665" s="57" t="s">
        <v>2438</v>
      </c>
      <c r="E665" s="58" t="s">
        <v>363</v>
      </c>
      <c r="F665" s="58" t="s">
        <v>2439</v>
      </c>
      <c r="G665" s="58"/>
      <c r="H665" s="58"/>
      <c r="I665" s="57">
        <v>320</v>
      </c>
      <c r="J665" s="79">
        <f t="shared" si="24"/>
        <v>249.6</v>
      </c>
      <c r="K665" s="59"/>
      <c r="L665" s="84">
        <f t="shared" si="25"/>
        <v>0</v>
      </c>
      <c r="M665" s="60" t="s">
        <v>2368</v>
      </c>
      <c r="N665" s="57"/>
      <c r="O665" s="57"/>
      <c r="P665" s="57"/>
      <c r="Q665" s="17" t="s">
        <v>19</v>
      </c>
      <c r="R665" s="70" t="str">
        <f>HYPERLINK("http://search.books.com.tw/search/query/key/9789578431782/cat/all
","
9789578431782")</f>
        <v xml:space="preserve">
9789578431782</v>
      </c>
    </row>
    <row r="666" spans="1:18" hidden="1" x14ac:dyDescent="0.25">
      <c r="A666" s="1">
        <v>662</v>
      </c>
      <c r="B666" s="56" t="s">
        <v>2440</v>
      </c>
      <c r="C666" s="57" t="s">
        <v>2441</v>
      </c>
      <c r="D666" s="57" t="s">
        <v>2438</v>
      </c>
      <c r="E666" s="58" t="s">
        <v>363</v>
      </c>
      <c r="F666" s="58" t="s">
        <v>2442</v>
      </c>
      <c r="G666" s="58"/>
      <c r="H666" s="58"/>
      <c r="I666" s="57">
        <v>360</v>
      </c>
      <c r="J666" s="79">
        <f t="shared" si="24"/>
        <v>280.8</v>
      </c>
      <c r="K666" s="59"/>
      <c r="L666" s="84">
        <f t="shared" si="25"/>
        <v>0</v>
      </c>
      <c r="M666" s="60" t="s">
        <v>2368</v>
      </c>
      <c r="N666" s="57"/>
      <c r="O666" s="57"/>
      <c r="P666" s="57"/>
      <c r="Q666" s="17" t="s">
        <v>19</v>
      </c>
      <c r="R666" s="70" t="str">
        <f>HYPERLINK("http://search.books.com.tw/search/query/key/9789578431775/cat/all
","
9789578431775")</f>
        <v xml:space="preserve">
9789578431775</v>
      </c>
    </row>
    <row r="667" spans="1:18" hidden="1" x14ac:dyDescent="0.25">
      <c r="A667" s="1">
        <v>663</v>
      </c>
      <c r="B667" s="56" t="s">
        <v>2443</v>
      </c>
      <c r="C667" s="57" t="s">
        <v>2444</v>
      </c>
      <c r="D667" s="57" t="s">
        <v>2438</v>
      </c>
      <c r="E667" s="58" t="s">
        <v>363</v>
      </c>
      <c r="F667" s="58" t="s">
        <v>2445</v>
      </c>
      <c r="G667" s="58"/>
      <c r="H667" s="58"/>
      <c r="I667" s="57">
        <v>350</v>
      </c>
      <c r="J667" s="79">
        <f t="shared" si="24"/>
        <v>273</v>
      </c>
      <c r="K667" s="59"/>
      <c r="L667" s="84">
        <f t="shared" si="25"/>
        <v>0</v>
      </c>
      <c r="M667" s="60" t="s">
        <v>2368</v>
      </c>
      <c r="N667" s="57"/>
      <c r="O667" s="57"/>
      <c r="P667" s="57"/>
      <c r="Q667" s="17" t="s">
        <v>19</v>
      </c>
      <c r="R667" s="70" t="str">
        <f>HYPERLINK("http://search.books.com.tw/search/query/key/9789869683012/cat/all
","
9789869683012")</f>
        <v xml:space="preserve">
9789869683012</v>
      </c>
    </row>
    <row r="668" spans="1:18" hidden="1" x14ac:dyDescent="0.25">
      <c r="A668" s="1">
        <v>664</v>
      </c>
      <c r="B668" s="56" t="s">
        <v>2446</v>
      </c>
      <c r="C668" s="57" t="s">
        <v>2447</v>
      </c>
      <c r="D668" s="57" t="s">
        <v>2448</v>
      </c>
      <c r="E668" s="58" t="s">
        <v>368</v>
      </c>
      <c r="F668" s="58" t="s">
        <v>2449</v>
      </c>
      <c r="G668" s="58"/>
      <c r="H668" s="58"/>
      <c r="I668" s="57">
        <v>380</v>
      </c>
      <c r="J668" s="79">
        <f t="shared" si="24"/>
        <v>296.39999999999998</v>
      </c>
      <c r="K668" s="59"/>
      <c r="L668" s="84">
        <f t="shared" si="25"/>
        <v>0</v>
      </c>
      <c r="M668" s="60" t="s">
        <v>2450</v>
      </c>
      <c r="N668" s="57"/>
      <c r="O668" s="57"/>
      <c r="P668" s="57"/>
      <c r="Q668" s="17" t="s">
        <v>19</v>
      </c>
      <c r="R668" s="70" t="str">
        <f>HYPERLINK("http://search.books.com.tw/search/query/key/9789863733928/cat/all
","
9789863733928")</f>
        <v xml:space="preserve">
9789863733928</v>
      </c>
    </row>
    <row r="669" spans="1:18" hidden="1" x14ac:dyDescent="0.25">
      <c r="A669" s="1">
        <v>665</v>
      </c>
      <c r="B669" s="56" t="s">
        <v>2451</v>
      </c>
      <c r="C669" s="57" t="s">
        <v>2452</v>
      </c>
      <c r="D669" s="57" t="s">
        <v>2448</v>
      </c>
      <c r="E669" s="58" t="s">
        <v>368</v>
      </c>
      <c r="F669" s="58" t="s">
        <v>2453</v>
      </c>
      <c r="G669" s="58"/>
      <c r="H669" s="58"/>
      <c r="I669" s="57">
        <v>380</v>
      </c>
      <c r="J669" s="79">
        <f t="shared" si="24"/>
        <v>296.39999999999998</v>
      </c>
      <c r="K669" s="59"/>
      <c r="L669" s="84">
        <f t="shared" si="25"/>
        <v>0</v>
      </c>
      <c r="M669" s="60" t="s">
        <v>2450</v>
      </c>
      <c r="N669" s="57"/>
      <c r="O669" s="57"/>
      <c r="P669" s="57"/>
      <c r="Q669" s="17" t="s">
        <v>19</v>
      </c>
      <c r="R669" s="70" t="str">
        <f>HYPERLINK("http://search.books.com.tw/search/query/key/9789864139859/cat/all
","
9789864139859")</f>
        <v xml:space="preserve">
9789864139859</v>
      </c>
    </row>
    <row r="670" spans="1:18" ht="49.5" hidden="1" x14ac:dyDescent="0.25">
      <c r="A670" s="1">
        <v>666</v>
      </c>
      <c r="B670" s="56" t="s">
        <v>2454</v>
      </c>
      <c r="C670" s="57" t="s">
        <v>2455</v>
      </c>
      <c r="D670" s="57" t="s">
        <v>470</v>
      </c>
      <c r="E670" s="58" t="s">
        <v>368</v>
      </c>
      <c r="F670" s="58" t="s">
        <v>2456</v>
      </c>
      <c r="G670" s="58"/>
      <c r="H670" s="58"/>
      <c r="I670" s="57">
        <v>420</v>
      </c>
      <c r="J670" s="79">
        <f t="shared" si="24"/>
        <v>327.60000000000002</v>
      </c>
      <c r="K670" s="59"/>
      <c r="L670" s="84">
        <f t="shared" si="25"/>
        <v>0</v>
      </c>
      <c r="M670" s="60" t="s">
        <v>2450</v>
      </c>
      <c r="N670" s="57"/>
      <c r="O670" s="57"/>
      <c r="P670" s="57"/>
      <c r="Q670" s="17" t="s">
        <v>19</v>
      </c>
      <c r="R670" s="70" t="str">
        <f>HYPERLINK("http://search.books.com.tw/search/query/key/9789576580840/cat/all
","
9789576580840")</f>
        <v xml:space="preserve">
9789576580840</v>
      </c>
    </row>
    <row r="671" spans="1:18" ht="33" hidden="1" x14ac:dyDescent="0.25">
      <c r="A671" s="1">
        <v>667</v>
      </c>
      <c r="B671" s="56" t="s">
        <v>2457</v>
      </c>
      <c r="C671" s="57" t="s">
        <v>2458</v>
      </c>
      <c r="D671" s="57" t="s">
        <v>470</v>
      </c>
      <c r="E671" s="58" t="s">
        <v>368</v>
      </c>
      <c r="F671" s="58" t="s">
        <v>2459</v>
      </c>
      <c r="G671" s="58"/>
      <c r="H671" s="58"/>
      <c r="I671" s="57">
        <v>650</v>
      </c>
      <c r="J671" s="79">
        <f t="shared" si="24"/>
        <v>507</v>
      </c>
      <c r="K671" s="59"/>
      <c r="L671" s="84">
        <f t="shared" si="25"/>
        <v>0</v>
      </c>
      <c r="M671" s="60" t="s">
        <v>2450</v>
      </c>
      <c r="N671" s="57" t="s">
        <v>2460</v>
      </c>
      <c r="O671" s="57"/>
      <c r="P671" s="57"/>
      <c r="Q671" s="17" t="s">
        <v>19</v>
      </c>
      <c r="R671" s="70" t="str">
        <f>HYPERLINK("http://search.books.com.tw/search/query/key/9789576580772/cat/all
","
9789576580772")</f>
        <v xml:space="preserve">
9789576580772</v>
      </c>
    </row>
    <row r="672" spans="1:18" ht="66" hidden="1" x14ac:dyDescent="0.25">
      <c r="A672" s="1">
        <v>668</v>
      </c>
      <c r="B672" s="56" t="s">
        <v>2461</v>
      </c>
      <c r="C672" s="57" t="s">
        <v>2462</v>
      </c>
      <c r="D672" s="57" t="s">
        <v>470</v>
      </c>
      <c r="E672" s="58" t="s">
        <v>368</v>
      </c>
      <c r="F672" s="58" t="s">
        <v>2463</v>
      </c>
      <c r="G672" s="58"/>
      <c r="H672" s="58"/>
      <c r="I672" s="57">
        <v>420</v>
      </c>
      <c r="J672" s="79">
        <f t="shared" si="24"/>
        <v>327.60000000000002</v>
      </c>
      <c r="K672" s="59"/>
      <c r="L672" s="84">
        <f t="shared" si="25"/>
        <v>0</v>
      </c>
      <c r="M672" s="60" t="s">
        <v>2450</v>
      </c>
      <c r="N672" s="56" t="s">
        <v>2464</v>
      </c>
      <c r="O672" s="57"/>
      <c r="P672" s="57"/>
      <c r="Q672" s="17" t="s">
        <v>19</v>
      </c>
      <c r="R672" s="70" t="str">
        <f>HYPERLINK("http://search.books.com.tw/search/query/key/9789576580949/cat/all
","
9789576580949")</f>
        <v xml:space="preserve">
9789576580949</v>
      </c>
    </row>
    <row r="673" spans="1:18" ht="33" hidden="1" x14ac:dyDescent="0.25">
      <c r="A673" s="1">
        <v>669</v>
      </c>
      <c r="B673" s="56" t="s">
        <v>2465</v>
      </c>
      <c r="C673" s="57" t="s">
        <v>2466</v>
      </c>
      <c r="D673" s="57" t="s">
        <v>470</v>
      </c>
      <c r="E673" s="58" t="s">
        <v>363</v>
      </c>
      <c r="F673" s="58" t="s">
        <v>2467</v>
      </c>
      <c r="G673" s="58"/>
      <c r="H673" s="58"/>
      <c r="I673" s="57">
        <v>340</v>
      </c>
      <c r="J673" s="79">
        <f t="shared" si="24"/>
        <v>265.2</v>
      </c>
      <c r="K673" s="59"/>
      <c r="L673" s="84">
        <f t="shared" si="25"/>
        <v>0</v>
      </c>
      <c r="M673" s="60" t="s">
        <v>2468</v>
      </c>
      <c r="N673" s="57"/>
      <c r="O673" s="57"/>
      <c r="P673" s="57"/>
      <c r="Q673" s="17" t="s">
        <v>19</v>
      </c>
      <c r="R673" s="70" t="str">
        <f>HYPERLINK("http://search.books.com.tw/search/query/key/9789576580697/cat/all
","
9789576580697")</f>
        <v xml:space="preserve">
9789576580697</v>
      </c>
    </row>
    <row r="674" spans="1:18" ht="33" hidden="1" x14ac:dyDescent="0.25">
      <c r="A674" s="1">
        <v>670</v>
      </c>
      <c r="B674" s="56" t="s">
        <v>2469</v>
      </c>
      <c r="C674" s="57" t="s">
        <v>2470</v>
      </c>
      <c r="D674" s="57" t="s">
        <v>470</v>
      </c>
      <c r="E674" s="58" t="s">
        <v>368</v>
      </c>
      <c r="F674" s="58" t="s">
        <v>2471</v>
      </c>
      <c r="G674" s="58"/>
      <c r="H674" s="58"/>
      <c r="I674" s="57">
        <v>340</v>
      </c>
      <c r="J674" s="79">
        <f t="shared" si="24"/>
        <v>265.2</v>
      </c>
      <c r="K674" s="59"/>
      <c r="L674" s="84">
        <f t="shared" si="25"/>
        <v>0</v>
      </c>
      <c r="M674" s="60" t="s">
        <v>2450</v>
      </c>
      <c r="N674" s="57"/>
      <c r="O674" s="57"/>
      <c r="P674" s="57"/>
      <c r="Q674" s="17" t="s">
        <v>19</v>
      </c>
      <c r="R674" s="70" t="str">
        <f>HYPERLINK("http://search.books.com.tw/search/query/key/9789576580765/cat/all
","
9789576580765")</f>
        <v xml:space="preserve">
9789576580765</v>
      </c>
    </row>
    <row r="675" spans="1:18" ht="33" hidden="1" x14ac:dyDescent="0.25">
      <c r="A675" s="1">
        <v>671</v>
      </c>
      <c r="B675" s="56" t="s">
        <v>2472</v>
      </c>
      <c r="C675" s="57" t="s">
        <v>2473</v>
      </c>
      <c r="D675" s="57" t="s">
        <v>2474</v>
      </c>
      <c r="E675" s="58" t="s">
        <v>363</v>
      </c>
      <c r="F675" s="58" t="s">
        <v>2475</v>
      </c>
      <c r="G675" s="58"/>
      <c r="H675" s="58"/>
      <c r="I675" s="57">
        <v>420</v>
      </c>
      <c r="J675" s="79">
        <f t="shared" si="24"/>
        <v>327.60000000000002</v>
      </c>
      <c r="K675" s="59"/>
      <c r="L675" s="84">
        <f t="shared" si="25"/>
        <v>0</v>
      </c>
      <c r="M675" s="60" t="s">
        <v>2468</v>
      </c>
      <c r="N675" s="57"/>
      <c r="O675" s="57"/>
      <c r="P675" s="57"/>
      <c r="Q675" s="17" t="s">
        <v>19</v>
      </c>
      <c r="R675" s="70" t="str">
        <f>HYPERLINK("http://search.books.com.tw/search/query/key/9789868826366/cat/all
","
9789868826366")</f>
        <v xml:space="preserve">
9789868826366</v>
      </c>
    </row>
    <row r="676" spans="1:18" hidden="1" x14ac:dyDescent="0.25">
      <c r="A676" s="1">
        <v>672</v>
      </c>
      <c r="B676" s="56" t="s">
        <v>2476</v>
      </c>
      <c r="C676" s="57" t="s">
        <v>2477</v>
      </c>
      <c r="D676" s="57" t="s">
        <v>2478</v>
      </c>
      <c r="E676" s="58" t="s">
        <v>359</v>
      </c>
      <c r="F676" s="58" t="s">
        <v>2479</v>
      </c>
      <c r="G676" s="58"/>
      <c r="H676" s="58"/>
      <c r="I676" s="57">
        <v>400</v>
      </c>
      <c r="J676" s="79">
        <f t="shared" si="24"/>
        <v>312</v>
      </c>
      <c r="K676" s="59"/>
      <c r="L676" s="84">
        <f t="shared" si="25"/>
        <v>0</v>
      </c>
      <c r="M676" s="60" t="s">
        <v>2450</v>
      </c>
      <c r="N676" s="57"/>
      <c r="O676" s="57"/>
      <c r="P676" s="57"/>
      <c r="Q676" s="17" t="s">
        <v>19</v>
      </c>
      <c r="R676" s="70" t="str">
        <f>HYPERLINK("http://search.books.com.tw/search/query/key/9789869526913/cat/all
","
9789869526913")</f>
        <v xml:space="preserve">
9789869526913</v>
      </c>
    </row>
    <row r="677" spans="1:18" ht="33" hidden="1" x14ac:dyDescent="0.25">
      <c r="A677" s="1">
        <v>673</v>
      </c>
      <c r="B677" s="56" t="s">
        <v>2480</v>
      </c>
      <c r="C677" s="57" t="s">
        <v>2481</v>
      </c>
      <c r="D677" s="57" t="s">
        <v>2482</v>
      </c>
      <c r="E677" s="58" t="s">
        <v>363</v>
      </c>
      <c r="F677" s="58" t="s">
        <v>2483</v>
      </c>
      <c r="G677" s="58"/>
      <c r="H677" s="58"/>
      <c r="I677" s="57">
        <v>380</v>
      </c>
      <c r="J677" s="79">
        <f t="shared" si="24"/>
        <v>296.39999999999998</v>
      </c>
      <c r="K677" s="59"/>
      <c r="L677" s="84">
        <f t="shared" si="25"/>
        <v>0</v>
      </c>
      <c r="M677" s="60" t="s">
        <v>2468</v>
      </c>
      <c r="N677" s="57"/>
      <c r="O677" s="57"/>
      <c r="P677" s="57"/>
      <c r="Q677" s="17" t="s">
        <v>19</v>
      </c>
      <c r="R677" s="70" t="str">
        <f>HYPERLINK("http://search.books.com.tw/search/query/key/9789869667272/cat/all
","
9789869667272")</f>
        <v xml:space="preserve">
9789869667272</v>
      </c>
    </row>
    <row r="678" spans="1:18" ht="49.5" hidden="1" x14ac:dyDescent="0.25">
      <c r="A678" s="1">
        <v>674</v>
      </c>
      <c r="B678" s="56" t="s">
        <v>2484</v>
      </c>
      <c r="C678" s="57" t="s">
        <v>2485</v>
      </c>
      <c r="D678" s="57" t="s">
        <v>1378</v>
      </c>
      <c r="E678" s="58" t="s">
        <v>363</v>
      </c>
      <c r="F678" s="58" t="s">
        <v>2486</v>
      </c>
      <c r="G678" s="58"/>
      <c r="H678" s="58"/>
      <c r="I678" s="57">
        <v>280</v>
      </c>
      <c r="J678" s="79">
        <f t="shared" si="24"/>
        <v>218.4</v>
      </c>
      <c r="K678" s="59"/>
      <c r="L678" s="84">
        <f t="shared" si="25"/>
        <v>0</v>
      </c>
      <c r="M678" s="60" t="s">
        <v>2468</v>
      </c>
      <c r="N678" s="57" t="s">
        <v>2487</v>
      </c>
      <c r="O678" s="57"/>
      <c r="P678" s="57"/>
      <c r="Q678" s="17" t="s">
        <v>19</v>
      </c>
      <c r="R678" s="70" t="str">
        <f>HYPERLINK("http://search.books.com.tw/search/query/key/9789869689649/cat/all
","
9789869689649")</f>
        <v xml:space="preserve">
9789869689649</v>
      </c>
    </row>
    <row r="679" spans="1:18" ht="33" hidden="1" x14ac:dyDescent="0.25">
      <c r="A679" s="1">
        <v>675</v>
      </c>
      <c r="B679" s="56" t="s">
        <v>2488</v>
      </c>
      <c r="C679" s="57" t="s">
        <v>2489</v>
      </c>
      <c r="D679" s="57" t="s">
        <v>1110</v>
      </c>
      <c r="E679" s="58" t="s">
        <v>363</v>
      </c>
      <c r="F679" s="58" t="s">
        <v>2490</v>
      </c>
      <c r="G679" s="58"/>
      <c r="H679" s="58"/>
      <c r="I679" s="57">
        <v>450</v>
      </c>
      <c r="J679" s="79">
        <f t="shared" si="24"/>
        <v>351</v>
      </c>
      <c r="K679" s="59"/>
      <c r="L679" s="84">
        <f t="shared" si="25"/>
        <v>0</v>
      </c>
      <c r="M679" s="60" t="s">
        <v>2468</v>
      </c>
      <c r="N679" s="57" t="s">
        <v>2491</v>
      </c>
      <c r="O679" s="57"/>
      <c r="P679" s="57"/>
      <c r="Q679" s="17" t="s">
        <v>19</v>
      </c>
      <c r="R679" s="70" t="str">
        <f>HYPERLINK("http://search.books.com.tw/search/query/key/9789862139424/cat/all
","
9789862139424")</f>
        <v xml:space="preserve">
9789862139424</v>
      </c>
    </row>
    <row r="680" spans="1:18" ht="33" hidden="1" x14ac:dyDescent="0.25">
      <c r="A680" s="1">
        <v>676</v>
      </c>
      <c r="B680" s="56" t="s">
        <v>2492</v>
      </c>
      <c r="C680" s="57" t="s">
        <v>2493</v>
      </c>
      <c r="D680" s="57" t="s">
        <v>1117</v>
      </c>
      <c r="E680" s="58" t="s">
        <v>363</v>
      </c>
      <c r="F680" s="58" t="s">
        <v>2494</v>
      </c>
      <c r="G680" s="58"/>
      <c r="H680" s="58"/>
      <c r="I680" s="57">
        <v>360</v>
      </c>
      <c r="J680" s="79">
        <f t="shared" si="24"/>
        <v>280.8</v>
      </c>
      <c r="K680" s="59"/>
      <c r="L680" s="84">
        <f t="shared" si="25"/>
        <v>0</v>
      </c>
      <c r="M680" s="60" t="s">
        <v>2468</v>
      </c>
      <c r="N680" s="57"/>
      <c r="O680" s="57"/>
      <c r="P680" s="57"/>
      <c r="Q680" s="17" t="s">
        <v>19</v>
      </c>
      <c r="R680" s="70" t="str">
        <f>HYPERLINK("http://search.books.com.tw/search/query/key/9789863983828/cat/all
","
9789863983828")</f>
        <v xml:space="preserve">
9789863983828</v>
      </c>
    </row>
    <row r="681" spans="1:18" hidden="1" x14ac:dyDescent="0.25">
      <c r="A681" s="1">
        <v>677</v>
      </c>
      <c r="B681" s="56" t="s">
        <v>2495</v>
      </c>
      <c r="C681" s="57" t="s">
        <v>2496</v>
      </c>
      <c r="D681" s="57" t="s">
        <v>2497</v>
      </c>
      <c r="E681" s="58" t="s">
        <v>363</v>
      </c>
      <c r="F681" s="58" t="s">
        <v>2498</v>
      </c>
      <c r="G681" s="58"/>
      <c r="H681" s="58"/>
      <c r="I681" s="57">
        <v>320</v>
      </c>
      <c r="J681" s="79">
        <f t="shared" si="24"/>
        <v>249.6</v>
      </c>
      <c r="K681" s="59"/>
      <c r="L681" s="84">
        <f t="shared" si="25"/>
        <v>0</v>
      </c>
      <c r="M681" s="60" t="s">
        <v>2468</v>
      </c>
      <c r="N681" s="57" t="s">
        <v>2499</v>
      </c>
      <c r="O681" s="57"/>
      <c r="P681" s="57"/>
      <c r="Q681" s="17" t="s">
        <v>19</v>
      </c>
      <c r="R681" s="70" t="str">
        <f>HYPERLINK("http://search.books.com.tw/search/query/key/9789869662727/cat/all
","
9789869662727")</f>
        <v xml:space="preserve">
9789869662727</v>
      </c>
    </row>
    <row r="682" spans="1:18" ht="33" hidden="1" x14ac:dyDescent="0.25">
      <c r="A682" s="1">
        <v>678</v>
      </c>
      <c r="B682" s="56" t="s">
        <v>2500</v>
      </c>
      <c r="C682" s="57" t="s">
        <v>2501</v>
      </c>
      <c r="D682" s="57" t="s">
        <v>1393</v>
      </c>
      <c r="E682" s="58" t="s">
        <v>363</v>
      </c>
      <c r="F682" s="58" t="s">
        <v>2502</v>
      </c>
      <c r="G682" s="58"/>
      <c r="H682" s="58"/>
      <c r="I682" s="57">
        <v>650</v>
      </c>
      <c r="J682" s="79">
        <f t="shared" si="24"/>
        <v>507</v>
      </c>
      <c r="K682" s="59"/>
      <c r="L682" s="84">
        <f t="shared" si="25"/>
        <v>0</v>
      </c>
      <c r="M682" s="60" t="s">
        <v>2468</v>
      </c>
      <c r="N682" s="57"/>
      <c r="O682" s="57"/>
      <c r="P682" s="57"/>
      <c r="Q682" s="17" t="s">
        <v>19</v>
      </c>
      <c r="R682" s="70" t="str">
        <f>HYPERLINK("http://search.books.com.tw/search/query/key/9789867645531/cat/all
","
9789867645531")</f>
        <v xml:space="preserve">
9789867645531</v>
      </c>
    </row>
    <row r="683" spans="1:18" hidden="1" x14ac:dyDescent="0.25">
      <c r="A683" s="1">
        <v>679</v>
      </c>
      <c r="B683" s="56" t="s">
        <v>2503</v>
      </c>
      <c r="C683" s="57" t="s">
        <v>2504</v>
      </c>
      <c r="D683" s="57" t="s">
        <v>561</v>
      </c>
      <c r="E683" s="58" t="s">
        <v>368</v>
      </c>
      <c r="F683" s="58" t="s">
        <v>2505</v>
      </c>
      <c r="G683" s="58"/>
      <c r="H683" s="58"/>
      <c r="I683" s="57">
        <v>500</v>
      </c>
      <c r="J683" s="79">
        <f t="shared" si="24"/>
        <v>390</v>
      </c>
      <c r="K683" s="59"/>
      <c r="L683" s="84">
        <f t="shared" si="25"/>
        <v>0</v>
      </c>
      <c r="M683" s="60" t="s">
        <v>2450</v>
      </c>
      <c r="N683" s="57"/>
      <c r="O683" s="57"/>
      <c r="P683" s="57"/>
      <c r="Q683" s="17" t="s">
        <v>19</v>
      </c>
      <c r="R683" s="70" t="str">
        <f>HYPERLINK("http://search.books.com.tw/search/query/key/9789863843283/cat/all
","
9789863843283")</f>
        <v xml:space="preserve">
9789863843283</v>
      </c>
    </row>
    <row r="684" spans="1:18" ht="33" hidden="1" x14ac:dyDescent="0.25">
      <c r="A684" s="1">
        <v>680</v>
      </c>
      <c r="B684" s="56" t="s">
        <v>2506</v>
      </c>
      <c r="C684" s="57" t="s">
        <v>2507</v>
      </c>
      <c r="D684" s="57" t="s">
        <v>1146</v>
      </c>
      <c r="E684" s="58" t="s">
        <v>363</v>
      </c>
      <c r="F684" s="58" t="s">
        <v>2508</v>
      </c>
      <c r="G684" s="58"/>
      <c r="H684" s="58"/>
      <c r="I684" s="57">
        <v>499</v>
      </c>
      <c r="J684" s="79">
        <f t="shared" si="24"/>
        <v>389.22</v>
      </c>
      <c r="K684" s="59"/>
      <c r="L684" s="84">
        <f t="shared" si="25"/>
        <v>0</v>
      </c>
      <c r="M684" s="60" t="s">
        <v>2468</v>
      </c>
      <c r="N684" s="57"/>
      <c r="O684" s="57"/>
      <c r="P684" s="57"/>
      <c r="Q684" s="17" t="s">
        <v>19</v>
      </c>
      <c r="R684" s="70" t="str">
        <f>HYPERLINK("http://search.books.com.tw/search/query/key/9789869603058/cat/all
","
9789869603058")</f>
        <v xml:space="preserve">
9789869603058</v>
      </c>
    </row>
    <row r="685" spans="1:18" ht="33" hidden="1" x14ac:dyDescent="0.25">
      <c r="A685" s="1">
        <v>681</v>
      </c>
      <c r="B685" s="56" t="s">
        <v>2509</v>
      </c>
      <c r="C685" s="57" t="s">
        <v>2510</v>
      </c>
      <c r="D685" s="57" t="s">
        <v>2511</v>
      </c>
      <c r="E685" s="58" t="s">
        <v>363</v>
      </c>
      <c r="F685" s="58" t="s">
        <v>2512</v>
      </c>
      <c r="G685" s="58"/>
      <c r="H685" s="58"/>
      <c r="I685" s="57">
        <v>300</v>
      </c>
      <c r="J685" s="79">
        <f t="shared" si="24"/>
        <v>234</v>
      </c>
      <c r="K685" s="59"/>
      <c r="L685" s="84">
        <f t="shared" si="25"/>
        <v>0</v>
      </c>
      <c r="M685" s="60" t="s">
        <v>2450</v>
      </c>
      <c r="N685" s="57" t="s">
        <v>2513</v>
      </c>
      <c r="O685" s="57"/>
      <c r="P685" s="57"/>
      <c r="Q685" s="17" t="s">
        <v>19</v>
      </c>
      <c r="R685" s="70" t="str">
        <f>HYPERLINK("http://search.books.com.tw/search/query/key/9789861343334/cat/all
","
9789861343334")</f>
        <v xml:space="preserve">
9789861343334</v>
      </c>
    </row>
    <row r="686" spans="1:18" ht="33" hidden="1" x14ac:dyDescent="0.25">
      <c r="A686" s="1">
        <v>682</v>
      </c>
      <c r="B686" s="56" t="s">
        <v>2514</v>
      </c>
      <c r="C686" s="57" t="s">
        <v>2515</v>
      </c>
      <c r="D686" s="57" t="s">
        <v>569</v>
      </c>
      <c r="E686" s="58" t="s">
        <v>363</v>
      </c>
      <c r="F686" s="58" t="s">
        <v>2516</v>
      </c>
      <c r="G686" s="58"/>
      <c r="H686" s="58"/>
      <c r="I686" s="57">
        <v>280</v>
      </c>
      <c r="J686" s="79">
        <f t="shared" si="24"/>
        <v>218.4</v>
      </c>
      <c r="K686" s="59"/>
      <c r="L686" s="84">
        <f t="shared" si="25"/>
        <v>0</v>
      </c>
      <c r="M686" s="60" t="s">
        <v>2468</v>
      </c>
      <c r="N686" s="57"/>
      <c r="O686" s="57"/>
      <c r="P686" s="57"/>
      <c r="Q686" s="17" t="s">
        <v>19</v>
      </c>
      <c r="R686" s="70" t="str">
        <f>HYPERLINK("http://search.books.com.tw/search/query/key/9789864758470/cat/all
","
9789864758470")</f>
        <v xml:space="preserve">
9789864758470</v>
      </c>
    </row>
    <row r="687" spans="1:18" ht="33" hidden="1" x14ac:dyDescent="0.25">
      <c r="A687" s="1">
        <v>683</v>
      </c>
      <c r="B687" s="56" t="s">
        <v>2517</v>
      </c>
      <c r="C687" s="57" t="s">
        <v>2518</v>
      </c>
      <c r="D687" s="57" t="s">
        <v>569</v>
      </c>
      <c r="E687" s="58" t="s">
        <v>363</v>
      </c>
      <c r="F687" s="58" t="s">
        <v>2519</v>
      </c>
      <c r="G687" s="58"/>
      <c r="H687" s="58"/>
      <c r="I687" s="57">
        <v>320</v>
      </c>
      <c r="J687" s="79">
        <f t="shared" si="24"/>
        <v>249.6</v>
      </c>
      <c r="K687" s="59"/>
      <c r="L687" s="84">
        <f t="shared" si="25"/>
        <v>0</v>
      </c>
      <c r="M687" s="60" t="s">
        <v>2468</v>
      </c>
      <c r="N687" s="57"/>
      <c r="O687" s="57"/>
      <c r="P687" s="57"/>
      <c r="Q687" s="17" t="s">
        <v>19</v>
      </c>
      <c r="R687" s="70" t="str">
        <f>HYPERLINK("http://search.books.com.tw/search/query/key/9789864758555/cat/all
","
9789864758555")</f>
        <v xml:space="preserve">
9789864758555</v>
      </c>
    </row>
    <row r="688" spans="1:18" ht="49.5" hidden="1" x14ac:dyDescent="0.25">
      <c r="A688" s="1">
        <v>684</v>
      </c>
      <c r="B688" s="56" t="s">
        <v>2520</v>
      </c>
      <c r="C688" s="57" t="s">
        <v>2521</v>
      </c>
      <c r="D688" s="57" t="s">
        <v>569</v>
      </c>
      <c r="E688" s="58" t="s">
        <v>363</v>
      </c>
      <c r="F688" s="58" t="s">
        <v>2522</v>
      </c>
      <c r="G688" s="58"/>
      <c r="H688" s="58"/>
      <c r="I688" s="57">
        <v>280</v>
      </c>
      <c r="J688" s="79">
        <f t="shared" si="24"/>
        <v>218.4</v>
      </c>
      <c r="K688" s="59"/>
      <c r="L688" s="84">
        <f t="shared" si="25"/>
        <v>0</v>
      </c>
      <c r="M688" s="60" t="s">
        <v>2468</v>
      </c>
      <c r="N688" s="57"/>
      <c r="O688" s="57"/>
      <c r="P688" s="57"/>
      <c r="Q688" s="17" t="s">
        <v>19</v>
      </c>
      <c r="R688" s="70" t="str">
        <f>HYPERLINK("http://search.books.com.tw/search/query/key/9789864758579/cat/all
","
9789864758579")</f>
        <v xml:space="preserve">
9789864758579</v>
      </c>
    </row>
    <row r="689" spans="1:18" ht="49.5" hidden="1" x14ac:dyDescent="0.25">
      <c r="A689" s="1">
        <v>685</v>
      </c>
      <c r="B689" s="56" t="s">
        <v>2523</v>
      </c>
      <c r="C689" s="57" t="s">
        <v>2524</v>
      </c>
      <c r="D689" s="57" t="s">
        <v>1178</v>
      </c>
      <c r="E689" s="58" t="s">
        <v>368</v>
      </c>
      <c r="F689" s="58" t="s">
        <v>2525</v>
      </c>
      <c r="G689" s="58"/>
      <c r="H689" s="58"/>
      <c r="I689" s="57">
        <v>280</v>
      </c>
      <c r="J689" s="79">
        <f t="shared" si="24"/>
        <v>218.4</v>
      </c>
      <c r="K689" s="59"/>
      <c r="L689" s="84">
        <f t="shared" si="25"/>
        <v>0</v>
      </c>
      <c r="M689" s="60" t="s">
        <v>2450</v>
      </c>
      <c r="N689" s="57"/>
      <c r="O689" s="57"/>
      <c r="P689" s="57"/>
      <c r="Q689" s="17" t="s">
        <v>19</v>
      </c>
      <c r="R689" s="70" t="str">
        <f>HYPERLINK("http://search.books.com.tw/search/query/key/9789869704663/cat/all
","
9789869704663")</f>
        <v xml:space="preserve">
9789869704663</v>
      </c>
    </row>
    <row r="690" spans="1:18" ht="33" hidden="1" x14ac:dyDescent="0.25">
      <c r="A690" s="1">
        <v>686</v>
      </c>
      <c r="B690" s="56" t="s">
        <v>2526</v>
      </c>
      <c r="C690" s="57" t="s">
        <v>2527</v>
      </c>
      <c r="D690" s="57" t="s">
        <v>956</v>
      </c>
      <c r="E690" s="58" t="s">
        <v>363</v>
      </c>
      <c r="F690" s="58" t="s">
        <v>2528</v>
      </c>
      <c r="G690" s="58"/>
      <c r="H690" s="58"/>
      <c r="I690" s="57">
        <v>320</v>
      </c>
      <c r="J690" s="79">
        <f t="shared" si="24"/>
        <v>249.6</v>
      </c>
      <c r="K690" s="59"/>
      <c r="L690" s="84">
        <f t="shared" si="25"/>
        <v>0</v>
      </c>
      <c r="M690" s="60" t="s">
        <v>2450</v>
      </c>
      <c r="N690" s="57"/>
      <c r="O690" s="57"/>
      <c r="P690" s="57"/>
      <c r="Q690" s="17" t="s">
        <v>19</v>
      </c>
      <c r="R690" s="70" t="str">
        <f>HYPERLINK("http://search.books.com.tw/search/query/key/9789579164634/cat/all
","
9789579164634")</f>
        <v xml:space="preserve">
9789579164634</v>
      </c>
    </row>
    <row r="691" spans="1:18" ht="49.5" hidden="1" x14ac:dyDescent="0.25">
      <c r="A691" s="1">
        <v>687</v>
      </c>
      <c r="B691" s="56" t="s">
        <v>2529</v>
      </c>
      <c r="C691" s="57" t="s">
        <v>2530</v>
      </c>
      <c r="D691" s="57" t="s">
        <v>956</v>
      </c>
      <c r="E691" s="58" t="s">
        <v>368</v>
      </c>
      <c r="F691" s="58" t="s">
        <v>2531</v>
      </c>
      <c r="G691" s="58"/>
      <c r="H691" s="58"/>
      <c r="I691" s="57">
        <v>340</v>
      </c>
      <c r="J691" s="79">
        <f t="shared" si="24"/>
        <v>265.2</v>
      </c>
      <c r="K691" s="59"/>
      <c r="L691" s="84">
        <f t="shared" si="25"/>
        <v>0</v>
      </c>
      <c r="M691" s="60" t="s">
        <v>2450</v>
      </c>
      <c r="N691" s="57"/>
      <c r="O691" s="57"/>
      <c r="P691" s="57"/>
      <c r="Q691" s="17" t="s">
        <v>19</v>
      </c>
      <c r="R691" s="70" t="str">
        <f>HYPERLINK("http://search.books.com.tw/search/query/key/9789579164702/cat/all
","
9789579164702")</f>
        <v xml:space="preserve">
9789579164702</v>
      </c>
    </row>
    <row r="692" spans="1:18" ht="66" hidden="1" x14ac:dyDescent="0.25">
      <c r="A692" s="1">
        <v>688</v>
      </c>
      <c r="B692" s="56" t="s">
        <v>2532</v>
      </c>
      <c r="C692" s="57" t="s">
        <v>2455</v>
      </c>
      <c r="D692" s="57" t="s">
        <v>956</v>
      </c>
      <c r="E692" s="58" t="s">
        <v>363</v>
      </c>
      <c r="F692" s="58" t="s">
        <v>2533</v>
      </c>
      <c r="G692" s="58"/>
      <c r="H692" s="58"/>
      <c r="I692" s="57">
        <v>340</v>
      </c>
      <c r="J692" s="79">
        <f t="shared" si="24"/>
        <v>265.2</v>
      </c>
      <c r="K692" s="59"/>
      <c r="L692" s="84">
        <f t="shared" si="25"/>
        <v>0</v>
      </c>
      <c r="M692" s="60" t="s">
        <v>2468</v>
      </c>
      <c r="N692" s="57"/>
      <c r="O692" s="57"/>
      <c r="P692" s="57"/>
      <c r="Q692" s="17" t="s">
        <v>19</v>
      </c>
      <c r="R692" s="70" t="str">
        <f>HYPERLINK("http://search.books.com.tw/search/query/key/9789579164672/cat/all
","
9789579164672")</f>
        <v xml:space="preserve">
9789579164672</v>
      </c>
    </row>
    <row r="693" spans="1:18" ht="49.5" hidden="1" x14ac:dyDescent="0.25">
      <c r="A693" s="1">
        <v>689</v>
      </c>
      <c r="B693" s="56" t="s">
        <v>2534</v>
      </c>
      <c r="C693" s="57" t="s">
        <v>2535</v>
      </c>
      <c r="D693" s="57" t="s">
        <v>956</v>
      </c>
      <c r="E693" s="58" t="s">
        <v>363</v>
      </c>
      <c r="F693" s="58" t="s">
        <v>2536</v>
      </c>
      <c r="G693" s="58"/>
      <c r="H693" s="58"/>
      <c r="I693" s="57">
        <v>320</v>
      </c>
      <c r="J693" s="79">
        <f t="shared" si="24"/>
        <v>249.6</v>
      </c>
      <c r="K693" s="59"/>
      <c r="L693" s="84">
        <f t="shared" si="25"/>
        <v>0</v>
      </c>
      <c r="M693" s="60" t="s">
        <v>2450</v>
      </c>
      <c r="N693" s="57"/>
      <c r="O693" s="57"/>
      <c r="P693" s="57"/>
      <c r="Q693" s="17" t="s">
        <v>19</v>
      </c>
      <c r="R693" s="70" t="str">
        <f>HYPERLINK("http://search.books.com.tw/search/query/key/9789579164573/cat/all
","
9789579164573")</f>
        <v xml:space="preserve">
9789579164573</v>
      </c>
    </row>
    <row r="694" spans="1:18" hidden="1" x14ac:dyDescent="0.25">
      <c r="A694" s="1">
        <v>690</v>
      </c>
      <c r="B694" s="56" t="s">
        <v>2537</v>
      </c>
      <c r="C694" s="57" t="s">
        <v>2538</v>
      </c>
      <c r="D694" s="57" t="s">
        <v>1526</v>
      </c>
      <c r="E694" s="58" t="s">
        <v>363</v>
      </c>
      <c r="F694" s="58" t="s">
        <v>2539</v>
      </c>
      <c r="G694" s="58"/>
      <c r="H694" s="58"/>
      <c r="I694" s="57">
        <v>380</v>
      </c>
      <c r="J694" s="79">
        <f t="shared" si="24"/>
        <v>296.39999999999998</v>
      </c>
      <c r="K694" s="59"/>
      <c r="L694" s="84">
        <f t="shared" si="25"/>
        <v>0</v>
      </c>
      <c r="M694" s="60" t="s">
        <v>2468</v>
      </c>
      <c r="N694" s="57"/>
      <c r="O694" s="57"/>
      <c r="P694" s="57"/>
      <c r="Q694" s="17" t="s">
        <v>19</v>
      </c>
      <c r="R694" s="70" t="str">
        <f>HYPERLINK("http://search.books.com.tw/search/query/key/9789863895633/cat/all
","
9789863895633")</f>
        <v xml:space="preserve">
9789863895633</v>
      </c>
    </row>
    <row r="695" spans="1:18" hidden="1" x14ac:dyDescent="0.25">
      <c r="A695" s="1">
        <v>691</v>
      </c>
      <c r="B695" s="56" t="s">
        <v>2540</v>
      </c>
      <c r="C695" s="57" t="s">
        <v>2541</v>
      </c>
      <c r="D695" s="57" t="s">
        <v>2270</v>
      </c>
      <c r="E695" s="58" t="s">
        <v>363</v>
      </c>
      <c r="F695" s="58" t="s">
        <v>2542</v>
      </c>
      <c r="G695" s="58"/>
      <c r="H695" s="58"/>
      <c r="I695" s="57">
        <v>350</v>
      </c>
      <c r="J695" s="79">
        <f t="shared" si="24"/>
        <v>273</v>
      </c>
      <c r="K695" s="59"/>
      <c r="L695" s="84">
        <f t="shared" si="25"/>
        <v>0</v>
      </c>
      <c r="M695" s="60" t="s">
        <v>2450</v>
      </c>
      <c r="N695" s="57"/>
      <c r="O695" s="57"/>
      <c r="P695" s="57"/>
      <c r="Q695" s="17" t="s">
        <v>19</v>
      </c>
      <c r="R695" s="70" t="str">
        <f>HYPERLINK("http://search.books.com.tw/search/query/key/9789869692731/cat/all
","
9789869692731")</f>
        <v xml:space="preserve">
9789869692731</v>
      </c>
    </row>
    <row r="696" spans="1:18" ht="33" hidden="1" x14ac:dyDescent="0.25">
      <c r="A696" s="1">
        <v>692</v>
      </c>
      <c r="B696" s="56" t="s">
        <v>2543</v>
      </c>
      <c r="C696" s="57" t="s">
        <v>2544</v>
      </c>
      <c r="D696" s="57" t="s">
        <v>2545</v>
      </c>
      <c r="E696" s="58" t="s">
        <v>363</v>
      </c>
      <c r="F696" s="58" t="s">
        <v>2546</v>
      </c>
      <c r="G696" s="58"/>
      <c r="H696" s="58"/>
      <c r="I696" s="57">
        <v>480</v>
      </c>
      <c r="J696" s="79">
        <f t="shared" si="24"/>
        <v>374.4</v>
      </c>
      <c r="K696" s="59"/>
      <c r="L696" s="84">
        <f t="shared" si="25"/>
        <v>0</v>
      </c>
      <c r="M696" s="60" t="s">
        <v>2468</v>
      </c>
      <c r="N696" s="57"/>
      <c r="O696" s="57"/>
      <c r="P696" s="57"/>
      <c r="Q696" s="17" t="s">
        <v>19</v>
      </c>
      <c r="R696" s="70" t="str">
        <f>HYPERLINK("http://search.books.com.tw/search/query/key/9789869699709/cat/all
","
9789869699709")</f>
        <v xml:space="preserve">
9789869699709</v>
      </c>
    </row>
    <row r="697" spans="1:18" ht="33" hidden="1" x14ac:dyDescent="0.25">
      <c r="A697" s="1">
        <v>693</v>
      </c>
      <c r="B697" s="56" t="s">
        <v>2547</v>
      </c>
      <c r="C697" s="57" t="s">
        <v>2548</v>
      </c>
      <c r="D697" s="57" t="s">
        <v>2549</v>
      </c>
      <c r="E697" s="58" t="s">
        <v>368</v>
      </c>
      <c r="F697" s="58" t="s">
        <v>2550</v>
      </c>
      <c r="G697" s="58"/>
      <c r="H697" s="58"/>
      <c r="I697" s="57">
        <v>379</v>
      </c>
      <c r="J697" s="79">
        <f t="shared" si="24"/>
        <v>295.62</v>
      </c>
      <c r="K697" s="59"/>
      <c r="L697" s="84">
        <f t="shared" si="25"/>
        <v>0</v>
      </c>
      <c r="M697" s="60" t="s">
        <v>2450</v>
      </c>
      <c r="N697" s="57"/>
      <c r="O697" s="57"/>
      <c r="P697" s="57"/>
      <c r="Q697" s="17" t="s">
        <v>19</v>
      </c>
      <c r="R697" s="70" t="str">
        <f>HYPERLINK("http://search.books.com.tw/search/query/key/9789869673358/cat/all
","
9789869673358")</f>
        <v xml:space="preserve">
9789869673358</v>
      </c>
    </row>
    <row r="698" spans="1:18" ht="82.5" hidden="1" x14ac:dyDescent="0.25">
      <c r="A698" s="1">
        <v>694</v>
      </c>
      <c r="B698" s="56" t="s">
        <v>2551</v>
      </c>
      <c r="C698" s="57" t="s">
        <v>2552</v>
      </c>
      <c r="D698" s="57" t="s">
        <v>2553</v>
      </c>
      <c r="E698" s="58" t="s">
        <v>363</v>
      </c>
      <c r="F698" s="58" t="s">
        <v>2554</v>
      </c>
      <c r="G698" s="58"/>
      <c r="H698" s="58"/>
      <c r="I698" s="57">
        <v>299</v>
      </c>
      <c r="J698" s="79">
        <f t="shared" si="24"/>
        <v>233.22</v>
      </c>
      <c r="K698" s="59"/>
      <c r="L698" s="84">
        <f t="shared" si="25"/>
        <v>0</v>
      </c>
      <c r="M698" s="60" t="s">
        <v>2468</v>
      </c>
      <c r="N698" s="56" t="s">
        <v>2555</v>
      </c>
      <c r="O698" s="57"/>
      <c r="P698" s="57"/>
      <c r="Q698" s="17" t="s">
        <v>19</v>
      </c>
      <c r="R698" s="70" t="str">
        <f>HYPERLINK("http://search.books.com.tw/search/query/key/9789864070725/cat/all
","
9789864070725")</f>
        <v xml:space="preserve">
9789864070725</v>
      </c>
    </row>
    <row r="699" spans="1:18" ht="33" hidden="1" x14ac:dyDescent="0.25">
      <c r="A699" s="1">
        <v>695</v>
      </c>
      <c r="B699" s="62" t="s">
        <v>2556</v>
      </c>
      <c r="C699" s="64" t="s">
        <v>2557</v>
      </c>
      <c r="D699" s="64" t="s">
        <v>2558</v>
      </c>
      <c r="E699" s="65" t="s">
        <v>363</v>
      </c>
      <c r="F699" s="65" t="s">
        <v>2559</v>
      </c>
      <c r="G699" s="58"/>
      <c r="H699" s="58"/>
      <c r="I699" s="57">
        <v>380</v>
      </c>
      <c r="J699" s="79">
        <f t="shared" si="24"/>
        <v>296.39999999999998</v>
      </c>
      <c r="K699" s="59"/>
      <c r="L699" s="84">
        <f t="shared" si="25"/>
        <v>0</v>
      </c>
      <c r="M699" s="60" t="s">
        <v>2468</v>
      </c>
      <c r="N699" s="57"/>
      <c r="O699" s="57"/>
      <c r="P699" s="57"/>
      <c r="Q699" s="17" t="s">
        <v>19</v>
      </c>
      <c r="R699" s="70" t="str">
        <f>HYPERLINK("http://search.books.com.tw/search/query/key/9789862718421/cat/all
","
9789862718421")</f>
        <v xml:space="preserve">
9789862718421</v>
      </c>
    </row>
    <row r="700" spans="1:18" ht="66" hidden="1" x14ac:dyDescent="0.25">
      <c r="A700" s="1">
        <v>696</v>
      </c>
      <c r="B700" s="56" t="s">
        <v>2560</v>
      </c>
      <c r="C700" s="57" t="s">
        <v>2561</v>
      </c>
      <c r="D700" s="57" t="s">
        <v>1212</v>
      </c>
      <c r="E700" s="58" t="s">
        <v>368</v>
      </c>
      <c r="F700" s="58" t="s">
        <v>2562</v>
      </c>
      <c r="G700" s="58"/>
      <c r="H700" s="58"/>
      <c r="I700" s="57">
        <v>300</v>
      </c>
      <c r="J700" s="79">
        <f t="shared" si="24"/>
        <v>234</v>
      </c>
      <c r="K700" s="59"/>
      <c r="L700" s="84">
        <f t="shared" si="25"/>
        <v>0</v>
      </c>
      <c r="M700" s="60" t="s">
        <v>2450</v>
      </c>
      <c r="N700" s="57"/>
      <c r="O700" s="57"/>
      <c r="P700" s="57"/>
      <c r="Q700" s="17" t="s">
        <v>19</v>
      </c>
      <c r="R700" s="70" t="str">
        <f>HYPERLINK("http://search.books.com.tw/search/query/key/9789578950733/cat/all
","
9789578950733")</f>
        <v xml:space="preserve">
9789578950733</v>
      </c>
    </row>
    <row r="701" spans="1:18" hidden="1" x14ac:dyDescent="0.25">
      <c r="A701" s="1">
        <v>697</v>
      </c>
      <c r="B701" s="56" t="s">
        <v>2563</v>
      </c>
      <c r="C701" s="57" t="s">
        <v>2564</v>
      </c>
      <c r="D701" s="57" t="s">
        <v>853</v>
      </c>
      <c r="E701" s="58" t="s">
        <v>368</v>
      </c>
      <c r="F701" s="58" t="s">
        <v>2565</v>
      </c>
      <c r="G701" s="58"/>
      <c r="H701" s="58"/>
      <c r="I701" s="57">
        <v>280</v>
      </c>
      <c r="J701" s="79">
        <f t="shared" si="24"/>
        <v>218.4</v>
      </c>
      <c r="K701" s="59"/>
      <c r="L701" s="84">
        <f t="shared" si="25"/>
        <v>0</v>
      </c>
      <c r="M701" s="60" t="s">
        <v>2450</v>
      </c>
      <c r="N701" s="57"/>
      <c r="O701" s="57"/>
      <c r="P701" s="57"/>
      <c r="Q701" s="17" t="s">
        <v>19</v>
      </c>
      <c r="R701" s="70" t="str">
        <f>HYPERLINK("http://search.books.com.tw/search/query/key/9789863526636/cat/all
","
9789863526636")</f>
        <v xml:space="preserve">
9789863526636</v>
      </c>
    </row>
    <row r="702" spans="1:18" hidden="1" x14ac:dyDescent="0.25">
      <c r="A702" s="1">
        <v>698</v>
      </c>
      <c r="B702" s="56" t="s">
        <v>2566</v>
      </c>
      <c r="C702" s="57" t="s">
        <v>2567</v>
      </c>
      <c r="D702" s="57" t="s">
        <v>2568</v>
      </c>
      <c r="E702" s="58" t="s">
        <v>363</v>
      </c>
      <c r="F702" s="58" t="s">
        <v>2569</v>
      </c>
      <c r="G702" s="58"/>
      <c r="H702" s="58"/>
      <c r="I702" s="57">
        <v>400</v>
      </c>
      <c r="J702" s="79">
        <f t="shared" si="24"/>
        <v>312</v>
      </c>
      <c r="K702" s="59"/>
      <c r="L702" s="84">
        <f t="shared" si="25"/>
        <v>0</v>
      </c>
      <c r="M702" s="60" t="s">
        <v>2468</v>
      </c>
      <c r="N702" s="57"/>
      <c r="O702" s="57"/>
      <c r="P702" s="57"/>
      <c r="Q702" s="17" t="s">
        <v>19</v>
      </c>
      <c r="R702" s="70" t="str">
        <f>HYPERLINK("http://search.books.com.tw/search/query/key/9789863701811/cat/all
","
9789863701811")</f>
        <v xml:space="preserve">
9789863701811</v>
      </c>
    </row>
    <row r="703" spans="1:18" ht="33" hidden="1" x14ac:dyDescent="0.25">
      <c r="A703" s="1">
        <v>699</v>
      </c>
      <c r="B703" s="56" t="s">
        <v>2570</v>
      </c>
      <c r="C703" s="57" t="s">
        <v>2571</v>
      </c>
      <c r="D703" s="57" t="s">
        <v>427</v>
      </c>
      <c r="E703" s="58" t="s">
        <v>363</v>
      </c>
      <c r="F703" s="58" t="s">
        <v>2572</v>
      </c>
      <c r="G703" s="58"/>
      <c r="H703" s="58"/>
      <c r="I703" s="57">
        <v>300</v>
      </c>
      <c r="J703" s="79">
        <f t="shared" si="24"/>
        <v>234</v>
      </c>
      <c r="K703" s="59"/>
      <c r="L703" s="84">
        <f t="shared" si="25"/>
        <v>0</v>
      </c>
      <c r="M703" s="60" t="s">
        <v>2468</v>
      </c>
      <c r="N703" s="57"/>
      <c r="O703" s="57"/>
      <c r="P703" s="57"/>
      <c r="Q703" s="17" t="s">
        <v>19</v>
      </c>
      <c r="R703" s="70" t="str">
        <f>HYPERLINK("http://search.books.com.tw/search/query/key/9789571375557/cat/all
","
9789571375557")</f>
        <v xml:space="preserve">
9789571375557</v>
      </c>
    </row>
    <row r="704" spans="1:18" ht="49.5" hidden="1" x14ac:dyDescent="0.25">
      <c r="A704" s="1">
        <v>700</v>
      </c>
      <c r="B704" s="56" t="s">
        <v>2573</v>
      </c>
      <c r="C704" s="57" t="s">
        <v>2574</v>
      </c>
      <c r="D704" s="57" t="s">
        <v>427</v>
      </c>
      <c r="E704" s="58" t="s">
        <v>363</v>
      </c>
      <c r="F704" s="58" t="s">
        <v>2575</v>
      </c>
      <c r="G704" s="58"/>
      <c r="H704" s="58"/>
      <c r="I704" s="57">
        <v>280</v>
      </c>
      <c r="J704" s="79">
        <f t="shared" si="24"/>
        <v>218.4</v>
      </c>
      <c r="K704" s="59"/>
      <c r="L704" s="84">
        <f t="shared" si="25"/>
        <v>0</v>
      </c>
      <c r="M704" s="60" t="s">
        <v>2468</v>
      </c>
      <c r="N704" s="57"/>
      <c r="O704" s="57"/>
      <c r="P704" s="57"/>
      <c r="Q704" s="17" t="s">
        <v>19</v>
      </c>
      <c r="R704" s="70" t="str">
        <f>HYPERLINK("http://search.books.com.tw/search/query/key/9789571376004/cat/all
","
9789571376004")</f>
        <v xml:space="preserve">
9789571376004</v>
      </c>
    </row>
    <row r="705" spans="1:18" ht="33" hidden="1" x14ac:dyDescent="0.25">
      <c r="A705" s="1">
        <v>701</v>
      </c>
      <c r="B705" s="56" t="s">
        <v>2576</v>
      </c>
      <c r="C705" s="57" t="s">
        <v>2577</v>
      </c>
      <c r="D705" s="57" t="s">
        <v>2578</v>
      </c>
      <c r="E705" s="58" t="s">
        <v>363</v>
      </c>
      <c r="F705" s="58" t="s">
        <v>2579</v>
      </c>
      <c r="G705" s="58"/>
      <c r="H705" s="58"/>
      <c r="I705" s="57">
        <v>600</v>
      </c>
      <c r="J705" s="79">
        <f t="shared" si="24"/>
        <v>468</v>
      </c>
      <c r="K705" s="59"/>
      <c r="L705" s="84">
        <f t="shared" si="25"/>
        <v>0</v>
      </c>
      <c r="M705" s="60" t="s">
        <v>2468</v>
      </c>
      <c r="N705" s="57"/>
      <c r="O705" s="57"/>
      <c r="P705" s="57"/>
      <c r="Q705" s="17" t="s">
        <v>19</v>
      </c>
      <c r="R705" s="70" t="str">
        <f>HYPERLINK("http://search.books.com.tw/search/query/key/9789864800667/cat/all
","
9789864800667")</f>
        <v xml:space="preserve">
9789864800667</v>
      </c>
    </row>
    <row r="706" spans="1:18" hidden="1" x14ac:dyDescent="0.25">
      <c r="A706" s="1">
        <v>702</v>
      </c>
      <c r="B706" s="56" t="s">
        <v>2580</v>
      </c>
      <c r="C706" s="57" t="s">
        <v>2581</v>
      </c>
      <c r="D706" s="57" t="s">
        <v>1245</v>
      </c>
      <c r="E706" s="58" t="s">
        <v>363</v>
      </c>
      <c r="F706" s="58" t="s">
        <v>2582</v>
      </c>
      <c r="G706" s="58"/>
      <c r="H706" s="58"/>
      <c r="I706" s="57">
        <v>400</v>
      </c>
      <c r="J706" s="79">
        <f t="shared" si="24"/>
        <v>312</v>
      </c>
      <c r="K706" s="59"/>
      <c r="L706" s="84">
        <f t="shared" si="25"/>
        <v>0</v>
      </c>
      <c r="M706" s="60" t="s">
        <v>2468</v>
      </c>
      <c r="N706" s="57"/>
      <c r="O706" s="57"/>
      <c r="P706" s="57"/>
      <c r="Q706" s="17" t="s">
        <v>19</v>
      </c>
      <c r="R706" s="70" t="str">
        <f>HYPERLINK("http://search.books.com.tw/search/query/key/9789864775620/cat/all
","
9789864775620")</f>
        <v xml:space="preserve">
9789864775620</v>
      </c>
    </row>
    <row r="707" spans="1:18" ht="33" hidden="1" x14ac:dyDescent="0.25">
      <c r="A707" s="1">
        <v>703</v>
      </c>
      <c r="B707" s="56" t="s">
        <v>2583</v>
      </c>
      <c r="C707" s="57" t="s">
        <v>2584</v>
      </c>
      <c r="D707" s="57" t="s">
        <v>1245</v>
      </c>
      <c r="E707" s="58" t="s">
        <v>363</v>
      </c>
      <c r="F707" s="58" t="s">
        <v>2585</v>
      </c>
      <c r="G707" s="58"/>
      <c r="H707" s="58"/>
      <c r="I707" s="57">
        <v>380</v>
      </c>
      <c r="J707" s="79">
        <f t="shared" si="24"/>
        <v>296.39999999999998</v>
      </c>
      <c r="K707" s="59"/>
      <c r="L707" s="84">
        <f t="shared" si="25"/>
        <v>0</v>
      </c>
      <c r="M707" s="60" t="s">
        <v>2468</v>
      </c>
      <c r="N707" s="57"/>
      <c r="O707" s="57"/>
      <c r="P707" s="57"/>
      <c r="Q707" s="17" t="s">
        <v>19</v>
      </c>
      <c r="R707" s="70" t="str">
        <f>HYPERLINK("http://search.books.com.tw/search/query/key/9789864775538/cat/all
","
9789864775538")</f>
        <v xml:space="preserve">
9789864775538</v>
      </c>
    </row>
    <row r="708" spans="1:18" ht="33" hidden="1" x14ac:dyDescent="0.25">
      <c r="A708" s="1">
        <v>704</v>
      </c>
      <c r="B708" s="56" t="s">
        <v>2586</v>
      </c>
      <c r="C708" s="57" t="s">
        <v>2587</v>
      </c>
      <c r="D708" s="57" t="s">
        <v>1245</v>
      </c>
      <c r="E708" s="58" t="s">
        <v>368</v>
      </c>
      <c r="F708" s="58" t="s">
        <v>2588</v>
      </c>
      <c r="G708" s="58"/>
      <c r="H708" s="58"/>
      <c r="I708" s="57">
        <v>380</v>
      </c>
      <c r="J708" s="79">
        <f t="shared" si="24"/>
        <v>296.39999999999998</v>
      </c>
      <c r="K708" s="59"/>
      <c r="L708" s="84">
        <f t="shared" si="25"/>
        <v>0</v>
      </c>
      <c r="M708" s="60" t="s">
        <v>2450</v>
      </c>
      <c r="N708" s="57"/>
      <c r="O708" s="57"/>
      <c r="P708" s="57"/>
      <c r="Q708" s="17" t="s">
        <v>19</v>
      </c>
      <c r="R708" s="70" t="str">
        <f>HYPERLINK("http://search.books.com.tw/search/query/key/9789864775644/cat/all
","
9789864775644")</f>
        <v xml:space="preserve">
9789864775644</v>
      </c>
    </row>
    <row r="709" spans="1:18" hidden="1" x14ac:dyDescent="0.25">
      <c r="A709" s="1">
        <v>705</v>
      </c>
      <c r="B709" s="56" t="s">
        <v>2589</v>
      </c>
      <c r="C709" s="57" t="s">
        <v>2590</v>
      </c>
      <c r="D709" s="57" t="s">
        <v>2591</v>
      </c>
      <c r="E709" s="58" t="s">
        <v>363</v>
      </c>
      <c r="F709" s="58" t="s">
        <v>2592</v>
      </c>
      <c r="G709" s="58"/>
      <c r="H709" s="58"/>
      <c r="I709" s="57">
        <v>380</v>
      </c>
      <c r="J709" s="79">
        <f t="shared" si="24"/>
        <v>296.39999999999998</v>
      </c>
      <c r="K709" s="59"/>
      <c r="L709" s="84">
        <f t="shared" si="25"/>
        <v>0</v>
      </c>
      <c r="M709" s="60" t="s">
        <v>2468</v>
      </c>
      <c r="N709" s="57" t="s">
        <v>2593</v>
      </c>
      <c r="O709" s="57"/>
      <c r="P709" s="57"/>
      <c r="Q709" s="17" t="s">
        <v>19</v>
      </c>
      <c r="R709" s="70" t="str">
        <f>HYPERLINK("http://search.books.com.tw/search/query/key/9789867778437/cat/all
","
9789867778437")</f>
        <v xml:space="preserve">
9789867778437</v>
      </c>
    </row>
    <row r="710" spans="1:18" ht="33" hidden="1" x14ac:dyDescent="0.25">
      <c r="A710" s="1">
        <v>706</v>
      </c>
      <c r="B710" s="56" t="s">
        <v>2594</v>
      </c>
      <c r="C710" s="57" t="s">
        <v>2595</v>
      </c>
      <c r="D710" s="57" t="s">
        <v>2596</v>
      </c>
      <c r="E710" s="58" t="s">
        <v>363</v>
      </c>
      <c r="F710" s="58" t="s">
        <v>2597</v>
      </c>
      <c r="G710" s="58"/>
      <c r="H710" s="58"/>
      <c r="I710" s="57">
        <v>380</v>
      </c>
      <c r="J710" s="79">
        <f t="shared" ref="J710:J773" si="26">ROUND(I710*0.78,2)</f>
        <v>296.39999999999998</v>
      </c>
      <c r="K710" s="59"/>
      <c r="L710" s="84">
        <f t="shared" ref="L710:L773" si="27">K710*J710</f>
        <v>0</v>
      </c>
      <c r="M710" s="60" t="s">
        <v>2468</v>
      </c>
      <c r="N710" s="57" t="s">
        <v>2598</v>
      </c>
      <c r="O710" s="57"/>
      <c r="P710" s="57"/>
      <c r="Q710" s="17" t="s">
        <v>19</v>
      </c>
      <c r="R710" s="70" t="str">
        <f>HYPERLINK("http://search.books.com.tw/search/query/key/9789869624497/cat/all
","
9789869624497")</f>
        <v xml:space="preserve">
9789869624497</v>
      </c>
    </row>
    <row r="711" spans="1:18" ht="33" hidden="1" x14ac:dyDescent="0.25">
      <c r="A711" s="1">
        <v>707</v>
      </c>
      <c r="B711" s="56" t="s">
        <v>2599</v>
      </c>
      <c r="C711" s="57" t="s">
        <v>2600</v>
      </c>
      <c r="D711" s="57" t="s">
        <v>2601</v>
      </c>
      <c r="E711" s="58" t="s">
        <v>363</v>
      </c>
      <c r="F711" s="58" t="s">
        <v>2602</v>
      </c>
      <c r="G711" s="58"/>
      <c r="H711" s="58"/>
      <c r="I711" s="57">
        <v>320</v>
      </c>
      <c r="J711" s="79">
        <f t="shared" si="26"/>
        <v>249.6</v>
      </c>
      <c r="K711" s="59"/>
      <c r="L711" s="84">
        <f t="shared" si="27"/>
        <v>0</v>
      </c>
      <c r="M711" s="60" t="s">
        <v>2468</v>
      </c>
      <c r="N711" s="57"/>
      <c r="O711" s="57"/>
      <c r="P711" s="57"/>
      <c r="Q711" s="17" t="s">
        <v>19</v>
      </c>
      <c r="R711" s="70" t="str">
        <f>HYPERLINK("http://search.books.com.tw/search/query/key/9789869693066/cat/all
","
9789869693066")</f>
        <v xml:space="preserve">
9789869693066</v>
      </c>
    </row>
    <row r="712" spans="1:18" hidden="1" x14ac:dyDescent="0.25">
      <c r="A712" s="1">
        <v>708</v>
      </c>
      <c r="B712" s="56" t="s">
        <v>2603</v>
      </c>
      <c r="C712" s="57" t="s">
        <v>2604</v>
      </c>
      <c r="D712" s="57" t="s">
        <v>2605</v>
      </c>
      <c r="E712" s="58" t="s">
        <v>363</v>
      </c>
      <c r="F712" s="58" t="s">
        <v>2606</v>
      </c>
      <c r="G712" s="58"/>
      <c r="H712" s="58"/>
      <c r="I712" s="57">
        <v>280</v>
      </c>
      <c r="J712" s="79">
        <f t="shared" si="26"/>
        <v>218.4</v>
      </c>
      <c r="K712" s="59"/>
      <c r="L712" s="84">
        <f t="shared" si="27"/>
        <v>0</v>
      </c>
      <c r="M712" s="60" t="s">
        <v>2468</v>
      </c>
      <c r="N712" s="57"/>
      <c r="O712" s="57"/>
      <c r="P712" s="57"/>
      <c r="Q712" s="17" t="s">
        <v>19</v>
      </c>
      <c r="R712" s="70" t="str">
        <f>HYPERLINK("http://search.books.com.tw/search/query/key/9789869541770/cat/all
","
9789869541770")</f>
        <v xml:space="preserve">
9789869541770</v>
      </c>
    </row>
    <row r="713" spans="1:18" ht="33" hidden="1" x14ac:dyDescent="0.25">
      <c r="A713" s="1">
        <v>709</v>
      </c>
      <c r="B713" s="56" t="s">
        <v>2607</v>
      </c>
      <c r="C713" s="57" t="s">
        <v>2608</v>
      </c>
      <c r="D713" s="57" t="s">
        <v>2073</v>
      </c>
      <c r="E713" s="58" t="s">
        <v>368</v>
      </c>
      <c r="F713" s="58" t="s">
        <v>2609</v>
      </c>
      <c r="G713" s="58"/>
      <c r="H713" s="58"/>
      <c r="I713" s="57">
        <v>380</v>
      </c>
      <c r="J713" s="79">
        <f t="shared" si="26"/>
        <v>296.39999999999998</v>
      </c>
      <c r="K713" s="59"/>
      <c r="L713" s="84">
        <f t="shared" si="27"/>
        <v>0</v>
      </c>
      <c r="M713" s="60" t="s">
        <v>2450</v>
      </c>
      <c r="N713" s="57"/>
      <c r="O713" s="57"/>
      <c r="P713" s="57"/>
      <c r="Q713" s="17" t="s">
        <v>19</v>
      </c>
      <c r="R713" s="70" t="str">
        <f>HYPERLINK("http://search.books.com.tw/search/query/key/9789865003104/cat/all
","
9789865003104")</f>
        <v xml:space="preserve">
9789865003104</v>
      </c>
    </row>
    <row r="714" spans="1:18" ht="33" hidden="1" x14ac:dyDescent="0.25">
      <c r="A714" s="1">
        <v>710</v>
      </c>
      <c r="B714" s="56" t="s">
        <v>2610</v>
      </c>
      <c r="C714" s="57" t="s">
        <v>2611</v>
      </c>
      <c r="D714" s="57" t="s">
        <v>2073</v>
      </c>
      <c r="E714" s="58" t="s">
        <v>368</v>
      </c>
      <c r="F714" s="58" t="s">
        <v>2612</v>
      </c>
      <c r="G714" s="58"/>
      <c r="H714" s="58"/>
      <c r="I714" s="57">
        <v>360</v>
      </c>
      <c r="J714" s="79">
        <f t="shared" si="26"/>
        <v>280.8</v>
      </c>
      <c r="K714" s="59"/>
      <c r="L714" s="84">
        <f t="shared" si="27"/>
        <v>0</v>
      </c>
      <c r="M714" s="60" t="s">
        <v>2450</v>
      </c>
      <c r="N714" s="57"/>
      <c r="O714" s="57"/>
      <c r="P714" s="57"/>
      <c r="Q714" s="17" t="s">
        <v>19</v>
      </c>
      <c r="R714" s="70" t="str">
        <f>HYPERLINK("http://search.books.com.tw/search/query/key/9789865003081/cat/all
","
9789865003081")</f>
        <v xml:space="preserve">
9789865003081</v>
      </c>
    </row>
    <row r="715" spans="1:18" ht="49.5" hidden="1" x14ac:dyDescent="0.25">
      <c r="A715" s="1">
        <v>711</v>
      </c>
      <c r="B715" s="56" t="s">
        <v>2613</v>
      </c>
      <c r="C715" s="57" t="s">
        <v>2614</v>
      </c>
      <c r="D715" s="57" t="s">
        <v>1049</v>
      </c>
      <c r="E715" s="58" t="s">
        <v>363</v>
      </c>
      <c r="F715" s="58" t="s">
        <v>2615</v>
      </c>
      <c r="G715" s="58"/>
      <c r="H715" s="58"/>
      <c r="I715" s="57">
        <v>420</v>
      </c>
      <c r="J715" s="79">
        <f t="shared" si="26"/>
        <v>327.60000000000002</v>
      </c>
      <c r="K715" s="59"/>
      <c r="L715" s="84">
        <f t="shared" si="27"/>
        <v>0</v>
      </c>
      <c r="M715" s="60" t="s">
        <v>2468</v>
      </c>
      <c r="N715" s="57"/>
      <c r="O715" s="57"/>
      <c r="P715" s="57"/>
      <c r="Q715" s="17" t="s">
        <v>19</v>
      </c>
      <c r="R715" s="70" t="str">
        <f>HYPERLINK("http://search.books.com.tw/search/query/key/9789864795864/cat/all
","
9789864795864")</f>
        <v xml:space="preserve">
9789864795864</v>
      </c>
    </row>
    <row r="716" spans="1:18" ht="33" hidden="1" x14ac:dyDescent="0.25">
      <c r="A716" s="1">
        <v>712</v>
      </c>
      <c r="B716" s="56" t="s">
        <v>2616</v>
      </c>
      <c r="C716" s="57" t="s">
        <v>2617</v>
      </c>
      <c r="D716" s="57" t="s">
        <v>1049</v>
      </c>
      <c r="E716" s="58" t="s">
        <v>363</v>
      </c>
      <c r="F716" s="58" t="s">
        <v>2618</v>
      </c>
      <c r="G716" s="58"/>
      <c r="H716" s="58"/>
      <c r="I716" s="57">
        <v>500</v>
      </c>
      <c r="J716" s="79">
        <f t="shared" si="26"/>
        <v>390</v>
      </c>
      <c r="K716" s="59"/>
      <c r="L716" s="84">
        <f t="shared" si="27"/>
        <v>0</v>
      </c>
      <c r="M716" s="60" t="s">
        <v>2468</v>
      </c>
      <c r="N716" s="57"/>
      <c r="O716" s="57"/>
      <c r="P716" s="57"/>
      <c r="Q716" s="17" t="s">
        <v>19</v>
      </c>
      <c r="R716" s="70" t="str">
        <f>HYPERLINK("http://search.books.com.tw/search/query/key/9789864795925/cat/all
","
9789864795925")</f>
        <v xml:space="preserve">
9789864795925</v>
      </c>
    </row>
    <row r="717" spans="1:18" ht="33" hidden="1" x14ac:dyDescent="0.25">
      <c r="A717" s="1">
        <v>713</v>
      </c>
      <c r="B717" s="56" t="s">
        <v>2619</v>
      </c>
      <c r="C717" s="57" t="s">
        <v>2620</v>
      </c>
      <c r="D717" s="57" t="s">
        <v>1049</v>
      </c>
      <c r="E717" s="58" t="s">
        <v>363</v>
      </c>
      <c r="F717" s="58" t="s">
        <v>2621</v>
      </c>
      <c r="G717" s="58"/>
      <c r="H717" s="58"/>
      <c r="I717" s="57">
        <v>450</v>
      </c>
      <c r="J717" s="79">
        <f t="shared" si="26"/>
        <v>351</v>
      </c>
      <c r="K717" s="59"/>
      <c r="L717" s="84">
        <f t="shared" si="27"/>
        <v>0</v>
      </c>
      <c r="M717" s="60" t="s">
        <v>2468</v>
      </c>
      <c r="N717" s="57"/>
      <c r="O717" s="57"/>
      <c r="P717" s="57"/>
      <c r="Q717" s="17" t="s">
        <v>19</v>
      </c>
      <c r="R717" s="70" t="str">
        <f>HYPERLINK("http://search.books.com.tw/search/query/key/9789864795901/cat/all
","
9789864795901")</f>
        <v xml:space="preserve">
9789864795901</v>
      </c>
    </row>
    <row r="718" spans="1:18" ht="49.5" hidden="1" x14ac:dyDescent="0.25">
      <c r="A718" s="1">
        <v>714</v>
      </c>
      <c r="B718" s="56" t="s">
        <v>2622</v>
      </c>
      <c r="C718" s="57" t="s">
        <v>2623</v>
      </c>
      <c r="D718" s="57" t="s">
        <v>1049</v>
      </c>
      <c r="E718" s="58" t="s">
        <v>363</v>
      </c>
      <c r="F718" s="58" t="s">
        <v>2624</v>
      </c>
      <c r="G718" s="58"/>
      <c r="H718" s="58"/>
      <c r="I718" s="57">
        <v>450</v>
      </c>
      <c r="J718" s="79">
        <f t="shared" si="26"/>
        <v>351</v>
      </c>
      <c r="K718" s="59"/>
      <c r="L718" s="84">
        <f t="shared" si="27"/>
        <v>0</v>
      </c>
      <c r="M718" s="60" t="s">
        <v>2468</v>
      </c>
      <c r="N718" s="56" t="s">
        <v>2625</v>
      </c>
      <c r="O718" s="57"/>
      <c r="P718" s="57"/>
      <c r="Q718" s="17" t="s">
        <v>19</v>
      </c>
      <c r="R718" s="70" t="str">
        <f>HYPERLINK("http://search.books.com.tw/search/query/key/9789864795789/cat/all
","
9789864795789")</f>
        <v xml:space="preserve">
9789864795789</v>
      </c>
    </row>
    <row r="719" spans="1:18" ht="33" hidden="1" x14ac:dyDescent="0.25">
      <c r="A719" s="1">
        <v>715</v>
      </c>
      <c r="B719" s="56" t="s">
        <v>2626</v>
      </c>
      <c r="C719" s="57" t="s">
        <v>2627</v>
      </c>
      <c r="D719" s="57" t="s">
        <v>714</v>
      </c>
      <c r="E719" s="58" t="s">
        <v>363</v>
      </c>
      <c r="F719" s="58" t="s">
        <v>2628</v>
      </c>
      <c r="G719" s="58"/>
      <c r="H719" s="58"/>
      <c r="I719" s="57">
        <v>320</v>
      </c>
      <c r="J719" s="79">
        <f t="shared" si="26"/>
        <v>249.6</v>
      </c>
      <c r="K719" s="59"/>
      <c r="L719" s="84">
        <f t="shared" si="27"/>
        <v>0</v>
      </c>
      <c r="M719" s="60" t="s">
        <v>2468</v>
      </c>
      <c r="N719" s="57"/>
      <c r="O719" s="57"/>
      <c r="P719" s="57"/>
      <c r="Q719" s="17" t="s">
        <v>19</v>
      </c>
      <c r="R719" s="70" t="str">
        <f>HYPERLINK("http://search.books.com.tw/search/query/key/9789573283799/cat/all
","
9789573283799")</f>
        <v xml:space="preserve">
9789573283799</v>
      </c>
    </row>
    <row r="720" spans="1:18" ht="33" hidden="1" x14ac:dyDescent="0.25">
      <c r="A720" s="1">
        <v>716</v>
      </c>
      <c r="B720" s="56" t="s">
        <v>2629</v>
      </c>
      <c r="C720" s="57" t="s">
        <v>2630</v>
      </c>
      <c r="D720" s="57" t="s">
        <v>714</v>
      </c>
      <c r="E720" s="58" t="s">
        <v>363</v>
      </c>
      <c r="F720" s="58" t="s">
        <v>2631</v>
      </c>
      <c r="G720" s="58"/>
      <c r="H720" s="58"/>
      <c r="I720" s="57">
        <v>320</v>
      </c>
      <c r="J720" s="79">
        <f t="shared" si="26"/>
        <v>249.6</v>
      </c>
      <c r="K720" s="59"/>
      <c r="L720" s="84">
        <f t="shared" si="27"/>
        <v>0</v>
      </c>
      <c r="M720" s="60" t="s">
        <v>2468</v>
      </c>
      <c r="N720" s="57"/>
      <c r="O720" s="57"/>
      <c r="P720" s="57"/>
      <c r="Q720" s="17" t="s">
        <v>19</v>
      </c>
      <c r="R720" s="70" t="str">
        <f>HYPERLINK("http://search.books.com.tw/search/query/key/9789573284055/cat/all
","
9789573284055")</f>
        <v xml:space="preserve">
9789573284055</v>
      </c>
    </row>
    <row r="721" spans="1:18" ht="33" hidden="1" x14ac:dyDescent="0.25">
      <c r="A721" s="1">
        <v>717</v>
      </c>
      <c r="B721" s="56" t="s">
        <v>2632</v>
      </c>
      <c r="C721" s="57" t="s">
        <v>2633</v>
      </c>
      <c r="D721" s="57" t="s">
        <v>714</v>
      </c>
      <c r="E721" s="58" t="s">
        <v>363</v>
      </c>
      <c r="F721" s="58" t="s">
        <v>2634</v>
      </c>
      <c r="G721" s="58"/>
      <c r="H721" s="58"/>
      <c r="I721" s="57">
        <v>360</v>
      </c>
      <c r="J721" s="79">
        <f t="shared" si="26"/>
        <v>280.8</v>
      </c>
      <c r="K721" s="59"/>
      <c r="L721" s="84">
        <f t="shared" si="27"/>
        <v>0</v>
      </c>
      <c r="M721" s="60" t="s">
        <v>2468</v>
      </c>
      <c r="N721" s="57"/>
      <c r="O721" s="57"/>
      <c r="P721" s="57"/>
      <c r="Q721" s="17" t="s">
        <v>19</v>
      </c>
      <c r="R721" s="70" t="str">
        <f>HYPERLINK("http://search.books.com.tw/search/query/key/9789573284031/cat/all
","
9789573284031")</f>
        <v xml:space="preserve">
9789573284031</v>
      </c>
    </row>
    <row r="722" spans="1:18" ht="49.5" hidden="1" x14ac:dyDescent="0.25">
      <c r="A722" s="1">
        <v>718</v>
      </c>
      <c r="B722" s="56" t="s">
        <v>2635</v>
      </c>
      <c r="C722" s="57" t="s">
        <v>2636</v>
      </c>
      <c r="D722" s="57" t="s">
        <v>2637</v>
      </c>
      <c r="E722" s="58" t="s">
        <v>363</v>
      </c>
      <c r="F722" s="58" t="s">
        <v>2638</v>
      </c>
      <c r="G722" s="58"/>
      <c r="H722" s="58"/>
      <c r="I722" s="57">
        <v>300</v>
      </c>
      <c r="J722" s="79">
        <f t="shared" si="26"/>
        <v>234</v>
      </c>
      <c r="K722" s="59"/>
      <c r="L722" s="84">
        <f t="shared" si="27"/>
        <v>0</v>
      </c>
      <c r="M722" s="60" t="s">
        <v>2468</v>
      </c>
      <c r="N722" s="57"/>
      <c r="O722" s="57"/>
      <c r="P722" s="57"/>
      <c r="Q722" s="17" t="s">
        <v>19</v>
      </c>
      <c r="R722" s="70" t="str">
        <f>HYPERLINK("http://search.books.com.tw/search/query/key/9789863811947/cat/all
","
9789863811947")</f>
        <v xml:space="preserve">
9789863811947</v>
      </c>
    </row>
    <row r="723" spans="1:18" ht="49.5" hidden="1" x14ac:dyDescent="0.25">
      <c r="A723" s="1">
        <v>719</v>
      </c>
      <c r="B723" s="56" t="s">
        <v>2639</v>
      </c>
      <c r="C723" s="57" t="s">
        <v>2640</v>
      </c>
      <c r="D723" s="57" t="s">
        <v>2641</v>
      </c>
      <c r="E723" s="58" t="s">
        <v>359</v>
      </c>
      <c r="F723" s="58" t="s">
        <v>2642</v>
      </c>
      <c r="G723" s="58"/>
      <c r="H723" s="58"/>
      <c r="I723" s="57">
        <v>260</v>
      </c>
      <c r="J723" s="79">
        <f t="shared" si="26"/>
        <v>202.8</v>
      </c>
      <c r="K723" s="59"/>
      <c r="L723" s="84">
        <f t="shared" si="27"/>
        <v>0</v>
      </c>
      <c r="M723" s="60" t="s">
        <v>2450</v>
      </c>
      <c r="N723" s="57"/>
      <c r="O723" s="57"/>
      <c r="P723" s="57"/>
      <c r="Q723" s="17" t="s">
        <v>19</v>
      </c>
      <c r="R723" s="70" t="str">
        <f>HYPERLINK("http://search.books.com.tw/search/query/key/9789869687355/cat/all
","
9789869687355")</f>
        <v xml:space="preserve">
9789869687355</v>
      </c>
    </row>
    <row r="724" spans="1:18" ht="49.5" hidden="1" x14ac:dyDescent="0.25">
      <c r="A724" s="1">
        <v>720</v>
      </c>
      <c r="B724" s="56" t="s">
        <v>2643</v>
      </c>
      <c r="C724" s="57" t="s">
        <v>2644</v>
      </c>
      <c r="D724" s="57" t="s">
        <v>2641</v>
      </c>
      <c r="E724" s="58" t="s">
        <v>363</v>
      </c>
      <c r="F724" s="58" t="s">
        <v>2645</v>
      </c>
      <c r="G724" s="58"/>
      <c r="H724" s="58"/>
      <c r="I724" s="57">
        <v>290</v>
      </c>
      <c r="J724" s="79">
        <f t="shared" si="26"/>
        <v>226.2</v>
      </c>
      <c r="K724" s="59"/>
      <c r="L724" s="84">
        <f t="shared" si="27"/>
        <v>0</v>
      </c>
      <c r="M724" s="60" t="s">
        <v>2468</v>
      </c>
      <c r="N724" s="57" t="s">
        <v>2646</v>
      </c>
      <c r="O724" s="57"/>
      <c r="P724" s="57"/>
      <c r="Q724" s="17" t="s">
        <v>19</v>
      </c>
      <c r="R724" s="70" t="str">
        <f>HYPERLINK("http://search.books.com.tw/search/query/key/9789869687393/cat/all
","
9789869687393")</f>
        <v xml:space="preserve">
9789869687393</v>
      </c>
    </row>
    <row r="725" spans="1:18" ht="49.5" hidden="1" x14ac:dyDescent="0.25">
      <c r="A725" s="1">
        <v>721</v>
      </c>
      <c r="B725" s="56" t="s">
        <v>2647</v>
      </c>
      <c r="C725" s="57" t="s">
        <v>2648</v>
      </c>
      <c r="D725" s="57" t="s">
        <v>2641</v>
      </c>
      <c r="E725" s="58" t="s">
        <v>363</v>
      </c>
      <c r="F725" s="58" t="s">
        <v>2649</v>
      </c>
      <c r="G725" s="58"/>
      <c r="H725" s="58"/>
      <c r="I725" s="57">
        <v>300</v>
      </c>
      <c r="J725" s="79">
        <f t="shared" si="26"/>
        <v>234</v>
      </c>
      <c r="K725" s="59"/>
      <c r="L725" s="84">
        <f t="shared" si="27"/>
        <v>0</v>
      </c>
      <c r="M725" s="60" t="s">
        <v>2468</v>
      </c>
      <c r="N725" s="57"/>
      <c r="O725" s="57"/>
      <c r="P725" s="57"/>
      <c r="Q725" s="17" t="s">
        <v>19</v>
      </c>
      <c r="R725" s="70" t="str">
        <f>HYPERLINK("http://search.books.com.tw/search/query/key/9789869687362/cat/all
","
9789869687362")</f>
        <v xml:space="preserve">
9789869687362</v>
      </c>
    </row>
    <row r="726" spans="1:18" ht="33" hidden="1" x14ac:dyDescent="0.25">
      <c r="A726" s="1">
        <v>722</v>
      </c>
      <c r="B726" s="56" t="s">
        <v>2650</v>
      </c>
      <c r="C726" s="57" t="s">
        <v>2651</v>
      </c>
      <c r="D726" s="57" t="s">
        <v>2641</v>
      </c>
      <c r="E726" s="58" t="s">
        <v>363</v>
      </c>
      <c r="F726" s="58" t="s">
        <v>2652</v>
      </c>
      <c r="G726" s="58"/>
      <c r="H726" s="58"/>
      <c r="I726" s="57">
        <v>300</v>
      </c>
      <c r="J726" s="79">
        <f t="shared" si="26"/>
        <v>234</v>
      </c>
      <c r="K726" s="59"/>
      <c r="L726" s="84">
        <f t="shared" si="27"/>
        <v>0</v>
      </c>
      <c r="M726" s="60" t="s">
        <v>2468</v>
      </c>
      <c r="N726" s="57"/>
      <c r="O726" s="57"/>
      <c r="P726" s="57"/>
      <c r="Q726" s="17" t="s">
        <v>19</v>
      </c>
      <c r="R726" s="70" t="str">
        <f>HYPERLINK("http://search.books.com.tw/search/query/key/9789869687386/cat/all
","
9789869687386")</f>
        <v xml:space="preserve">
9789869687386</v>
      </c>
    </row>
    <row r="727" spans="1:18" ht="33" hidden="1" x14ac:dyDescent="0.25">
      <c r="A727" s="1">
        <v>723</v>
      </c>
      <c r="B727" s="56" t="s">
        <v>2653</v>
      </c>
      <c r="C727" s="57" t="s">
        <v>2654</v>
      </c>
      <c r="D727" s="57" t="s">
        <v>1293</v>
      </c>
      <c r="E727" s="58" t="s">
        <v>359</v>
      </c>
      <c r="F727" s="58" t="s">
        <v>2655</v>
      </c>
      <c r="G727" s="58"/>
      <c r="H727" s="58"/>
      <c r="I727" s="57">
        <v>520</v>
      </c>
      <c r="J727" s="79">
        <f t="shared" si="26"/>
        <v>405.6</v>
      </c>
      <c r="K727" s="59"/>
      <c r="L727" s="84">
        <f t="shared" si="27"/>
        <v>0</v>
      </c>
      <c r="M727" s="60" t="s">
        <v>2468</v>
      </c>
      <c r="N727" s="57"/>
      <c r="O727" s="57"/>
      <c r="P727" s="57"/>
      <c r="Q727" s="17" t="s">
        <v>19</v>
      </c>
      <c r="R727" s="70" t="str">
        <f>HYPERLINK("http://search.books.com.tw/search/query/key/9789578679443/cat/all
","
9789578679443")</f>
        <v xml:space="preserve">
9789578679443</v>
      </c>
    </row>
    <row r="728" spans="1:18" ht="33" hidden="1" x14ac:dyDescent="0.25">
      <c r="A728" s="1">
        <v>724</v>
      </c>
      <c r="B728" s="56" t="s">
        <v>2656</v>
      </c>
      <c r="C728" s="57" t="s">
        <v>2657</v>
      </c>
      <c r="D728" s="57" t="s">
        <v>2658</v>
      </c>
      <c r="E728" s="58" t="s">
        <v>363</v>
      </c>
      <c r="F728" s="58" t="s">
        <v>2659</v>
      </c>
      <c r="G728" s="58"/>
      <c r="H728" s="58"/>
      <c r="I728" s="57">
        <v>300</v>
      </c>
      <c r="J728" s="79">
        <f t="shared" si="26"/>
        <v>234</v>
      </c>
      <c r="K728" s="59"/>
      <c r="L728" s="84">
        <f t="shared" si="27"/>
        <v>0</v>
      </c>
      <c r="M728" s="60" t="s">
        <v>2468</v>
      </c>
      <c r="N728" s="57" t="s">
        <v>2660</v>
      </c>
      <c r="O728" s="57"/>
      <c r="P728" s="57"/>
      <c r="Q728" s="17" t="s">
        <v>19</v>
      </c>
      <c r="R728" s="70" t="str">
        <f>HYPERLINK("http://search.books.com.tw/search/query/key/9789578787650/cat/all
","
9789578787650")</f>
        <v xml:space="preserve">
9789578787650</v>
      </c>
    </row>
    <row r="729" spans="1:18" ht="49.5" hidden="1" x14ac:dyDescent="0.25">
      <c r="A729" s="1">
        <v>725</v>
      </c>
      <c r="B729" s="56" t="s">
        <v>2660</v>
      </c>
      <c r="C729" s="57" t="s">
        <v>2661</v>
      </c>
      <c r="D729" s="57" t="s">
        <v>2658</v>
      </c>
      <c r="E729" s="58" t="s">
        <v>363</v>
      </c>
      <c r="F729" s="58" t="s">
        <v>2662</v>
      </c>
      <c r="G729" s="58"/>
      <c r="H729" s="58"/>
      <c r="I729" s="57">
        <v>300</v>
      </c>
      <c r="J729" s="79">
        <f t="shared" si="26"/>
        <v>234</v>
      </c>
      <c r="K729" s="59"/>
      <c r="L729" s="84">
        <f t="shared" si="27"/>
        <v>0</v>
      </c>
      <c r="M729" s="60" t="s">
        <v>2468</v>
      </c>
      <c r="N729" s="57"/>
      <c r="O729" s="57"/>
      <c r="P729" s="57"/>
      <c r="Q729" s="17" t="s">
        <v>19</v>
      </c>
      <c r="R729" s="70" t="str">
        <f>HYPERLINK("http://search.books.com.tw/search/query/key/9789578787582/cat/all
","
9789578787582")</f>
        <v xml:space="preserve">
9789578787582</v>
      </c>
    </row>
    <row r="730" spans="1:18" ht="33" hidden="1" x14ac:dyDescent="0.25">
      <c r="A730" s="1">
        <v>726</v>
      </c>
      <c r="B730" s="56" t="s">
        <v>2663</v>
      </c>
      <c r="C730" s="57" t="s">
        <v>2664</v>
      </c>
      <c r="D730" s="57" t="s">
        <v>2665</v>
      </c>
      <c r="E730" s="58" t="s">
        <v>363</v>
      </c>
      <c r="F730" s="58" t="s">
        <v>2666</v>
      </c>
      <c r="G730" s="58"/>
      <c r="H730" s="58"/>
      <c r="I730" s="57">
        <v>300</v>
      </c>
      <c r="J730" s="79">
        <f t="shared" si="26"/>
        <v>234</v>
      </c>
      <c r="K730" s="59"/>
      <c r="L730" s="84">
        <f t="shared" si="27"/>
        <v>0</v>
      </c>
      <c r="M730" s="60" t="s">
        <v>2450</v>
      </c>
      <c r="N730" s="57"/>
      <c r="O730" s="57"/>
      <c r="P730" s="57"/>
      <c r="Q730" s="17" t="s">
        <v>19</v>
      </c>
      <c r="R730" s="70" t="str">
        <f>HYPERLINK("http://search.books.com.tw/search/query/key/9789869568890/cat/all
","
9789869568890")</f>
        <v xml:space="preserve">
9789869568890</v>
      </c>
    </row>
    <row r="731" spans="1:18" ht="66" hidden="1" x14ac:dyDescent="0.25">
      <c r="A731" s="1">
        <v>727</v>
      </c>
      <c r="B731" s="56" t="s">
        <v>2667</v>
      </c>
      <c r="C731" s="57" t="s">
        <v>2668</v>
      </c>
      <c r="D731" s="57" t="s">
        <v>2669</v>
      </c>
      <c r="E731" s="58" t="s">
        <v>363</v>
      </c>
      <c r="F731" s="58" t="s">
        <v>2670</v>
      </c>
      <c r="G731" s="58"/>
      <c r="H731" s="58"/>
      <c r="I731" s="57">
        <v>360</v>
      </c>
      <c r="J731" s="79">
        <f t="shared" si="26"/>
        <v>280.8</v>
      </c>
      <c r="K731" s="59"/>
      <c r="L731" s="84">
        <f t="shared" si="27"/>
        <v>0</v>
      </c>
      <c r="M731" s="60" t="s">
        <v>2468</v>
      </c>
      <c r="N731" s="56" t="s">
        <v>2671</v>
      </c>
      <c r="O731" s="57"/>
      <c r="P731" s="57"/>
      <c r="Q731" s="17" t="s">
        <v>19</v>
      </c>
      <c r="R731" s="70" t="str">
        <f>HYPERLINK("http://search.books.com.tw/search/query/key/9789862487549/cat/all
","
9789862487549")</f>
        <v xml:space="preserve">
9789862487549</v>
      </c>
    </row>
    <row r="732" spans="1:18" ht="49.5" hidden="1" x14ac:dyDescent="0.25">
      <c r="A732" s="1">
        <v>728</v>
      </c>
      <c r="B732" s="56" t="s">
        <v>2672</v>
      </c>
      <c r="C732" s="57" t="s">
        <v>2673</v>
      </c>
      <c r="D732" s="57" t="s">
        <v>2669</v>
      </c>
      <c r="E732" s="58" t="s">
        <v>368</v>
      </c>
      <c r="F732" s="58" t="s">
        <v>2674</v>
      </c>
      <c r="G732" s="58"/>
      <c r="H732" s="58"/>
      <c r="I732" s="57">
        <v>360</v>
      </c>
      <c r="J732" s="79">
        <f t="shared" si="26"/>
        <v>280.8</v>
      </c>
      <c r="K732" s="59"/>
      <c r="L732" s="84">
        <f t="shared" si="27"/>
        <v>0</v>
      </c>
      <c r="M732" s="60" t="s">
        <v>2450</v>
      </c>
      <c r="N732" s="57"/>
      <c r="O732" s="57"/>
      <c r="P732" s="57"/>
      <c r="Q732" s="17" t="s">
        <v>19</v>
      </c>
      <c r="R732" s="70" t="str">
        <f>HYPERLINK("http://search.books.com.tw/search/query/key/9789862487686/cat/all
","
9789862487686")</f>
        <v xml:space="preserve">
9789862487686</v>
      </c>
    </row>
    <row r="733" spans="1:18" ht="33" hidden="1" x14ac:dyDescent="0.25">
      <c r="A733" s="1">
        <v>729</v>
      </c>
      <c r="B733" s="56" t="s">
        <v>2675</v>
      </c>
      <c r="C733" s="57" t="s">
        <v>2676</v>
      </c>
      <c r="D733" s="57" t="s">
        <v>2677</v>
      </c>
      <c r="E733" s="58" t="s">
        <v>368</v>
      </c>
      <c r="F733" s="58" t="s">
        <v>2678</v>
      </c>
      <c r="G733" s="58"/>
      <c r="H733" s="58"/>
      <c r="I733" s="57">
        <v>450</v>
      </c>
      <c r="J733" s="79">
        <f t="shared" si="26"/>
        <v>351</v>
      </c>
      <c r="K733" s="59"/>
      <c r="L733" s="84">
        <f t="shared" si="27"/>
        <v>0</v>
      </c>
      <c r="M733" s="60" t="s">
        <v>2210</v>
      </c>
      <c r="N733" s="57" t="s">
        <v>2679</v>
      </c>
      <c r="O733" s="57"/>
      <c r="P733" s="57"/>
      <c r="Q733" s="17" t="s">
        <v>19</v>
      </c>
      <c r="R733" s="70" t="str">
        <f>HYPERLINK("http://search.books.com.tw/search/query/key/9789578924390/cat/all
","
9789578924390")</f>
        <v xml:space="preserve">
9789578924390</v>
      </c>
    </row>
    <row r="734" spans="1:18" ht="33" hidden="1" x14ac:dyDescent="0.25">
      <c r="A734" s="1">
        <v>730</v>
      </c>
      <c r="B734" s="56" t="s">
        <v>2680</v>
      </c>
      <c r="C734" s="57" t="s">
        <v>2681</v>
      </c>
      <c r="D734" s="57" t="s">
        <v>732</v>
      </c>
      <c r="E734" s="58" t="s">
        <v>368</v>
      </c>
      <c r="F734" s="58" t="s">
        <v>2682</v>
      </c>
      <c r="G734" s="58"/>
      <c r="H734" s="58"/>
      <c r="I734" s="57">
        <v>650</v>
      </c>
      <c r="J734" s="79">
        <f t="shared" si="26"/>
        <v>507</v>
      </c>
      <c r="K734" s="59"/>
      <c r="L734" s="84">
        <f t="shared" si="27"/>
        <v>0</v>
      </c>
      <c r="M734" s="60" t="s">
        <v>926</v>
      </c>
      <c r="N734" s="57"/>
      <c r="O734" s="57"/>
      <c r="P734" s="57"/>
      <c r="Q734" s="17" t="s">
        <v>19</v>
      </c>
      <c r="R734" s="70" t="str">
        <f>HYPERLINK("http://search.books.com.tw/search/query/key/9789570852271/cat/all
","
9789570852271")</f>
        <v xml:space="preserve">
9789570852271</v>
      </c>
    </row>
    <row r="735" spans="1:18" hidden="1" x14ac:dyDescent="0.25">
      <c r="A735" s="1">
        <v>731</v>
      </c>
      <c r="B735" s="56" t="s">
        <v>2683</v>
      </c>
      <c r="C735" s="57" t="s">
        <v>2684</v>
      </c>
      <c r="D735" s="57" t="s">
        <v>500</v>
      </c>
      <c r="E735" s="58" t="s">
        <v>363</v>
      </c>
      <c r="F735" s="58" t="s">
        <v>2685</v>
      </c>
      <c r="G735" s="58"/>
      <c r="H735" s="58"/>
      <c r="I735" s="57">
        <v>320</v>
      </c>
      <c r="J735" s="79">
        <f t="shared" si="26"/>
        <v>249.6</v>
      </c>
      <c r="K735" s="59"/>
      <c r="L735" s="84">
        <f t="shared" si="27"/>
        <v>0</v>
      </c>
      <c r="M735" s="60" t="s">
        <v>2686</v>
      </c>
      <c r="N735" s="57"/>
      <c r="O735" s="57"/>
      <c r="P735" s="57"/>
      <c r="Q735" s="17" t="s">
        <v>19</v>
      </c>
      <c r="R735" s="70" t="str">
        <f>HYPERLINK("http://search.books.com.tw/search/query/key/9789864435135/cat/all
","
9789864435135")</f>
        <v xml:space="preserve">
9789864435135</v>
      </c>
    </row>
    <row r="736" spans="1:18" ht="49.5" hidden="1" x14ac:dyDescent="0.25">
      <c r="A736" s="1">
        <v>732</v>
      </c>
      <c r="B736" s="56" t="s">
        <v>2687</v>
      </c>
      <c r="C736" s="57" t="s">
        <v>2688</v>
      </c>
      <c r="D736" s="57" t="s">
        <v>1851</v>
      </c>
      <c r="E736" s="58" t="s">
        <v>368</v>
      </c>
      <c r="F736" s="58" t="s">
        <v>2689</v>
      </c>
      <c r="G736" s="58"/>
      <c r="H736" s="58"/>
      <c r="I736" s="57">
        <v>350</v>
      </c>
      <c r="J736" s="79">
        <f t="shared" si="26"/>
        <v>273</v>
      </c>
      <c r="K736" s="59"/>
      <c r="L736" s="84">
        <f t="shared" si="27"/>
        <v>0</v>
      </c>
      <c r="M736" s="60" t="s">
        <v>1254</v>
      </c>
      <c r="N736" s="56" t="s">
        <v>2690</v>
      </c>
      <c r="O736" s="57"/>
      <c r="P736" s="57"/>
      <c r="Q736" s="17" t="s">
        <v>19</v>
      </c>
      <c r="R736" s="70" t="str">
        <f>HYPERLINK("http://search.books.com.tw/search/query/key/9789578587519/cat/all
","
9789578587519")</f>
        <v xml:space="preserve">
9789578587519</v>
      </c>
    </row>
    <row r="737" spans="1:18" ht="33" hidden="1" x14ac:dyDescent="0.25">
      <c r="A737" s="1">
        <v>733</v>
      </c>
      <c r="B737" s="56" t="s">
        <v>2691</v>
      </c>
      <c r="C737" s="57" t="s">
        <v>2692</v>
      </c>
      <c r="D737" s="57" t="s">
        <v>2693</v>
      </c>
      <c r="E737" s="58" t="s">
        <v>368</v>
      </c>
      <c r="F737" s="58" t="s">
        <v>2694</v>
      </c>
      <c r="G737" s="58"/>
      <c r="H737" s="58"/>
      <c r="I737" s="57">
        <v>360</v>
      </c>
      <c r="J737" s="79">
        <f t="shared" si="26"/>
        <v>280.8</v>
      </c>
      <c r="K737" s="59"/>
      <c r="L737" s="84">
        <f t="shared" si="27"/>
        <v>0</v>
      </c>
      <c r="M737" s="60" t="s">
        <v>2695</v>
      </c>
      <c r="N737" s="57"/>
      <c r="O737" s="57"/>
      <c r="P737" s="57"/>
      <c r="Q737" s="17" t="s">
        <v>19</v>
      </c>
      <c r="R737" s="70" t="str">
        <f>HYPERLINK("http://search.books.com.tw/search/query/key/9789869722704/cat/all
","
9789869722704")</f>
        <v xml:space="preserve">
9789869722704</v>
      </c>
    </row>
    <row r="738" spans="1:18" ht="33" hidden="1" x14ac:dyDescent="0.25">
      <c r="A738" s="1">
        <v>734</v>
      </c>
      <c r="B738" s="56" t="s">
        <v>2696</v>
      </c>
      <c r="C738" s="57" t="s">
        <v>2697</v>
      </c>
      <c r="D738" s="57" t="s">
        <v>2693</v>
      </c>
      <c r="E738" s="58" t="s">
        <v>363</v>
      </c>
      <c r="F738" s="58" t="s">
        <v>2698</v>
      </c>
      <c r="G738" s="58"/>
      <c r="H738" s="58"/>
      <c r="I738" s="57">
        <v>380</v>
      </c>
      <c r="J738" s="79">
        <f t="shared" si="26"/>
        <v>296.39999999999998</v>
      </c>
      <c r="K738" s="59"/>
      <c r="L738" s="84">
        <f t="shared" si="27"/>
        <v>0</v>
      </c>
      <c r="M738" s="60" t="s">
        <v>2686</v>
      </c>
      <c r="N738" s="57"/>
      <c r="O738" s="57"/>
      <c r="P738" s="57"/>
      <c r="Q738" s="17" t="s">
        <v>19</v>
      </c>
      <c r="R738" s="70" t="str">
        <f>HYPERLINK("http://search.books.com.tw/search/query/key/9789869671897/cat/all
","
9789869671897")</f>
        <v xml:space="preserve">
9789869671897</v>
      </c>
    </row>
    <row r="739" spans="1:18" hidden="1" x14ac:dyDescent="0.25">
      <c r="A739" s="1">
        <v>735</v>
      </c>
      <c r="B739" s="56" t="s">
        <v>2699</v>
      </c>
      <c r="C739" s="57" t="s">
        <v>2700</v>
      </c>
      <c r="D739" s="57" t="s">
        <v>2701</v>
      </c>
      <c r="E739" s="58" t="s">
        <v>368</v>
      </c>
      <c r="F739" s="58" t="s">
        <v>2702</v>
      </c>
      <c r="G739" s="58"/>
      <c r="H739" s="58"/>
      <c r="I739" s="57">
        <v>1200</v>
      </c>
      <c r="J739" s="79">
        <f t="shared" si="26"/>
        <v>936</v>
      </c>
      <c r="K739" s="59"/>
      <c r="L739" s="84">
        <f t="shared" si="27"/>
        <v>0</v>
      </c>
      <c r="M739" s="60" t="s">
        <v>2695</v>
      </c>
      <c r="N739" s="57" t="s">
        <v>2703</v>
      </c>
      <c r="O739" s="57"/>
      <c r="P739" s="57"/>
      <c r="Q739" s="17" t="s">
        <v>19</v>
      </c>
      <c r="R739" s="70" t="str">
        <f>HYPERLINK("http://search.books.com.tw/search/query/key/9789869620048/cat/all
","
9789869620048")</f>
        <v xml:space="preserve">
9789869620048</v>
      </c>
    </row>
    <row r="740" spans="1:18" ht="49.5" hidden="1" x14ac:dyDescent="0.25">
      <c r="A740" s="1">
        <v>736</v>
      </c>
      <c r="B740" s="56" t="s">
        <v>2704</v>
      </c>
      <c r="C740" s="57" t="s">
        <v>2705</v>
      </c>
      <c r="D740" s="57" t="s">
        <v>1373</v>
      </c>
      <c r="E740" s="58" t="s">
        <v>363</v>
      </c>
      <c r="F740" s="58" t="s">
        <v>2706</v>
      </c>
      <c r="G740" s="58"/>
      <c r="H740" s="58"/>
      <c r="I740" s="57">
        <v>800</v>
      </c>
      <c r="J740" s="79">
        <f t="shared" si="26"/>
        <v>624</v>
      </c>
      <c r="K740" s="59"/>
      <c r="L740" s="84">
        <f t="shared" si="27"/>
        <v>0</v>
      </c>
      <c r="M740" s="60" t="s">
        <v>2686</v>
      </c>
      <c r="N740" s="57" t="s">
        <v>2707</v>
      </c>
      <c r="O740" s="57"/>
      <c r="P740" s="57"/>
      <c r="Q740" s="17" t="s">
        <v>19</v>
      </c>
      <c r="R740" s="70" t="str">
        <f>HYPERLINK("http://search.books.com.tw/search/query/key/9789579689229/cat/all
","
9789579689229")</f>
        <v xml:space="preserve">
9789579689229</v>
      </c>
    </row>
    <row r="741" spans="1:18" ht="49.5" hidden="1" x14ac:dyDescent="0.25">
      <c r="A741" s="1">
        <v>737</v>
      </c>
      <c r="B741" s="56" t="s">
        <v>2708</v>
      </c>
      <c r="C741" s="57" t="s">
        <v>2709</v>
      </c>
      <c r="D741" s="57" t="s">
        <v>1885</v>
      </c>
      <c r="E741" s="58" t="s">
        <v>363</v>
      </c>
      <c r="F741" s="58" t="s">
        <v>2710</v>
      </c>
      <c r="G741" s="58"/>
      <c r="H741" s="58"/>
      <c r="I741" s="57">
        <v>380</v>
      </c>
      <c r="J741" s="79">
        <f t="shared" si="26"/>
        <v>296.39999999999998</v>
      </c>
      <c r="K741" s="59"/>
      <c r="L741" s="84">
        <f t="shared" si="27"/>
        <v>0</v>
      </c>
      <c r="M741" s="60" t="s">
        <v>2686</v>
      </c>
      <c r="N741" s="57"/>
      <c r="O741" s="57"/>
      <c r="P741" s="57"/>
      <c r="Q741" s="17" t="s">
        <v>19</v>
      </c>
      <c r="R741" s="70" t="str">
        <f>HYPERLINK("http://search.books.com.tw/search/query/key/9789869686938/cat/all
","
9789869686938")</f>
        <v xml:space="preserve">
9789869686938</v>
      </c>
    </row>
    <row r="742" spans="1:18" ht="33" hidden="1" x14ac:dyDescent="0.25">
      <c r="A742" s="1">
        <v>738</v>
      </c>
      <c r="B742" s="56" t="s">
        <v>2711</v>
      </c>
      <c r="C742" s="57" t="s">
        <v>2712</v>
      </c>
      <c r="D742" s="57" t="s">
        <v>1885</v>
      </c>
      <c r="E742" s="58" t="s">
        <v>363</v>
      </c>
      <c r="F742" s="58" t="s">
        <v>2713</v>
      </c>
      <c r="G742" s="58"/>
      <c r="H742" s="58"/>
      <c r="I742" s="57">
        <v>400</v>
      </c>
      <c r="J742" s="79">
        <f t="shared" si="26"/>
        <v>312</v>
      </c>
      <c r="K742" s="59"/>
      <c r="L742" s="84">
        <f t="shared" si="27"/>
        <v>0</v>
      </c>
      <c r="M742" s="60" t="s">
        <v>2686</v>
      </c>
      <c r="N742" s="57"/>
      <c r="O742" s="57"/>
      <c r="P742" s="57"/>
      <c r="Q742" s="17" t="s">
        <v>19</v>
      </c>
      <c r="R742" s="70" t="str">
        <f>HYPERLINK("http://search.books.com.tw/search/query/key/9789869686952/cat/all
","
9789869686952")</f>
        <v xml:space="preserve">
9789869686952</v>
      </c>
    </row>
    <row r="743" spans="1:18" ht="33" hidden="1" x14ac:dyDescent="0.25">
      <c r="A743" s="1">
        <v>739</v>
      </c>
      <c r="B743" s="56" t="s">
        <v>2714</v>
      </c>
      <c r="C743" s="57" t="s">
        <v>2715</v>
      </c>
      <c r="D743" s="57" t="s">
        <v>561</v>
      </c>
      <c r="E743" s="58" t="s">
        <v>363</v>
      </c>
      <c r="F743" s="58" t="s">
        <v>2716</v>
      </c>
      <c r="G743" s="58"/>
      <c r="H743" s="58"/>
      <c r="I743" s="57">
        <v>399</v>
      </c>
      <c r="J743" s="79">
        <f t="shared" si="26"/>
        <v>311.22000000000003</v>
      </c>
      <c r="K743" s="59"/>
      <c r="L743" s="84">
        <f t="shared" si="27"/>
        <v>0</v>
      </c>
      <c r="M743" s="60" t="s">
        <v>2686</v>
      </c>
      <c r="N743" s="57" t="s">
        <v>2717</v>
      </c>
      <c r="O743" s="57"/>
      <c r="P743" s="57"/>
      <c r="Q743" s="17" t="s">
        <v>19</v>
      </c>
      <c r="R743" s="70" t="str">
        <f>HYPERLINK("http://search.books.com.tw/search/query/key/9789863843269/cat/all
","
9789863843269")</f>
        <v xml:space="preserve">
9789863843269</v>
      </c>
    </row>
    <row r="744" spans="1:18" ht="33" hidden="1" x14ac:dyDescent="0.25">
      <c r="A744" s="1">
        <v>740</v>
      </c>
      <c r="B744" s="56" t="s">
        <v>2718</v>
      </c>
      <c r="C744" s="57" t="s">
        <v>2719</v>
      </c>
      <c r="D744" s="57" t="s">
        <v>569</v>
      </c>
      <c r="E744" s="58" t="s">
        <v>363</v>
      </c>
      <c r="F744" s="58" t="s">
        <v>2720</v>
      </c>
      <c r="G744" s="58"/>
      <c r="H744" s="58"/>
      <c r="I744" s="57">
        <v>360</v>
      </c>
      <c r="J744" s="79">
        <f t="shared" si="26"/>
        <v>280.8</v>
      </c>
      <c r="K744" s="59"/>
      <c r="L744" s="84">
        <f t="shared" si="27"/>
        <v>0</v>
      </c>
      <c r="M744" s="60" t="s">
        <v>2686</v>
      </c>
      <c r="N744" s="57"/>
      <c r="O744" s="57"/>
      <c r="P744" s="57"/>
      <c r="Q744" s="17" t="s">
        <v>19</v>
      </c>
      <c r="R744" s="70" t="str">
        <f>HYPERLINK("http://search.books.com.tw/search/query/key/9789864758463/cat/all
","
9789864758463")</f>
        <v xml:space="preserve">
9789864758463</v>
      </c>
    </row>
    <row r="745" spans="1:18" ht="33" hidden="1" x14ac:dyDescent="0.25">
      <c r="A745" s="1">
        <v>741</v>
      </c>
      <c r="B745" s="56" t="s">
        <v>2721</v>
      </c>
      <c r="C745" s="57" t="s">
        <v>2722</v>
      </c>
      <c r="D745" s="57" t="s">
        <v>569</v>
      </c>
      <c r="E745" s="58" t="s">
        <v>363</v>
      </c>
      <c r="F745" s="58" t="s">
        <v>2723</v>
      </c>
      <c r="G745" s="58"/>
      <c r="H745" s="58"/>
      <c r="I745" s="57">
        <v>750</v>
      </c>
      <c r="J745" s="79">
        <f t="shared" si="26"/>
        <v>585</v>
      </c>
      <c r="K745" s="59"/>
      <c r="L745" s="84">
        <f t="shared" si="27"/>
        <v>0</v>
      </c>
      <c r="M745" s="60" t="s">
        <v>2686</v>
      </c>
      <c r="N745" s="57"/>
      <c r="O745" s="57"/>
      <c r="P745" s="57"/>
      <c r="Q745" s="17" t="s">
        <v>19</v>
      </c>
      <c r="R745" s="70" t="str">
        <f>HYPERLINK("http://search.books.com.tw/search/query/key/9789864758456/cat/all
","
9789864758456")</f>
        <v xml:space="preserve">
9789864758456</v>
      </c>
    </row>
    <row r="746" spans="1:18" hidden="1" x14ac:dyDescent="0.25">
      <c r="A746" s="1">
        <v>742</v>
      </c>
      <c r="B746" s="56" t="s">
        <v>2724</v>
      </c>
      <c r="C746" s="57" t="s">
        <v>2725</v>
      </c>
      <c r="D746" s="57" t="s">
        <v>2726</v>
      </c>
      <c r="E746" s="58" t="s">
        <v>363</v>
      </c>
      <c r="F746" s="58" t="s">
        <v>2727</v>
      </c>
      <c r="G746" s="58"/>
      <c r="H746" s="58"/>
      <c r="I746" s="57">
        <v>570</v>
      </c>
      <c r="J746" s="79">
        <f t="shared" si="26"/>
        <v>444.6</v>
      </c>
      <c r="K746" s="59"/>
      <c r="L746" s="84">
        <f t="shared" si="27"/>
        <v>0</v>
      </c>
      <c r="M746" s="60" t="s">
        <v>2686</v>
      </c>
      <c r="N746" s="57" t="s">
        <v>2728</v>
      </c>
      <c r="O746" s="57"/>
      <c r="P746" s="57"/>
      <c r="Q746" s="17" t="s">
        <v>19</v>
      </c>
      <c r="R746" s="70" t="str">
        <f>HYPERLINK("http://search.books.com.tw/search/query/key/9789887826828/cat/all
","
9789887826828")</f>
        <v xml:space="preserve">
9789887826828</v>
      </c>
    </row>
    <row r="747" spans="1:18" hidden="1" x14ac:dyDescent="0.25">
      <c r="A747" s="1">
        <v>743</v>
      </c>
      <c r="B747" s="56" t="s">
        <v>2729</v>
      </c>
      <c r="C747" s="57" t="s">
        <v>2730</v>
      </c>
      <c r="D747" s="57" t="s">
        <v>2262</v>
      </c>
      <c r="E747" s="58" t="s">
        <v>368</v>
      </c>
      <c r="F747" s="58" t="s">
        <v>2731</v>
      </c>
      <c r="G747" s="58"/>
      <c r="H747" s="58"/>
      <c r="I747" s="57">
        <v>250</v>
      </c>
      <c r="J747" s="79">
        <f t="shared" si="26"/>
        <v>195</v>
      </c>
      <c r="K747" s="59"/>
      <c r="L747" s="84">
        <f t="shared" si="27"/>
        <v>0</v>
      </c>
      <c r="M747" s="60" t="s">
        <v>2695</v>
      </c>
      <c r="N747" s="57"/>
      <c r="O747" s="57"/>
      <c r="P747" s="57"/>
      <c r="Q747" s="17" t="s">
        <v>19</v>
      </c>
      <c r="R747" s="70" t="str">
        <f>HYPERLINK("http://search.books.com.tw/search/query/key/9789863586968/cat/all
","
9789863586968")</f>
        <v xml:space="preserve">
9789863586968</v>
      </c>
    </row>
    <row r="748" spans="1:18" ht="33" hidden="1" x14ac:dyDescent="0.25">
      <c r="A748" s="1">
        <v>744</v>
      </c>
      <c r="B748" s="56" t="s">
        <v>2732</v>
      </c>
      <c r="C748" s="57" t="s">
        <v>2733</v>
      </c>
      <c r="D748" s="57" t="s">
        <v>2734</v>
      </c>
      <c r="E748" s="58" t="s">
        <v>363</v>
      </c>
      <c r="F748" s="58" t="s">
        <v>2735</v>
      </c>
      <c r="G748" s="58"/>
      <c r="H748" s="58"/>
      <c r="I748" s="57">
        <v>330</v>
      </c>
      <c r="J748" s="79">
        <f t="shared" si="26"/>
        <v>257.39999999999998</v>
      </c>
      <c r="K748" s="59"/>
      <c r="L748" s="84">
        <f t="shared" si="27"/>
        <v>0</v>
      </c>
      <c r="M748" s="60" t="s">
        <v>2695</v>
      </c>
      <c r="N748" s="57" t="s">
        <v>2736</v>
      </c>
      <c r="O748" s="57"/>
      <c r="P748" s="57"/>
      <c r="Q748" s="17" t="s">
        <v>19</v>
      </c>
      <c r="R748" s="70" t="str">
        <f>HYPERLINK("http://search.books.com.tw/search/query/key/9789869676885/cat/all
","
9789869676885")</f>
        <v xml:space="preserve">
9789869676885</v>
      </c>
    </row>
    <row r="749" spans="1:18" ht="33" hidden="1" x14ac:dyDescent="0.25">
      <c r="A749" s="1">
        <v>745</v>
      </c>
      <c r="B749" s="56" t="s">
        <v>2737</v>
      </c>
      <c r="C749" s="57" t="s">
        <v>2738</v>
      </c>
      <c r="D749" s="57" t="s">
        <v>2734</v>
      </c>
      <c r="E749" s="58" t="s">
        <v>368</v>
      </c>
      <c r="F749" s="58" t="s">
        <v>2739</v>
      </c>
      <c r="G749" s="58"/>
      <c r="H749" s="58"/>
      <c r="I749" s="57">
        <v>300</v>
      </c>
      <c r="J749" s="79">
        <f t="shared" si="26"/>
        <v>234</v>
      </c>
      <c r="K749" s="59"/>
      <c r="L749" s="84">
        <f t="shared" si="27"/>
        <v>0</v>
      </c>
      <c r="M749" s="60" t="s">
        <v>2686</v>
      </c>
      <c r="N749" s="57"/>
      <c r="O749" s="57"/>
      <c r="P749" s="57"/>
      <c r="Q749" s="17" t="s">
        <v>19</v>
      </c>
      <c r="R749" s="70" t="str">
        <f>HYPERLINK("http://search.books.com.tw/search/query/key/9789578472464/cat/all
","
9789578472464")</f>
        <v xml:space="preserve">
9789578472464</v>
      </c>
    </row>
    <row r="750" spans="1:18" ht="33" hidden="1" x14ac:dyDescent="0.25">
      <c r="A750" s="1">
        <v>746</v>
      </c>
      <c r="B750" s="56" t="s">
        <v>2740</v>
      </c>
      <c r="C750" s="57" t="s">
        <v>741</v>
      </c>
      <c r="D750" s="57" t="s">
        <v>1204</v>
      </c>
      <c r="E750" s="58" t="s">
        <v>368</v>
      </c>
      <c r="F750" s="58" t="s">
        <v>2741</v>
      </c>
      <c r="G750" s="58"/>
      <c r="H750" s="58"/>
      <c r="I750" s="57">
        <v>390</v>
      </c>
      <c r="J750" s="79">
        <f t="shared" si="26"/>
        <v>304.2</v>
      </c>
      <c r="K750" s="59"/>
      <c r="L750" s="84">
        <f t="shared" si="27"/>
        <v>0</v>
      </c>
      <c r="M750" s="60" t="s">
        <v>2695</v>
      </c>
      <c r="N750" s="57" t="s">
        <v>2742</v>
      </c>
      <c r="O750" s="57"/>
      <c r="P750" s="57"/>
      <c r="Q750" s="17" t="s">
        <v>19</v>
      </c>
      <c r="R750" s="70" t="str">
        <f>HYPERLINK("http://search.books.com.tw/search/query/key/9789869693745/cat/all
","
9789869693745")</f>
        <v xml:space="preserve">
9789869693745</v>
      </c>
    </row>
    <row r="751" spans="1:18" ht="33" hidden="1" x14ac:dyDescent="0.25">
      <c r="A751" s="1">
        <v>747</v>
      </c>
      <c r="B751" s="56" t="s">
        <v>2743</v>
      </c>
      <c r="C751" s="57" t="s">
        <v>2744</v>
      </c>
      <c r="D751" s="57" t="s">
        <v>1621</v>
      </c>
      <c r="E751" s="58" t="s">
        <v>368</v>
      </c>
      <c r="F751" s="58" t="s">
        <v>2745</v>
      </c>
      <c r="G751" s="58"/>
      <c r="H751" s="58"/>
      <c r="I751" s="57">
        <v>360</v>
      </c>
      <c r="J751" s="79">
        <f t="shared" si="26"/>
        <v>280.8</v>
      </c>
      <c r="K751" s="59"/>
      <c r="L751" s="84">
        <f t="shared" si="27"/>
        <v>0</v>
      </c>
      <c r="M751" s="60" t="s">
        <v>2695</v>
      </c>
      <c r="N751" s="57"/>
      <c r="O751" s="57"/>
      <c r="P751" s="57"/>
      <c r="Q751" s="17" t="s">
        <v>19</v>
      </c>
      <c r="R751" s="70" t="str">
        <f>HYPERLINK("http://search.books.com.tw/search/query/key/9789869706827/cat/all
","
9789869706827")</f>
        <v xml:space="preserve">
9789869706827</v>
      </c>
    </row>
    <row r="752" spans="1:18" ht="33" hidden="1" x14ac:dyDescent="0.25">
      <c r="A752" s="1">
        <v>748</v>
      </c>
      <c r="B752" s="56" t="s">
        <v>2746</v>
      </c>
      <c r="C752" s="57" t="s">
        <v>2747</v>
      </c>
      <c r="D752" s="57" t="s">
        <v>2748</v>
      </c>
      <c r="E752" s="58" t="s">
        <v>363</v>
      </c>
      <c r="F752" s="58" t="s">
        <v>2749</v>
      </c>
      <c r="G752" s="58"/>
      <c r="H752" s="58"/>
      <c r="I752" s="57">
        <v>350</v>
      </c>
      <c r="J752" s="79">
        <f t="shared" si="26"/>
        <v>273</v>
      </c>
      <c r="K752" s="59"/>
      <c r="L752" s="84">
        <f t="shared" si="27"/>
        <v>0</v>
      </c>
      <c r="M752" s="60" t="s">
        <v>2686</v>
      </c>
      <c r="N752" s="57" t="s">
        <v>2750</v>
      </c>
      <c r="O752" s="57"/>
      <c r="P752" s="57"/>
      <c r="Q752" s="17" t="s">
        <v>19</v>
      </c>
      <c r="R752" s="70" t="str">
        <f>HYPERLINK("http://search.books.com.tw/search/query/key/9789869659086/cat/all
","
9789869659086")</f>
        <v xml:space="preserve">
9789869659086</v>
      </c>
    </row>
    <row r="753" spans="1:18" ht="33" hidden="1" x14ac:dyDescent="0.25">
      <c r="A753" s="1">
        <v>749</v>
      </c>
      <c r="B753" s="56" t="s">
        <v>2751</v>
      </c>
      <c r="C753" s="57" t="s">
        <v>2752</v>
      </c>
      <c r="D753" s="57" t="s">
        <v>2748</v>
      </c>
      <c r="E753" s="58" t="s">
        <v>363</v>
      </c>
      <c r="F753" s="58" t="s">
        <v>2753</v>
      </c>
      <c r="G753" s="58"/>
      <c r="H753" s="58"/>
      <c r="I753" s="57">
        <v>480</v>
      </c>
      <c r="J753" s="79">
        <f t="shared" si="26"/>
        <v>374.4</v>
      </c>
      <c r="K753" s="59"/>
      <c r="L753" s="84">
        <f t="shared" si="27"/>
        <v>0</v>
      </c>
      <c r="M753" s="60" t="s">
        <v>2686</v>
      </c>
      <c r="N753" s="57"/>
      <c r="O753" s="57"/>
      <c r="P753" s="57"/>
      <c r="Q753" s="17" t="s">
        <v>19</v>
      </c>
      <c r="R753" s="70" t="str">
        <f>HYPERLINK("http://search.books.com.tw/search/query/key/9789869659062/cat/all
","
9789869659062")</f>
        <v xml:space="preserve">
9789869659062</v>
      </c>
    </row>
    <row r="754" spans="1:18" hidden="1" x14ac:dyDescent="0.25">
      <c r="A754" s="1">
        <v>750</v>
      </c>
      <c r="B754" s="56" t="s">
        <v>2754</v>
      </c>
      <c r="C754" s="57" t="s">
        <v>2755</v>
      </c>
      <c r="D754" s="57" t="s">
        <v>1941</v>
      </c>
      <c r="E754" s="58" t="s">
        <v>363</v>
      </c>
      <c r="F754" s="58" t="s">
        <v>2756</v>
      </c>
      <c r="G754" s="58"/>
      <c r="H754" s="58"/>
      <c r="I754" s="57">
        <v>300</v>
      </c>
      <c r="J754" s="79">
        <f t="shared" si="26"/>
        <v>234</v>
      </c>
      <c r="K754" s="59"/>
      <c r="L754" s="84">
        <f t="shared" si="27"/>
        <v>0</v>
      </c>
      <c r="M754" s="60" t="s">
        <v>2686</v>
      </c>
      <c r="N754" s="57"/>
      <c r="O754" s="57"/>
      <c r="P754" s="57"/>
      <c r="Q754" s="17" t="s">
        <v>19</v>
      </c>
      <c r="R754" s="70" t="str">
        <f>HYPERLINK("http://search.books.com.tw/search/query/key/9789863774334/cat/all
","
9789863774334")</f>
        <v xml:space="preserve">
9789863774334</v>
      </c>
    </row>
    <row r="755" spans="1:18" hidden="1" x14ac:dyDescent="0.25">
      <c r="A755" s="1">
        <v>751</v>
      </c>
      <c r="B755" s="56" t="s">
        <v>2757</v>
      </c>
      <c r="C755" s="57" t="s">
        <v>2758</v>
      </c>
      <c r="D755" s="57" t="s">
        <v>1941</v>
      </c>
      <c r="E755" s="58" t="s">
        <v>368</v>
      </c>
      <c r="F755" s="58" t="s">
        <v>2759</v>
      </c>
      <c r="G755" s="58"/>
      <c r="H755" s="58"/>
      <c r="I755" s="57">
        <v>350</v>
      </c>
      <c r="J755" s="79">
        <f t="shared" si="26"/>
        <v>273</v>
      </c>
      <c r="K755" s="59"/>
      <c r="L755" s="84">
        <f t="shared" si="27"/>
        <v>0</v>
      </c>
      <c r="M755" s="60" t="s">
        <v>2695</v>
      </c>
      <c r="N755" s="57"/>
      <c r="O755" s="57"/>
      <c r="P755" s="57"/>
      <c r="Q755" s="17" t="s">
        <v>19</v>
      </c>
      <c r="R755" s="70" t="str">
        <f>HYPERLINK("http://search.books.com.tw/search/query/key/9789863774303/cat/all
","
9789863774303")</f>
        <v xml:space="preserve">
9789863774303</v>
      </c>
    </row>
    <row r="756" spans="1:18" ht="33" hidden="1" x14ac:dyDescent="0.25">
      <c r="A756" s="1">
        <v>752</v>
      </c>
      <c r="B756" s="56" t="s">
        <v>2760</v>
      </c>
      <c r="C756" s="57" t="s">
        <v>2761</v>
      </c>
      <c r="D756" s="57" t="s">
        <v>2568</v>
      </c>
      <c r="E756" s="58" t="s">
        <v>368</v>
      </c>
      <c r="F756" s="58" t="s">
        <v>2762</v>
      </c>
      <c r="G756" s="58"/>
      <c r="H756" s="58"/>
      <c r="I756" s="57">
        <v>300</v>
      </c>
      <c r="J756" s="79">
        <f t="shared" si="26"/>
        <v>234</v>
      </c>
      <c r="K756" s="59"/>
      <c r="L756" s="84">
        <f t="shared" si="27"/>
        <v>0</v>
      </c>
      <c r="M756" s="60" t="s">
        <v>2695</v>
      </c>
      <c r="N756" s="57"/>
      <c r="O756" s="57"/>
      <c r="P756" s="57"/>
      <c r="Q756" s="17" t="s">
        <v>19</v>
      </c>
      <c r="R756" s="70" t="str">
        <f>HYPERLINK("http://search.books.com.tw/search/query/key/9789863701828/cat/all
","
9789863701828")</f>
        <v xml:space="preserve">
9789863701828</v>
      </c>
    </row>
    <row r="757" spans="1:18" hidden="1" x14ac:dyDescent="0.25">
      <c r="A757" s="1">
        <v>753</v>
      </c>
      <c r="B757" s="56" t="s">
        <v>2763</v>
      </c>
      <c r="C757" s="57" t="s">
        <v>2764</v>
      </c>
      <c r="D757" s="57" t="s">
        <v>2568</v>
      </c>
      <c r="E757" s="58" t="s">
        <v>363</v>
      </c>
      <c r="F757" s="58" t="s">
        <v>2765</v>
      </c>
      <c r="G757" s="58"/>
      <c r="H757" s="58"/>
      <c r="I757" s="57">
        <v>300</v>
      </c>
      <c r="J757" s="79">
        <f t="shared" si="26"/>
        <v>234</v>
      </c>
      <c r="K757" s="59"/>
      <c r="L757" s="84">
        <f t="shared" si="27"/>
        <v>0</v>
      </c>
      <c r="M757" s="60" t="s">
        <v>2686</v>
      </c>
      <c r="N757" s="57"/>
      <c r="O757" s="57"/>
      <c r="P757" s="57"/>
      <c r="Q757" s="17" t="s">
        <v>19</v>
      </c>
      <c r="R757" s="70" t="str">
        <f>HYPERLINK("http://search.books.com.tw/search/query/key/9789863701798/cat/all
","
9789863701798")</f>
        <v xml:space="preserve">
9789863701798</v>
      </c>
    </row>
    <row r="758" spans="1:18" hidden="1" x14ac:dyDescent="0.25">
      <c r="A758" s="1">
        <v>754</v>
      </c>
      <c r="B758" s="56" t="s">
        <v>2766</v>
      </c>
      <c r="C758" s="57" t="s">
        <v>2767</v>
      </c>
      <c r="D758" s="57" t="s">
        <v>2568</v>
      </c>
      <c r="E758" s="58" t="s">
        <v>363</v>
      </c>
      <c r="F758" s="58" t="s">
        <v>2768</v>
      </c>
      <c r="G758" s="58"/>
      <c r="H758" s="58"/>
      <c r="I758" s="57">
        <v>550</v>
      </c>
      <c r="J758" s="79">
        <f t="shared" si="26"/>
        <v>429</v>
      </c>
      <c r="K758" s="59"/>
      <c r="L758" s="84">
        <f t="shared" si="27"/>
        <v>0</v>
      </c>
      <c r="M758" s="60" t="s">
        <v>2686</v>
      </c>
      <c r="N758" s="57"/>
      <c r="O758" s="57"/>
      <c r="P758" s="57"/>
      <c r="Q758" s="17" t="s">
        <v>19</v>
      </c>
      <c r="R758" s="70" t="str">
        <f>HYPERLINK("http://search.books.com.tw/search/query/key/9789863701804/cat/all
","
9789863701804")</f>
        <v xml:space="preserve">
9789863701804</v>
      </c>
    </row>
    <row r="759" spans="1:18" hidden="1" x14ac:dyDescent="0.25">
      <c r="A759" s="1">
        <v>755</v>
      </c>
      <c r="B759" s="56" t="s">
        <v>2769</v>
      </c>
      <c r="C759" s="57" t="s">
        <v>2770</v>
      </c>
      <c r="D759" s="57" t="s">
        <v>1241</v>
      </c>
      <c r="E759" s="58" t="s">
        <v>363</v>
      </c>
      <c r="F759" s="58" t="s">
        <v>2771</v>
      </c>
      <c r="G759" s="58"/>
      <c r="H759" s="58"/>
      <c r="I759" s="57">
        <v>450</v>
      </c>
      <c r="J759" s="79">
        <f t="shared" si="26"/>
        <v>351</v>
      </c>
      <c r="K759" s="59"/>
      <c r="L759" s="84">
        <f t="shared" si="27"/>
        <v>0</v>
      </c>
      <c r="M759" s="60" t="s">
        <v>2686</v>
      </c>
      <c r="N759" s="57"/>
      <c r="O759" s="57"/>
      <c r="P759" s="57"/>
      <c r="Q759" s="17" t="s">
        <v>19</v>
      </c>
      <c r="R759" s="70" t="str">
        <f>HYPERLINK("http://search.books.com.tw/search/query/key/9789579699471/cat/all
","
9789579699471")</f>
        <v xml:space="preserve">
9789579699471</v>
      </c>
    </row>
    <row r="760" spans="1:18" ht="33" hidden="1" x14ac:dyDescent="0.25">
      <c r="A760" s="1">
        <v>756</v>
      </c>
      <c r="B760" s="56" t="s">
        <v>2772</v>
      </c>
      <c r="C760" s="57" t="s">
        <v>2773</v>
      </c>
      <c r="D760" s="57" t="s">
        <v>1241</v>
      </c>
      <c r="E760" s="58" t="s">
        <v>368</v>
      </c>
      <c r="F760" s="58" t="s">
        <v>2774</v>
      </c>
      <c r="G760" s="58"/>
      <c r="H760" s="58"/>
      <c r="I760" s="57">
        <v>380</v>
      </c>
      <c r="J760" s="79">
        <f t="shared" si="26"/>
        <v>296.39999999999998</v>
      </c>
      <c r="K760" s="59"/>
      <c r="L760" s="84">
        <f t="shared" si="27"/>
        <v>0</v>
      </c>
      <c r="M760" s="60" t="s">
        <v>2695</v>
      </c>
      <c r="N760" s="57"/>
      <c r="O760" s="57"/>
      <c r="P760" s="57"/>
      <c r="Q760" s="17" t="s">
        <v>19</v>
      </c>
      <c r="R760" s="70" t="str">
        <f>HYPERLINK("http://search.books.com.tw/search/query/key/9789579699556/cat/all
","
9789579699556")</f>
        <v xml:space="preserve">
9789579699556</v>
      </c>
    </row>
    <row r="761" spans="1:18" ht="66" hidden="1" x14ac:dyDescent="0.25">
      <c r="A761" s="1">
        <v>757</v>
      </c>
      <c r="B761" s="56" t="s">
        <v>2775</v>
      </c>
      <c r="C761" s="57" t="s">
        <v>2776</v>
      </c>
      <c r="D761" s="57" t="s">
        <v>1252</v>
      </c>
      <c r="E761" s="58" t="s">
        <v>363</v>
      </c>
      <c r="F761" s="58" t="s">
        <v>2777</v>
      </c>
      <c r="G761" s="58"/>
      <c r="H761" s="58"/>
      <c r="I761" s="57">
        <v>480</v>
      </c>
      <c r="J761" s="79">
        <f t="shared" si="26"/>
        <v>374.4</v>
      </c>
      <c r="K761" s="59"/>
      <c r="L761" s="84">
        <f t="shared" si="27"/>
        <v>0</v>
      </c>
      <c r="M761" s="60" t="s">
        <v>2686</v>
      </c>
      <c r="N761" s="56" t="s">
        <v>2778</v>
      </c>
      <c r="O761" s="57"/>
      <c r="P761" s="57"/>
      <c r="Q761" s="17" t="s">
        <v>19</v>
      </c>
      <c r="R761" s="70" t="str">
        <f>HYPERLINK("http://search.books.com.tw/search/query/key/9789864084302/cat/all
","
9789864084302")</f>
        <v xml:space="preserve">
9789864084302</v>
      </c>
    </row>
    <row r="762" spans="1:18" ht="49.5" hidden="1" x14ac:dyDescent="0.25">
      <c r="A762" s="1">
        <v>758</v>
      </c>
      <c r="B762" s="56" t="s">
        <v>2779</v>
      </c>
      <c r="C762" s="57" t="s">
        <v>2780</v>
      </c>
      <c r="D762" s="57" t="s">
        <v>1252</v>
      </c>
      <c r="E762" s="58" t="s">
        <v>363</v>
      </c>
      <c r="F762" s="58" t="s">
        <v>2781</v>
      </c>
      <c r="G762" s="58"/>
      <c r="H762" s="58"/>
      <c r="I762" s="57">
        <v>399</v>
      </c>
      <c r="J762" s="79">
        <f t="shared" si="26"/>
        <v>311.22000000000003</v>
      </c>
      <c r="K762" s="59"/>
      <c r="L762" s="84">
        <f t="shared" si="27"/>
        <v>0</v>
      </c>
      <c r="M762" s="60" t="s">
        <v>2686</v>
      </c>
      <c r="N762" s="57"/>
      <c r="O762" s="57"/>
      <c r="P762" s="57"/>
      <c r="Q762" s="17" t="s">
        <v>19</v>
      </c>
      <c r="R762" s="70" t="str">
        <f>HYPERLINK("http://search.books.com.tw/search/query/key/9789864084364/cat/all
","
9789864084364")</f>
        <v xml:space="preserve">
9789864084364</v>
      </c>
    </row>
    <row r="763" spans="1:18" ht="33" hidden="1" x14ac:dyDescent="0.25">
      <c r="A763" s="1">
        <v>759</v>
      </c>
      <c r="B763" s="56" t="s">
        <v>2782</v>
      </c>
      <c r="C763" s="57" t="s">
        <v>1251</v>
      </c>
      <c r="D763" s="57" t="s">
        <v>1252</v>
      </c>
      <c r="E763" s="58" t="s">
        <v>363</v>
      </c>
      <c r="F763" s="58" t="s">
        <v>2783</v>
      </c>
      <c r="G763" s="58"/>
      <c r="H763" s="58"/>
      <c r="I763" s="57">
        <v>380</v>
      </c>
      <c r="J763" s="79">
        <f t="shared" si="26"/>
        <v>296.39999999999998</v>
      </c>
      <c r="K763" s="59"/>
      <c r="L763" s="84">
        <f t="shared" si="27"/>
        <v>0</v>
      </c>
      <c r="M763" s="60" t="s">
        <v>2686</v>
      </c>
      <c r="N763" s="57" t="s">
        <v>2784</v>
      </c>
      <c r="O763" s="57"/>
      <c r="P763" s="57"/>
      <c r="Q763" s="17" t="s">
        <v>19</v>
      </c>
      <c r="R763" s="70" t="str">
        <f>HYPERLINK("http://search.books.com.tw/search/query/key/9789864084432/cat/all
","
9789864084432")</f>
        <v xml:space="preserve">
9789864084432</v>
      </c>
    </row>
    <row r="764" spans="1:18" ht="66" hidden="1" x14ac:dyDescent="0.25">
      <c r="A764" s="1">
        <v>760</v>
      </c>
      <c r="B764" s="56" t="s">
        <v>2785</v>
      </c>
      <c r="C764" s="57" t="s">
        <v>2786</v>
      </c>
      <c r="D764" s="57" t="s">
        <v>1252</v>
      </c>
      <c r="E764" s="58" t="s">
        <v>368</v>
      </c>
      <c r="F764" s="58" t="s">
        <v>2787</v>
      </c>
      <c r="G764" s="58"/>
      <c r="H764" s="58"/>
      <c r="I764" s="57">
        <v>799</v>
      </c>
      <c r="J764" s="79">
        <f t="shared" si="26"/>
        <v>623.22</v>
      </c>
      <c r="K764" s="59"/>
      <c r="L764" s="84">
        <f t="shared" si="27"/>
        <v>0</v>
      </c>
      <c r="M764" s="60" t="s">
        <v>2695</v>
      </c>
      <c r="N764" s="57"/>
      <c r="O764" s="57"/>
      <c r="P764" s="57"/>
      <c r="Q764" s="17" t="s">
        <v>19</v>
      </c>
      <c r="R764" s="70" t="str">
        <f>HYPERLINK("http://search.books.com.tw/search/query/key/9789864084562/cat/all
","
9789864084562")</f>
        <v xml:space="preserve">
9789864084562</v>
      </c>
    </row>
    <row r="765" spans="1:18" ht="49.5" hidden="1" x14ac:dyDescent="0.25">
      <c r="A765" s="1">
        <v>761</v>
      </c>
      <c r="B765" s="56" t="s">
        <v>2788</v>
      </c>
      <c r="C765" s="57"/>
      <c r="D765" s="57" t="s">
        <v>1252</v>
      </c>
      <c r="E765" s="58" t="s">
        <v>363</v>
      </c>
      <c r="F765" s="58" t="s">
        <v>2789</v>
      </c>
      <c r="G765" s="58"/>
      <c r="H765" s="58"/>
      <c r="I765" s="57">
        <v>360</v>
      </c>
      <c r="J765" s="79">
        <f t="shared" si="26"/>
        <v>280.8</v>
      </c>
      <c r="K765" s="59"/>
      <c r="L765" s="84">
        <f t="shared" si="27"/>
        <v>0</v>
      </c>
      <c r="M765" s="60" t="s">
        <v>2686</v>
      </c>
      <c r="N765" s="57"/>
      <c r="O765" s="57"/>
      <c r="P765" s="57"/>
      <c r="Q765" s="17" t="s">
        <v>19</v>
      </c>
      <c r="R765" s="70" t="str">
        <f>HYPERLINK("http://search.books.com.tw/search/query/key/9789864084449/cat/all
","
9789864084449")</f>
        <v xml:space="preserve">
9789864084449</v>
      </c>
    </row>
    <row r="766" spans="1:18" hidden="1" x14ac:dyDescent="0.25">
      <c r="A766" s="1">
        <v>762</v>
      </c>
      <c r="B766" s="56" t="s">
        <v>2790</v>
      </c>
      <c r="C766" s="57" t="s">
        <v>2791</v>
      </c>
      <c r="D766" s="57" t="s">
        <v>2792</v>
      </c>
      <c r="E766" s="58" t="s">
        <v>368</v>
      </c>
      <c r="F766" s="58" t="s">
        <v>2793</v>
      </c>
      <c r="G766" s="58"/>
      <c r="H766" s="58"/>
      <c r="I766" s="57">
        <v>400</v>
      </c>
      <c r="J766" s="79">
        <f t="shared" si="26"/>
        <v>312</v>
      </c>
      <c r="K766" s="59"/>
      <c r="L766" s="84">
        <f t="shared" si="27"/>
        <v>0</v>
      </c>
      <c r="M766" s="60" t="s">
        <v>2695</v>
      </c>
      <c r="N766" s="57"/>
      <c r="O766" s="57"/>
      <c r="P766" s="57"/>
      <c r="Q766" s="17" t="s">
        <v>19</v>
      </c>
      <c r="R766" s="70" t="str">
        <f>HYPERLINK("http://search.books.com.tw/search/query/key/4717702905323/cat/all
","
4717702905323")</f>
        <v xml:space="preserve">
4717702905323</v>
      </c>
    </row>
    <row r="767" spans="1:18" ht="66" hidden="1" x14ac:dyDescent="0.25">
      <c r="A767" s="1">
        <v>763</v>
      </c>
      <c r="B767" s="56" t="s">
        <v>2794</v>
      </c>
      <c r="C767" s="57" t="s">
        <v>2795</v>
      </c>
      <c r="D767" s="57" t="s">
        <v>2406</v>
      </c>
      <c r="E767" s="58" t="s">
        <v>363</v>
      </c>
      <c r="F767" s="58" t="s">
        <v>2796</v>
      </c>
      <c r="G767" s="58"/>
      <c r="H767" s="58"/>
      <c r="I767" s="57">
        <v>1200</v>
      </c>
      <c r="J767" s="79">
        <f t="shared" si="26"/>
        <v>936</v>
      </c>
      <c r="K767" s="59"/>
      <c r="L767" s="84">
        <f t="shared" si="27"/>
        <v>0</v>
      </c>
      <c r="M767" s="60" t="s">
        <v>2686</v>
      </c>
      <c r="N767" s="56" t="s">
        <v>2797</v>
      </c>
      <c r="O767" s="57"/>
      <c r="P767" s="57"/>
      <c r="Q767" s="17" t="s">
        <v>19</v>
      </c>
      <c r="R767" s="70" t="str">
        <f>HYPERLINK("http://search.books.com.tw/search/query/key/9789862894293/cat/all
","
9789862894293")</f>
        <v xml:space="preserve">
9789862894293</v>
      </c>
    </row>
    <row r="768" spans="1:18" ht="66" hidden="1" x14ac:dyDescent="0.25">
      <c r="A768" s="1">
        <v>764</v>
      </c>
      <c r="B768" s="56" t="s">
        <v>2798</v>
      </c>
      <c r="C768" s="57" t="s">
        <v>2799</v>
      </c>
      <c r="D768" s="57" t="s">
        <v>1957</v>
      </c>
      <c r="E768" s="58" t="s">
        <v>368</v>
      </c>
      <c r="F768" s="58" t="s">
        <v>2800</v>
      </c>
      <c r="G768" s="58"/>
      <c r="H768" s="58"/>
      <c r="I768" s="57">
        <v>880</v>
      </c>
      <c r="J768" s="79">
        <f t="shared" si="26"/>
        <v>686.4</v>
      </c>
      <c r="K768" s="59"/>
      <c r="L768" s="84">
        <f t="shared" si="27"/>
        <v>0</v>
      </c>
      <c r="M768" s="60" t="s">
        <v>2695</v>
      </c>
      <c r="N768" s="57" t="s">
        <v>2801</v>
      </c>
      <c r="O768" s="57"/>
      <c r="P768" s="57"/>
      <c r="Q768" s="17" t="s">
        <v>19</v>
      </c>
      <c r="R768" s="70" t="str">
        <f>HYPERLINK("http://search.books.com.tw/search/query/key/9789864591572/cat/all
","
9789864591572")</f>
        <v xml:space="preserve">
9789864591572</v>
      </c>
    </row>
    <row r="769" spans="1:18" ht="33" hidden="1" x14ac:dyDescent="0.25">
      <c r="A769" s="1">
        <v>765</v>
      </c>
      <c r="B769" s="56" t="s">
        <v>2802</v>
      </c>
      <c r="C769" s="57" t="s">
        <v>2803</v>
      </c>
      <c r="D769" s="57" t="s">
        <v>1989</v>
      </c>
      <c r="E769" s="58" t="s">
        <v>368</v>
      </c>
      <c r="F769" s="58" t="s">
        <v>2804</v>
      </c>
      <c r="G769" s="58"/>
      <c r="H769" s="58"/>
      <c r="I769" s="57">
        <v>350</v>
      </c>
      <c r="J769" s="79">
        <f t="shared" si="26"/>
        <v>273</v>
      </c>
      <c r="K769" s="59"/>
      <c r="L769" s="84">
        <f t="shared" si="27"/>
        <v>0</v>
      </c>
      <c r="M769" s="60" t="s">
        <v>2695</v>
      </c>
      <c r="N769" s="57"/>
      <c r="O769" s="57"/>
      <c r="P769" s="57"/>
      <c r="Q769" s="17" t="s">
        <v>19</v>
      </c>
      <c r="R769" s="70" t="str">
        <f>HYPERLINK("http://search.books.com.tw/search/query/key/9789869697736/cat/all
","
9789869697736")</f>
        <v xml:space="preserve">
9789869697736</v>
      </c>
    </row>
    <row r="770" spans="1:18" ht="33" hidden="1" x14ac:dyDescent="0.25">
      <c r="A770" s="1">
        <v>766</v>
      </c>
      <c r="B770" s="56" t="s">
        <v>2805</v>
      </c>
      <c r="C770" s="57" t="s">
        <v>2806</v>
      </c>
      <c r="D770" s="57" t="s">
        <v>1989</v>
      </c>
      <c r="E770" s="58" t="s">
        <v>363</v>
      </c>
      <c r="F770" s="58" t="s">
        <v>2807</v>
      </c>
      <c r="G770" s="58"/>
      <c r="H770" s="58"/>
      <c r="I770" s="57">
        <v>480</v>
      </c>
      <c r="J770" s="79">
        <f t="shared" si="26"/>
        <v>374.4</v>
      </c>
      <c r="K770" s="59"/>
      <c r="L770" s="84">
        <f t="shared" si="27"/>
        <v>0</v>
      </c>
      <c r="M770" s="60" t="s">
        <v>2686</v>
      </c>
      <c r="N770" s="57"/>
      <c r="O770" s="57"/>
      <c r="P770" s="57"/>
      <c r="Q770" s="17" t="s">
        <v>19</v>
      </c>
      <c r="R770" s="70" t="str">
        <f>HYPERLINK("http://search.books.com.tw/search/query/key/9789869697729/cat/all
","
9789869697729")</f>
        <v xml:space="preserve">
9789869697729</v>
      </c>
    </row>
    <row r="771" spans="1:18" hidden="1" x14ac:dyDescent="0.25">
      <c r="A771" s="1">
        <v>767</v>
      </c>
      <c r="B771" s="56" t="s">
        <v>2808</v>
      </c>
      <c r="C771" s="57" t="s">
        <v>2809</v>
      </c>
      <c r="D771" s="57" t="s">
        <v>1989</v>
      </c>
      <c r="E771" s="58" t="s">
        <v>368</v>
      </c>
      <c r="F771" s="58" t="s">
        <v>2810</v>
      </c>
      <c r="G771" s="58"/>
      <c r="H771" s="58"/>
      <c r="I771" s="57">
        <v>280</v>
      </c>
      <c r="J771" s="79">
        <f t="shared" si="26"/>
        <v>218.4</v>
      </c>
      <c r="K771" s="59"/>
      <c r="L771" s="84">
        <f t="shared" si="27"/>
        <v>0</v>
      </c>
      <c r="M771" s="60" t="s">
        <v>2695</v>
      </c>
      <c r="N771" s="57"/>
      <c r="O771" s="57"/>
      <c r="P771" s="57"/>
      <c r="Q771" s="17" t="s">
        <v>19</v>
      </c>
      <c r="R771" s="70" t="str">
        <f>HYPERLINK("http://search.books.com.tw/search/query/key/9789869697750/cat/all
","
9789869697750")</f>
        <v xml:space="preserve">
9789869697750</v>
      </c>
    </row>
    <row r="772" spans="1:18" ht="49.5" hidden="1" x14ac:dyDescent="0.25">
      <c r="A772" s="1">
        <v>768</v>
      </c>
      <c r="B772" s="56" t="s">
        <v>2811</v>
      </c>
      <c r="C772" s="57" t="s">
        <v>2812</v>
      </c>
      <c r="D772" s="57" t="s">
        <v>781</v>
      </c>
      <c r="E772" s="58" t="s">
        <v>363</v>
      </c>
      <c r="F772" s="58" t="s">
        <v>2813</v>
      </c>
      <c r="G772" s="58"/>
      <c r="H772" s="58"/>
      <c r="I772" s="57">
        <v>380</v>
      </c>
      <c r="J772" s="79">
        <f t="shared" si="26"/>
        <v>296.39999999999998</v>
      </c>
      <c r="K772" s="59"/>
      <c r="L772" s="84">
        <f t="shared" si="27"/>
        <v>0</v>
      </c>
      <c r="M772" s="60" t="s">
        <v>2686</v>
      </c>
      <c r="N772" s="57"/>
      <c r="O772" s="57"/>
      <c r="P772" s="57"/>
      <c r="Q772" s="17" t="s">
        <v>19</v>
      </c>
      <c r="R772" s="70" t="str">
        <f>HYPERLINK("http://search.books.com.tw/search/query/key/9789864012855/cat/all
","
9789864012855")</f>
        <v xml:space="preserve">
9789864012855</v>
      </c>
    </row>
    <row r="773" spans="1:18" ht="33" hidden="1" x14ac:dyDescent="0.25">
      <c r="A773" s="1">
        <v>769</v>
      </c>
      <c r="B773" s="56" t="s">
        <v>2814</v>
      </c>
      <c r="C773" s="57" t="s">
        <v>2815</v>
      </c>
      <c r="D773" s="57" t="s">
        <v>781</v>
      </c>
      <c r="E773" s="58" t="s">
        <v>363</v>
      </c>
      <c r="F773" s="58" t="s">
        <v>2816</v>
      </c>
      <c r="G773" s="58"/>
      <c r="H773" s="58"/>
      <c r="I773" s="57">
        <v>600</v>
      </c>
      <c r="J773" s="79">
        <f t="shared" si="26"/>
        <v>468</v>
      </c>
      <c r="K773" s="59"/>
      <c r="L773" s="84">
        <f t="shared" si="27"/>
        <v>0</v>
      </c>
      <c r="M773" s="60" t="s">
        <v>2686</v>
      </c>
      <c r="N773" s="57"/>
      <c r="O773" s="57"/>
      <c r="P773" s="57"/>
      <c r="Q773" s="17" t="s">
        <v>19</v>
      </c>
      <c r="R773" s="70" t="str">
        <f>HYPERLINK("http://search.books.com.tw/search/query/key/9789864012893/cat/all
","
9789864012893")</f>
        <v xml:space="preserve">
9789864012893</v>
      </c>
    </row>
    <row r="774" spans="1:18" hidden="1" x14ac:dyDescent="0.25">
      <c r="A774" s="1">
        <v>770</v>
      </c>
      <c r="B774" s="56" t="s">
        <v>2817</v>
      </c>
      <c r="C774" s="57" t="s">
        <v>2818</v>
      </c>
      <c r="D774" s="57" t="s">
        <v>1041</v>
      </c>
      <c r="E774" s="58" t="s">
        <v>363</v>
      </c>
      <c r="F774" s="58" t="s">
        <v>2819</v>
      </c>
      <c r="G774" s="58"/>
      <c r="H774" s="58"/>
      <c r="I774" s="57">
        <v>1200</v>
      </c>
      <c r="J774" s="79">
        <f t="shared" ref="J774:J837" si="28">ROUND(I774*0.78,2)</f>
        <v>936</v>
      </c>
      <c r="K774" s="59"/>
      <c r="L774" s="84">
        <f t="shared" ref="L774:L837" si="29">K774*J774</f>
        <v>0</v>
      </c>
      <c r="M774" s="60" t="s">
        <v>2686</v>
      </c>
      <c r="N774" s="57"/>
      <c r="O774" s="57"/>
      <c r="P774" s="57"/>
      <c r="Q774" s="17" t="s">
        <v>19</v>
      </c>
      <c r="R774" s="70" t="str">
        <f>HYPERLINK("http://search.books.com.tw/search/query/key/9789570531763/cat/all
","
9789570531763")</f>
        <v xml:space="preserve">
9789570531763</v>
      </c>
    </row>
    <row r="775" spans="1:18" hidden="1" x14ac:dyDescent="0.25">
      <c r="A775" s="1">
        <v>771</v>
      </c>
      <c r="B775" s="56" t="s">
        <v>2820</v>
      </c>
      <c r="C775" s="57" t="s">
        <v>2821</v>
      </c>
      <c r="D775" s="57" t="s">
        <v>2822</v>
      </c>
      <c r="E775" s="58" t="s">
        <v>363</v>
      </c>
      <c r="F775" s="58" t="s">
        <v>2823</v>
      </c>
      <c r="G775" s="58"/>
      <c r="H775" s="58"/>
      <c r="I775" s="57">
        <v>530</v>
      </c>
      <c r="J775" s="79">
        <f t="shared" si="28"/>
        <v>413.4</v>
      </c>
      <c r="K775" s="59"/>
      <c r="L775" s="84">
        <f t="shared" si="29"/>
        <v>0</v>
      </c>
      <c r="M775" s="60" t="s">
        <v>2686</v>
      </c>
      <c r="N775" s="57"/>
      <c r="O775" s="57"/>
      <c r="P775" s="57"/>
      <c r="Q775" s="17" t="s">
        <v>19</v>
      </c>
      <c r="R775" s="70" t="str">
        <f>HYPERLINK("http://search.books.com.tw/search/query/key/9789620443831/cat/all
","
9789620443831")</f>
        <v xml:space="preserve">
9789620443831</v>
      </c>
    </row>
    <row r="776" spans="1:18" hidden="1" x14ac:dyDescent="0.25">
      <c r="A776" s="1">
        <v>772</v>
      </c>
      <c r="B776" s="56" t="s">
        <v>2824</v>
      </c>
      <c r="C776" s="57" t="s">
        <v>2825</v>
      </c>
      <c r="D776" s="57" t="s">
        <v>2826</v>
      </c>
      <c r="E776" s="58" t="s">
        <v>359</v>
      </c>
      <c r="F776" s="58" t="s">
        <v>2827</v>
      </c>
      <c r="G776" s="58"/>
      <c r="H776" s="58"/>
      <c r="I776" s="57">
        <v>500</v>
      </c>
      <c r="J776" s="79">
        <f t="shared" si="28"/>
        <v>390</v>
      </c>
      <c r="K776" s="59"/>
      <c r="L776" s="84">
        <f t="shared" si="29"/>
        <v>0</v>
      </c>
      <c r="M776" s="60" t="s">
        <v>2686</v>
      </c>
      <c r="N776" s="57"/>
      <c r="O776" s="57"/>
      <c r="P776" s="57"/>
      <c r="Q776" s="17" t="s">
        <v>19</v>
      </c>
      <c r="R776" s="70" t="str">
        <f>HYPERLINK("http://search.books.com.tw/search/query/key/9789868170100/cat/all
","
9789868170100")</f>
        <v xml:space="preserve">
9789868170100</v>
      </c>
    </row>
    <row r="777" spans="1:18" ht="82.5" hidden="1" x14ac:dyDescent="0.25">
      <c r="A777" s="1">
        <v>773</v>
      </c>
      <c r="B777" s="56" t="s">
        <v>2828</v>
      </c>
      <c r="C777" s="57" t="s">
        <v>2829</v>
      </c>
      <c r="D777" s="57" t="s">
        <v>2189</v>
      </c>
      <c r="E777" s="58" t="s">
        <v>363</v>
      </c>
      <c r="F777" s="58" t="s">
        <v>2830</v>
      </c>
      <c r="G777" s="58"/>
      <c r="H777" s="58"/>
      <c r="I777" s="57">
        <v>669</v>
      </c>
      <c r="J777" s="79">
        <f t="shared" si="28"/>
        <v>521.82000000000005</v>
      </c>
      <c r="K777" s="59"/>
      <c r="L777" s="84">
        <f t="shared" si="29"/>
        <v>0</v>
      </c>
      <c r="M777" s="60" t="s">
        <v>2686</v>
      </c>
      <c r="N777" s="56" t="s">
        <v>2831</v>
      </c>
      <c r="O777" s="57"/>
      <c r="P777" s="57"/>
      <c r="Q777" s="17" t="s">
        <v>19</v>
      </c>
      <c r="R777" s="70" t="str">
        <f>HYPERLINK("http://search.books.com.tw/search/query/key/9789869679640/cat/all
","
9789869679640")</f>
        <v xml:space="preserve">
9789869679640</v>
      </c>
    </row>
    <row r="778" spans="1:18" ht="33" hidden="1" x14ac:dyDescent="0.25">
      <c r="A778" s="1">
        <v>774</v>
      </c>
      <c r="B778" s="56" t="s">
        <v>2832</v>
      </c>
      <c r="C778" s="57" t="s">
        <v>2833</v>
      </c>
      <c r="D778" s="57" t="s">
        <v>2834</v>
      </c>
      <c r="E778" s="58" t="s">
        <v>363</v>
      </c>
      <c r="F778" s="58" t="s">
        <v>2835</v>
      </c>
      <c r="G778" s="58"/>
      <c r="H778" s="58"/>
      <c r="I778" s="57">
        <v>1700</v>
      </c>
      <c r="J778" s="79">
        <f t="shared" si="28"/>
        <v>1326</v>
      </c>
      <c r="K778" s="59"/>
      <c r="L778" s="84">
        <f t="shared" si="29"/>
        <v>0</v>
      </c>
      <c r="M778" s="60" t="s">
        <v>2686</v>
      </c>
      <c r="N778" s="57"/>
      <c r="O778" s="57"/>
      <c r="P778" s="57"/>
      <c r="Q778" s="17" t="s">
        <v>19</v>
      </c>
      <c r="R778" s="70" t="str">
        <f>HYPERLINK("http://search.books.com.tw/search/query/key/9789869620536/cat/all
","
9789869620536")</f>
        <v xml:space="preserve">
9789869620536</v>
      </c>
    </row>
    <row r="779" spans="1:18" ht="33" hidden="1" x14ac:dyDescent="0.25">
      <c r="A779" s="1">
        <v>775</v>
      </c>
      <c r="B779" s="56" t="s">
        <v>2836</v>
      </c>
      <c r="C779" s="57" t="s">
        <v>2833</v>
      </c>
      <c r="D779" s="57" t="s">
        <v>2834</v>
      </c>
      <c r="E779" s="58" t="s">
        <v>363</v>
      </c>
      <c r="F779" s="58" t="s">
        <v>2837</v>
      </c>
      <c r="G779" s="58"/>
      <c r="H779" s="58"/>
      <c r="I779" s="57">
        <v>1400</v>
      </c>
      <c r="J779" s="79">
        <f t="shared" si="28"/>
        <v>1092</v>
      </c>
      <c r="K779" s="59"/>
      <c r="L779" s="84">
        <f t="shared" si="29"/>
        <v>0</v>
      </c>
      <c r="M779" s="60" t="s">
        <v>2686</v>
      </c>
      <c r="N779" s="57"/>
      <c r="O779" s="57"/>
      <c r="P779" s="57"/>
      <c r="Q779" s="17" t="s">
        <v>19</v>
      </c>
      <c r="R779" s="70" t="str">
        <f>HYPERLINK("http://search.books.com.tw/search/query/key/9789869620543/cat/all
","
9789869620543")</f>
        <v xml:space="preserve">
9789869620543</v>
      </c>
    </row>
    <row r="780" spans="1:18" ht="33" hidden="1" x14ac:dyDescent="0.25">
      <c r="A780" s="1">
        <v>776</v>
      </c>
      <c r="B780" s="56" t="s">
        <v>2838</v>
      </c>
      <c r="C780" s="57" t="s">
        <v>2839</v>
      </c>
      <c r="D780" s="57" t="s">
        <v>2840</v>
      </c>
      <c r="E780" s="58" t="s">
        <v>363</v>
      </c>
      <c r="F780" s="58" t="s">
        <v>2841</v>
      </c>
      <c r="G780" s="58"/>
      <c r="H780" s="58"/>
      <c r="I780" s="57">
        <v>280</v>
      </c>
      <c r="J780" s="79">
        <f t="shared" si="28"/>
        <v>218.4</v>
      </c>
      <c r="K780" s="59"/>
      <c r="L780" s="84">
        <f t="shared" si="29"/>
        <v>0</v>
      </c>
      <c r="M780" s="60" t="s">
        <v>2686</v>
      </c>
      <c r="N780" s="57"/>
      <c r="O780" s="57"/>
      <c r="P780" s="57"/>
      <c r="Q780" s="17" t="s">
        <v>19</v>
      </c>
      <c r="R780" s="70" t="str">
        <f>HYPERLINK("http://search.books.com.tw/search/query/key/9789862487624/cat/all
","
9789862487624")</f>
        <v xml:space="preserve">
9789862487624</v>
      </c>
    </row>
    <row r="781" spans="1:18" ht="49.5" hidden="1" x14ac:dyDescent="0.25">
      <c r="A781" s="1">
        <v>777</v>
      </c>
      <c r="B781" s="56" t="s">
        <v>2842</v>
      </c>
      <c r="C781" s="57" t="s">
        <v>2843</v>
      </c>
      <c r="D781" s="57" t="s">
        <v>2434</v>
      </c>
      <c r="E781" s="58" t="s">
        <v>363</v>
      </c>
      <c r="F781" s="58" t="s">
        <v>2844</v>
      </c>
      <c r="G781" s="58"/>
      <c r="H781" s="58"/>
      <c r="I781" s="57">
        <v>230</v>
      </c>
      <c r="J781" s="79">
        <f t="shared" si="28"/>
        <v>179.4</v>
      </c>
      <c r="K781" s="59"/>
      <c r="L781" s="84">
        <f t="shared" si="29"/>
        <v>0</v>
      </c>
      <c r="M781" s="60" t="s">
        <v>2686</v>
      </c>
      <c r="N781" s="57"/>
      <c r="O781" s="57"/>
      <c r="P781" s="57"/>
      <c r="Q781" s="17" t="s">
        <v>19</v>
      </c>
      <c r="R781" s="70" t="str">
        <f>HYPERLINK("http://search.books.com.tw/search/query/key/9789869688642/cat/all
","
9789869688642")</f>
        <v xml:space="preserve">
9789869688642</v>
      </c>
    </row>
    <row r="782" spans="1:18" ht="49.5" hidden="1" x14ac:dyDescent="0.25">
      <c r="A782" s="1">
        <v>778</v>
      </c>
      <c r="B782" s="56" t="s">
        <v>2845</v>
      </c>
      <c r="C782" s="57" t="s">
        <v>2846</v>
      </c>
      <c r="D782" s="57" t="s">
        <v>2434</v>
      </c>
      <c r="E782" s="58" t="s">
        <v>363</v>
      </c>
      <c r="F782" s="58" t="s">
        <v>2847</v>
      </c>
      <c r="G782" s="58"/>
      <c r="H782" s="58"/>
      <c r="I782" s="57">
        <v>230</v>
      </c>
      <c r="J782" s="79">
        <f t="shared" si="28"/>
        <v>179.4</v>
      </c>
      <c r="K782" s="59"/>
      <c r="L782" s="84">
        <f t="shared" si="29"/>
        <v>0</v>
      </c>
      <c r="M782" s="60" t="s">
        <v>2686</v>
      </c>
      <c r="N782" s="57"/>
      <c r="O782" s="57"/>
      <c r="P782" s="57"/>
      <c r="Q782" s="17" t="s">
        <v>19</v>
      </c>
      <c r="R782" s="70" t="str">
        <f>HYPERLINK("http://search.books.com.tw/search/query/key/9789869688659/cat/all
","
9789869688659")</f>
        <v xml:space="preserve">
9789869688659</v>
      </c>
    </row>
    <row r="783" spans="1:18" ht="49.5" hidden="1" x14ac:dyDescent="0.25">
      <c r="A783" s="1">
        <v>779</v>
      </c>
      <c r="B783" s="56" t="s">
        <v>2848</v>
      </c>
      <c r="C783" s="57" t="s">
        <v>2849</v>
      </c>
      <c r="D783" s="57" t="s">
        <v>2434</v>
      </c>
      <c r="E783" s="58" t="s">
        <v>363</v>
      </c>
      <c r="F783" s="58" t="s">
        <v>2850</v>
      </c>
      <c r="G783" s="58"/>
      <c r="H783" s="58"/>
      <c r="I783" s="57">
        <v>399</v>
      </c>
      <c r="J783" s="79">
        <f t="shared" si="28"/>
        <v>311.22000000000003</v>
      </c>
      <c r="K783" s="59"/>
      <c r="L783" s="84">
        <f t="shared" si="29"/>
        <v>0</v>
      </c>
      <c r="M783" s="60" t="s">
        <v>2686</v>
      </c>
      <c r="N783" s="57"/>
      <c r="O783" s="57"/>
      <c r="P783" s="57"/>
      <c r="Q783" s="17" t="s">
        <v>19</v>
      </c>
      <c r="R783" s="70" t="str">
        <f>HYPERLINK("http://search.books.com.tw/search/query/key/9789869688635/cat/all
","
9789869688635")</f>
        <v xml:space="preserve">
9789869688635</v>
      </c>
    </row>
    <row r="784" spans="1:18" ht="33" hidden="1" x14ac:dyDescent="0.25">
      <c r="A784" s="1">
        <v>780</v>
      </c>
      <c r="B784" s="56" t="s">
        <v>2851</v>
      </c>
      <c r="C784" s="57" t="s">
        <v>2852</v>
      </c>
      <c r="D784" s="57" t="s">
        <v>2434</v>
      </c>
      <c r="E784" s="58" t="s">
        <v>363</v>
      </c>
      <c r="F784" s="58" t="s">
        <v>2853</v>
      </c>
      <c r="G784" s="58"/>
      <c r="H784" s="58"/>
      <c r="I784" s="57">
        <v>360</v>
      </c>
      <c r="J784" s="79">
        <f t="shared" si="28"/>
        <v>280.8</v>
      </c>
      <c r="K784" s="59"/>
      <c r="L784" s="84">
        <f t="shared" si="29"/>
        <v>0</v>
      </c>
      <c r="M784" s="60" t="s">
        <v>2686</v>
      </c>
      <c r="N784" s="57"/>
      <c r="O784" s="57"/>
      <c r="P784" s="57"/>
      <c r="Q784" s="17" t="s">
        <v>19</v>
      </c>
      <c r="R784" s="70" t="str">
        <f>HYPERLINK("http://search.books.com.tw/search/query/key/9789869688628/cat/all
","
9789869688628")</f>
        <v xml:space="preserve">
9789869688628</v>
      </c>
    </row>
    <row r="785" spans="1:18" ht="49.5" hidden="1" x14ac:dyDescent="0.25">
      <c r="A785" s="1">
        <v>781</v>
      </c>
      <c r="B785" s="56" t="s">
        <v>2854</v>
      </c>
      <c r="C785" s="57" t="s">
        <v>2855</v>
      </c>
      <c r="D785" s="57" t="s">
        <v>2856</v>
      </c>
      <c r="E785" s="58" t="s">
        <v>359</v>
      </c>
      <c r="F785" s="58" t="s">
        <v>2857</v>
      </c>
      <c r="G785" s="58"/>
      <c r="H785" s="58"/>
      <c r="I785" s="57">
        <v>420</v>
      </c>
      <c r="J785" s="79">
        <f t="shared" si="28"/>
        <v>327.60000000000002</v>
      </c>
      <c r="K785" s="59"/>
      <c r="L785" s="84">
        <f t="shared" si="29"/>
        <v>0</v>
      </c>
      <c r="M785" s="60" t="s">
        <v>2686</v>
      </c>
      <c r="N785" s="57"/>
      <c r="O785" s="57"/>
      <c r="P785" s="57"/>
      <c r="Q785" s="17" t="s">
        <v>19</v>
      </c>
      <c r="R785" s="70" t="str">
        <f>HYPERLINK("http://search.books.com.tw/search/query/key/9789869691703/cat/all
","
9789869691703")</f>
        <v xml:space="preserve">
9789869691703</v>
      </c>
    </row>
    <row r="786" spans="1:18" ht="33" hidden="1" x14ac:dyDescent="0.25">
      <c r="A786" s="1">
        <v>782</v>
      </c>
      <c r="B786" s="56" t="s">
        <v>2858</v>
      </c>
      <c r="C786" s="57" t="s">
        <v>2859</v>
      </c>
      <c r="D786" s="57" t="s">
        <v>1771</v>
      </c>
      <c r="E786" s="58" t="s">
        <v>363</v>
      </c>
      <c r="F786" s="58" t="s">
        <v>2860</v>
      </c>
      <c r="G786" s="58"/>
      <c r="H786" s="58"/>
      <c r="I786" s="57">
        <v>620</v>
      </c>
      <c r="J786" s="79">
        <f t="shared" si="28"/>
        <v>483.6</v>
      </c>
      <c r="K786" s="59"/>
      <c r="L786" s="84">
        <f t="shared" si="29"/>
        <v>0</v>
      </c>
      <c r="M786" s="60" t="s">
        <v>2861</v>
      </c>
      <c r="N786" s="57"/>
      <c r="O786" s="57"/>
      <c r="P786" s="57"/>
      <c r="Q786" s="17" t="s">
        <v>19</v>
      </c>
      <c r="R786" s="70" t="str">
        <f>HYPERLINK("http://search.books.com.tw/search/query/key/9789863797173/cat/all
","
9789863797173")</f>
        <v xml:space="preserve">
9789863797173</v>
      </c>
    </row>
    <row r="787" spans="1:18" ht="33" hidden="1" x14ac:dyDescent="0.25">
      <c r="A787" s="1">
        <v>783</v>
      </c>
      <c r="B787" s="56" t="s">
        <v>2862</v>
      </c>
      <c r="C787" s="57" t="s">
        <v>2863</v>
      </c>
      <c r="D787" s="57" t="s">
        <v>2864</v>
      </c>
      <c r="E787" s="58" t="s">
        <v>359</v>
      </c>
      <c r="F787" s="58" t="s">
        <v>2865</v>
      </c>
      <c r="G787" s="58"/>
      <c r="H787" s="58"/>
      <c r="I787" s="57">
        <v>400</v>
      </c>
      <c r="J787" s="79">
        <f t="shared" si="28"/>
        <v>312</v>
      </c>
      <c r="K787" s="59"/>
      <c r="L787" s="84">
        <f t="shared" si="29"/>
        <v>0</v>
      </c>
      <c r="M787" s="60" t="s">
        <v>2861</v>
      </c>
      <c r="N787" s="57"/>
      <c r="O787" s="57"/>
      <c r="P787" s="57"/>
      <c r="Q787" s="17" t="s">
        <v>19</v>
      </c>
      <c r="R787" s="70" t="str">
        <f>HYPERLINK("http://search.books.com.tw/search/query/key/9789865002640/cat/all
","
9789865002640")</f>
        <v xml:space="preserve">
9789865002640</v>
      </c>
    </row>
    <row r="788" spans="1:18" hidden="1" x14ac:dyDescent="0.25">
      <c r="A788" s="1">
        <v>784</v>
      </c>
      <c r="B788" s="56" t="s">
        <v>2866</v>
      </c>
      <c r="C788" s="57" t="s">
        <v>2867</v>
      </c>
      <c r="D788" s="57" t="s">
        <v>2200</v>
      </c>
      <c r="E788" s="58" t="s">
        <v>363</v>
      </c>
      <c r="F788" s="58" t="s">
        <v>2868</v>
      </c>
      <c r="G788" s="58"/>
      <c r="H788" s="58"/>
      <c r="I788" s="57">
        <v>680</v>
      </c>
      <c r="J788" s="79">
        <f t="shared" si="28"/>
        <v>530.4</v>
      </c>
      <c r="K788" s="59"/>
      <c r="L788" s="84">
        <f t="shared" si="29"/>
        <v>0</v>
      </c>
      <c r="M788" s="60" t="s">
        <v>2861</v>
      </c>
      <c r="N788" s="57"/>
      <c r="O788" s="57"/>
      <c r="P788" s="57"/>
      <c r="Q788" s="17" t="s">
        <v>19</v>
      </c>
      <c r="R788" s="70" t="str">
        <f>HYPERLINK("http://search.books.com.tw/search/query/key/9789869671071/cat/all
","
9789869671071")</f>
        <v xml:space="preserve">
9789869671071</v>
      </c>
    </row>
    <row r="789" spans="1:18" hidden="1" x14ac:dyDescent="0.25">
      <c r="A789" s="1">
        <v>785</v>
      </c>
      <c r="B789" s="56" t="s">
        <v>2869</v>
      </c>
      <c r="C789" s="57" t="s">
        <v>2870</v>
      </c>
      <c r="D789" s="57" t="s">
        <v>1110</v>
      </c>
      <c r="E789" s="58" t="s">
        <v>368</v>
      </c>
      <c r="F789" s="58" t="s">
        <v>2871</v>
      </c>
      <c r="G789" s="58"/>
      <c r="H789" s="58"/>
      <c r="I789" s="57">
        <v>480</v>
      </c>
      <c r="J789" s="79">
        <f t="shared" si="28"/>
        <v>374.4</v>
      </c>
      <c r="K789" s="59"/>
      <c r="L789" s="84">
        <f t="shared" si="29"/>
        <v>0</v>
      </c>
      <c r="M789" s="60" t="s">
        <v>2872</v>
      </c>
      <c r="N789" s="57"/>
      <c r="O789" s="57"/>
      <c r="P789" s="57"/>
      <c r="Q789" s="17" t="s">
        <v>19</v>
      </c>
      <c r="R789" s="70" t="str">
        <f>HYPERLINK("http://search.books.com.tw/search/query/key/9789862139363/cat/all
","
9789862139363")</f>
        <v xml:space="preserve">
9789862139363</v>
      </c>
    </row>
    <row r="790" spans="1:18" hidden="1" x14ac:dyDescent="0.25">
      <c r="A790" s="1">
        <v>786</v>
      </c>
      <c r="B790" s="56" t="s">
        <v>2873</v>
      </c>
      <c r="C790" s="57" t="s">
        <v>2874</v>
      </c>
      <c r="D790" s="57" t="s">
        <v>1110</v>
      </c>
      <c r="E790" s="58" t="s">
        <v>368</v>
      </c>
      <c r="F790" s="58" t="s">
        <v>2875</v>
      </c>
      <c r="G790" s="58"/>
      <c r="H790" s="58"/>
      <c r="I790" s="57">
        <v>500</v>
      </c>
      <c r="J790" s="79">
        <f t="shared" si="28"/>
        <v>390</v>
      </c>
      <c r="K790" s="59"/>
      <c r="L790" s="84">
        <f t="shared" si="29"/>
        <v>0</v>
      </c>
      <c r="M790" s="60" t="s">
        <v>2872</v>
      </c>
      <c r="N790" s="57"/>
      <c r="O790" s="57"/>
      <c r="P790" s="57"/>
      <c r="Q790" s="17" t="s">
        <v>19</v>
      </c>
      <c r="R790" s="70" t="str">
        <f>HYPERLINK("http://search.books.com.tw/search/query/key/9789862139356/cat/all
","
9789862139356")</f>
        <v xml:space="preserve">
9789862139356</v>
      </c>
    </row>
    <row r="791" spans="1:18" hidden="1" x14ac:dyDescent="0.25">
      <c r="A791" s="1">
        <v>787</v>
      </c>
      <c r="B791" s="56" t="s">
        <v>2876</v>
      </c>
      <c r="C791" s="57" t="s">
        <v>2877</v>
      </c>
      <c r="D791" s="57" t="s">
        <v>1241</v>
      </c>
      <c r="E791" s="58" t="s">
        <v>368</v>
      </c>
      <c r="F791" s="58" t="s">
        <v>2878</v>
      </c>
      <c r="G791" s="58"/>
      <c r="H791" s="58"/>
      <c r="I791" s="57">
        <v>640</v>
      </c>
      <c r="J791" s="79">
        <f t="shared" si="28"/>
        <v>499.2</v>
      </c>
      <c r="K791" s="59"/>
      <c r="L791" s="84">
        <f t="shared" si="29"/>
        <v>0</v>
      </c>
      <c r="M791" s="60" t="s">
        <v>2872</v>
      </c>
      <c r="N791" s="57"/>
      <c r="O791" s="57"/>
      <c r="P791" s="57"/>
      <c r="Q791" s="17" t="s">
        <v>19</v>
      </c>
      <c r="R791" s="70" t="str">
        <f>HYPERLINK("http://search.books.com.tw/search/query/key/9789579699358/cat/all
","
9789579699358")</f>
        <v xml:space="preserve">
9789579699358</v>
      </c>
    </row>
    <row r="792" spans="1:18" hidden="1" x14ac:dyDescent="0.25">
      <c r="A792" s="1">
        <v>788</v>
      </c>
      <c r="B792" s="56" t="s">
        <v>2879</v>
      </c>
      <c r="C792" s="57" t="s">
        <v>2880</v>
      </c>
      <c r="D792" s="57" t="s">
        <v>2881</v>
      </c>
      <c r="E792" s="58" t="s">
        <v>359</v>
      </c>
      <c r="F792" s="58" t="s">
        <v>2882</v>
      </c>
      <c r="G792" s="58"/>
      <c r="H792" s="58"/>
      <c r="I792" s="57">
        <v>160</v>
      </c>
      <c r="J792" s="79">
        <f t="shared" si="28"/>
        <v>124.8</v>
      </c>
      <c r="K792" s="59"/>
      <c r="L792" s="84">
        <f t="shared" si="29"/>
        <v>0</v>
      </c>
      <c r="M792" s="60" t="s">
        <v>2883</v>
      </c>
      <c r="N792" s="57"/>
      <c r="O792" s="57"/>
      <c r="P792" s="57"/>
      <c r="Q792" s="17" t="s">
        <v>19</v>
      </c>
      <c r="R792" s="70" t="str">
        <f>HYPERLINK("http://search.books.com.tw/search/query/key/4712568602430/cat/all
","
4712568602430")</f>
        <v xml:space="preserve">
4712568602430</v>
      </c>
    </row>
    <row r="793" spans="1:18" hidden="1" x14ac:dyDescent="0.25">
      <c r="A793" s="1">
        <v>789</v>
      </c>
      <c r="B793" s="56" t="s">
        <v>2884</v>
      </c>
      <c r="C793" s="57" t="s">
        <v>2885</v>
      </c>
      <c r="D793" s="57" t="s">
        <v>1110</v>
      </c>
      <c r="E793" s="58" t="s">
        <v>368</v>
      </c>
      <c r="F793" s="58" t="s">
        <v>2886</v>
      </c>
      <c r="G793" s="58"/>
      <c r="H793" s="58"/>
      <c r="I793" s="57">
        <v>260</v>
      </c>
      <c r="J793" s="79">
        <f t="shared" si="28"/>
        <v>202.8</v>
      </c>
      <c r="K793" s="59"/>
      <c r="L793" s="84">
        <f t="shared" si="29"/>
        <v>0</v>
      </c>
      <c r="M793" s="60" t="s">
        <v>2887</v>
      </c>
      <c r="N793" s="57"/>
      <c r="O793" s="57"/>
      <c r="P793" s="57"/>
      <c r="Q793" s="17" t="s">
        <v>19</v>
      </c>
      <c r="R793" s="70" t="str">
        <f>HYPERLINK("http://search.books.com.tw/search/query/key/9789862139417/cat/all
","
9789862139417")</f>
        <v xml:space="preserve">
9789862139417</v>
      </c>
    </row>
    <row r="794" spans="1:18" hidden="1" x14ac:dyDescent="0.25">
      <c r="A794" s="1">
        <v>790</v>
      </c>
      <c r="B794" s="56" t="s">
        <v>2888</v>
      </c>
      <c r="C794" s="57" t="s">
        <v>2889</v>
      </c>
      <c r="D794" s="57" t="s">
        <v>939</v>
      </c>
      <c r="E794" s="58" t="s">
        <v>363</v>
      </c>
      <c r="F794" s="58" t="s">
        <v>2890</v>
      </c>
      <c r="G794" s="58"/>
      <c r="H794" s="58"/>
      <c r="I794" s="57">
        <v>350</v>
      </c>
      <c r="J794" s="79">
        <f t="shared" si="28"/>
        <v>273</v>
      </c>
      <c r="K794" s="59"/>
      <c r="L794" s="84">
        <f t="shared" si="29"/>
        <v>0</v>
      </c>
      <c r="M794" s="60" t="s">
        <v>2883</v>
      </c>
      <c r="N794" s="57"/>
      <c r="O794" s="57"/>
      <c r="P794" s="57"/>
      <c r="Q794" s="17" t="s">
        <v>19</v>
      </c>
      <c r="R794" s="70" t="str">
        <f>HYPERLINK("http://search.books.com.tw/search/query/key/9789578630840/cat/all
","
9789578630840")</f>
        <v xml:space="preserve">
9789578630840</v>
      </c>
    </row>
    <row r="795" spans="1:18" hidden="1" x14ac:dyDescent="0.25">
      <c r="A795" s="1">
        <v>791</v>
      </c>
      <c r="B795" s="56" t="s">
        <v>2891</v>
      </c>
      <c r="C795" s="57" t="s">
        <v>2892</v>
      </c>
      <c r="D795" s="57" t="s">
        <v>1505</v>
      </c>
      <c r="E795" s="58" t="s">
        <v>363</v>
      </c>
      <c r="F795" s="58" t="s">
        <v>2893</v>
      </c>
      <c r="G795" s="58"/>
      <c r="H795" s="58"/>
      <c r="I795" s="57">
        <v>150</v>
      </c>
      <c r="J795" s="79">
        <f t="shared" si="28"/>
        <v>117</v>
      </c>
      <c r="K795" s="59"/>
      <c r="L795" s="84">
        <f t="shared" si="29"/>
        <v>0</v>
      </c>
      <c r="M795" s="60" t="s">
        <v>2883</v>
      </c>
      <c r="N795" s="57"/>
      <c r="O795" s="57"/>
      <c r="P795" s="57"/>
      <c r="Q795" s="17" t="s">
        <v>19</v>
      </c>
      <c r="R795" s="70" t="str">
        <f>HYPERLINK("http://search.books.com.tw/search/query/key/9789571083575/cat/all
","
9789571083575")</f>
        <v xml:space="preserve">
9789571083575</v>
      </c>
    </row>
    <row r="796" spans="1:18" ht="33" hidden="1" x14ac:dyDescent="0.25">
      <c r="A796" s="1">
        <v>792</v>
      </c>
      <c r="B796" s="56" t="s">
        <v>2894</v>
      </c>
      <c r="C796" s="57" t="s">
        <v>2895</v>
      </c>
      <c r="D796" s="57" t="s">
        <v>1748</v>
      </c>
      <c r="E796" s="58" t="s">
        <v>363</v>
      </c>
      <c r="F796" s="58" t="s">
        <v>2896</v>
      </c>
      <c r="G796" s="58"/>
      <c r="H796" s="58"/>
      <c r="I796" s="57">
        <v>250</v>
      </c>
      <c r="J796" s="79">
        <f t="shared" si="28"/>
        <v>195</v>
      </c>
      <c r="K796" s="59"/>
      <c r="L796" s="84">
        <f t="shared" si="29"/>
        <v>0</v>
      </c>
      <c r="M796" s="60" t="s">
        <v>2887</v>
      </c>
      <c r="N796" s="57"/>
      <c r="O796" s="57"/>
      <c r="P796" s="57"/>
      <c r="Q796" s="17" t="s">
        <v>19</v>
      </c>
      <c r="R796" s="70" t="str">
        <f>HYPERLINK("http://search.books.com.tw/search/query/key/9789862357200/cat/all
","
9789862357200")</f>
        <v xml:space="preserve">
9789862357200</v>
      </c>
    </row>
    <row r="797" spans="1:18" hidden="1" x14ac:dyDescent="0.25">
      <c r="A797" s="1">
        <v>793</v>
      </c>
      <c r="B797" s="56" t="s">
        <v>2897</v>
      </c>
      <c r="C797" s="57" t="s">
        <v>2898</v>
      </c>
      <c r="D797" s="57" t="s">
        <v>2899</v>
      </c>
      <c r="E797" s="58" t="s">
        <v>363</v>
      </c>
      <c r="F797" s="58" t="s">
        <v>2900</v>
      </c>
      <c r="G797" s="58"/>
      <c r="H797" s="58"/>
      <c r="I797" s="57">
        <v>299</v>
      </c>
      <c r="J797" s="79">
        <f t="shared" si="28"/>
        <v>233.22</v>
      </c>
      <c r="K797" s="59"/>
      <c r="L797" s="84">
        <f t="shared" si="29"/>
        <v>0</v>
      </c>
      <c r="M797" s="60" t="s">
        <v>2901</v>
      </c>
      <c r="N797" s="57"/>
      <c r="O797" s="57"/>
      <c r="P797" s="57"/>
      <c r="Q797" s="17" t="s">
        <v>19</v>
      </c>
      <c r="R797" s="70" t="str">
        <f>HYPERLINK("http://search.books.com.tw/search/query/key/9789864412709/cat/all
","
9789864412709")</f>
        <v xml:space="preserve">
9789864412709</v>
      </c>
    </row>
    <row r="798" spans="1:18" hidden="1" x14ac:dyDescent="0.25">
      <c r="A798" s="1">
        <v>794</v>
      </c>
      <c r="B798" s="56" t="s">
        <v>2902</v>
      </c>
      <c r="C798" s="57" t="s">
        <v>2898</v>
      </c>
      <c r="D798" s="57" t="s">
        <v>2899</v>
      </c>
      <c r="E798" s="58" t="s">
        <v>363</v>
      </c>
      <c r="F798" s="58" t="s">
        <v>2903</v>
      </c>
      <c r="G798" s="58"/>
      <c r="H798" s="58"/>
      <c r="I798" s="57">
        <v>399</v>
      </c>
      <c r="J798" s="79">
        <f t="shared" si="28"/>
        <v>311.22000000000003</v>
      </c>
      <c r="K798" s="59"/>
      <c r="L798" s="84">
        <f t="shared" si="29"/>
        <v>0</v>
      </c>
      <c r="M798" s="60" t="s">
        <v>2901</v>
      </c>
      <c r="N798" s="57"/>
      <c r="O798" s="57"/>
      <c r="P798" s="57"/>
      <c r="Q798" s="17" t="s">
        <v>19</v>
      </c>
      <c r="R798" s="70" t="str">
        <f>HYPERLINK("http://search.books.com.tw/search/query/key/9789864412693/cat/all
","
9789864412693")</f>
        <v xml:space="preserve">
9789864412693</v>
      </c>
    </row>
    <row r="799" spans="1:18" hidden="1" x14ac:dyDescent="0.25">
      <c r="A799" s="1">
        <v>795</v>
      </c>
      <c r="B799" s="56" t="s">
        <v>2904</v>
      </c>
      <c r="C799" s="57" t="s">
        <v>2898</v>
      </c>
      <c r="D799" s="57" t="s">
        <v>2899</v>
      </c>
      <c r="E799" s="58" t="s">
        <v>363</v>
      </c>
      <c r="F799" s="58" t="s">
        <v>2905</v>
      </c>
      <c r="G799" s="58"/>
      <c r="H799" s="58"/>
      <c r="I799" s="57">
        <v>550</v>
      </c>
      <c r="J799" s="79">
        <f t="shared" si="28"/>
        <v>429</v>
      </c>
      <c r="K799" s="59"/>
      <c r="L799" s="84">
        <f t="shared" si="29"/>
        <v>0</v>
      </c>
      <c r="M799" s="60" t="s">
        <v>2901</v>
      </c>
      <c r="N799" s="57"/>
      <c r="O799" s="57"/>
      <c r="P799" s="57"/>
      <c r="Q799" s="17" t="s">
        <v>19</v>
      </c>
      <c r="R799" s="70" t="str">
        <f>HYPERLINK("http://search.books.com.tw/search/query/key/9789864412501/cat/all
","
9789864412501")</f>
        <v xml:space="preserve">
9789864412501</v>
      </c>
    </row>
    <row r="800" spans="1:18" ht="33" hidden="1" x14ac:dyDescent="0.25">
      <c r="A800" s="1">
        <v>796</v>
      </c>
      <c r="B800" s="56" t="s">
        <v>2906</v>
      </c>
      <c r="C800" s="57" t="s">
        <v>2907</v>
      </c>
      <c r="D800" s="57" t="s">
        <v>2019</v>
      </c>
      <c r="E800" s="58" t="s">
        <v>363</v>
      </c>
      <c r="F800" s="58" t="s">
        <v>2908</v>
      </c>
      <c r="G800" s="58"/>
      <c r="H800" s="58"/>
      <c r="I800" s="57">
        <v>300</v>
      </c>
      <c r="J800" s="79">
        <f t="shared" si="28"/>
        <v>234</v>
      </c>
      <c r="K800" s="59"/>
      <c r="L800" s="84">
        <f t="shared" si="29"/>
        <v>0</v>
      </c>
      <c r="M800" s="60" t="s">
        <v>2901</v>
      </c>
      <c r="N800" s="57"/>
      <c r="O800" s="57"/>
      <c r="P800" s="57"/>
      <c r="Q800" s="17" t="s">
        <v>19</v>
      </c>
      <c r="R800" s="70" t="str">
        <f>HYPERLINK("http://search.books.com.tw/search/query/key/9789863362579/cat/all
","
9789863362579")</f>
        <v xml:space="preserve">
9789863362579</v>
      </c>
    </row>
    <row r="801" spans="1:18" hidden="1" x14ac:dyDescent="0.25">
      <c r="A801" s="1">
        <v>797</v>
      </c>
      <c r="B801" s="56" t="s">
        <v>2909</v>
      </c>
      <c r="C801" s="57" t="s">
        <v>1402</v>
      </c>
      <c r="D801" s="57" t="s">
        <v>924</v>
      </c>
      <c r="E801" s="58" t="s">
        <v>359</v>
      </c>
      <c r="F801" s="58" t="s">
        <v>2910</v>
      </c>
      <c r="G801" s="58"/>
      <c r="H801" s="58"/>
      <c r="I801" s="57">
        <v>360</v>
      </c>
      <c r="J801" s="79">
        <f t="shared" si="28"/>
        <v>280.8</v>
      </c>
      <c r="K801" s="59"/>
      <c r="L801" s="84">
        <f t="shared" si="29"/>
        <v>0</v>
      </c>
      <c r="M801" s="60" t="s">
        <v>2901</v>
      </c>
      <c r="N801" s="57"/>
      <c r="O801" s="57"/>
      <c r="P801" s="57"/>
      <c r="Q801" s="17" t="s">
        <v>19</v>
      </c>
      <c r="R801" s="70" t="str">
        <f>HYPERLINK("http://search.books.com.tw/search/query/key/9789863595922/cat/all
","
9789863595922")</f>
        <v xml:space="preserve">
9789863595922</v>
      </c>
    </row>
    <row r="802" spans="1:18" hidden="1" x14ac:dyDescent="0.25">
      <c r="A802" s="1">
        <v>798</v>
      </c>
      <c r="B802" s="56" t="s">
        <v>2911</v>
      </c>
      <c r="C802" s="57" t="s">
        <v>1402</v>
      </c>
      <c r="D802" s="57" t="s">
        <v>924</v>
      </c>
      <c r="E802" s="58" t="s">
        <v>359</v>
      </c>
      <c r="F802" s="58" t="s">
        <v>2912</v>
      </c>
      <c r="G802" s="58"/>
      <c r="H802" s="58"/>
      <c r="I802" s="57">
        <v>380</v>
      </c>
      <c r="J802" s="79">
        <f t="shared" si="28"/>
        <v>296.39999999999998</v>
      </c>
      <c r="K802" s="59"/>
      <c r="L802" s="84">
        <f t="shared" si="29"/>
        <v>0</v>
      </c>
      <c r="M802" s="60" t="s">
        <v>2901</v>
      </c>
      <c r="N802" s="57"/>
      <c r="O802" s="57"/>
      <c r="P802" s="57"/>
      <c r="Q802" s="17" t="s">
        <v>19</v>
      </c>
      <c r="R802" s="70" t="str">
        <f>HYPERLINK("http://search.books.com.tw/search/query/key/9789863595939/cat/all
","
9789863595939")</f>
        <v xml:space="preserve">
9789863595939</v>
      </c>
    </row>
    <row r="803" spans="1:18" ht="33" hidden="1" x14ac:dyDescent="0.25">
      <c r="A803" s="1">
        <v>799</v>
      </c>
      <c r="B803" s="56" t="s">
        <v>2913</v>
      </c>
      <c r="C803" s="57" t="s">
        <v>2914</v>
      </c>
      <c r="D803" s="57" t="s">
        <v>2915</v>
      </c>
      <c r="E803" s="58" t="s">
        <v>363</v>
      </c>
      <c r="F803" s="58" t="s">
        <v>2916</v>
      </c>
      <c r="G803" s="58"/>
      <c r="H803" s="58"/>
      <c r="I803" s="57">
        <v>320</v>
      </c>
      <c r="J803" s="79">
        <f t="shared" si="28"/>
        <v>249.6</v>
      </c>
      <c r="K803" s="59"/>
      <c r="L803" s="84">
        <f t="shared" si="29"/>
        <v>0</v>
      </c>
      <c r="M803" s="60" t="s">
        <v>2917</v>
      </c>
      <c r="N803" s="57"/>
      <c r="O803" s="57"/>
      <c r="P803" s="57"/>
      <c r="Q803" s="17" t="s">
        <v>19</v>
      </c>
      <c r="R803" s="70" t="str">
        <f>HYPERLINK("http://search.books.com.tw/search/query/key/9789862465233/cat/all
","
9789862465233")</f>
        <v xml:space="preserve">
9789862465233</v>
      </c>
    </row>
    <row r="804" spans="1:18" ht="33" hidden="1" x14ac:dyDescent="0.25">
      <c r="A804" s="1">
        <v>800</v>
      </c>
      <c r="B804" s="56" t="s">
        <v>2918</v>
      </c>
      <c r="C804" s="57" t="s">
        <v>2919</v>
      </c>
      <c r="D804" s="57" t="s">
        <v>2915</v>
      </c>
      <c r="E804" s="58" t="s">
        <v>363</v>
      </c>
      <c r="F804" s="58" t="s">
        <v>2920</v>
      </c>
      <c r="G804" s="58"/>
      <c r="H804" s="58"/>
      <c r="I804" s="57">
        <v>320</v>
      </c>
      <c r="J804" s="79">
        <f t="shared" si="28"/>
        <v>249.6</v>
      </c>
      <c r="K804" s="59"/>
      <c r="L804" s="84">
        <f t="shared" si="29"/>
        <v>0</v>
      </c>
      <c r="M804" s="60" t="s">
        <v>2917</v>
      </c>
      <c r="N804" s="57"/>
      <c r="O804" s="57"/>
      <c r="P804" s="57"/>
      <c r="Q804" s="17" t="s">
        <v>19</v>
      </c>
      <c r="R804" s="70" t="str">
        <f>HYPERLINK("http://search.books.com.tw/search/query/key/9789862465226/cat/all
","
9789862465226")</f>
        <v xml:space="preserve">
9789862465226</v>
      </c>
    </row>
    <row r="805" spans="1:18" ht="33" hidden="1" x14ac:dyDescent="0.25">
      <c r="A805" s="1">
        <v>801</v>
      </c>
      <c r="B805" s="56" t="s">
        <v>2921</v>
      </c>
      <c r="C805" s="57" t="s">
        <v>2922</v>
      </c>
      <c r="D805" s="57" t="s">
        <v>1153</v>
      </c>
      <c r="E805" s="58" t="s">
        <v>363</v>
      </c>
      <c r="F805" s="58" t="s">
        <v>2923</v>
      </c>
      <c r="G805" s="58"/>
      <c r="H805" s="58"/>
      <c r="I805" s="57">
        <v>350</v>
      </c>
      <c r="J805" s="79">
        <f t="shared" si="28"/>
        <v>273</v>
      </c>
      <c r="K805" s="59"/>
      <c r="L805" s="84">
        <f t="shared" si="29"/>
        <v>0</v>
      </c>
      <c r="M805" s="60" t="s">
        <v>2901</v>
      </c>
      <c r="N805" s="57"/>
      <c r="O805" s="57"/>
      <c r="P805" s="57"/>
      <c r="Q805" s="17" t="s">
        <v>19</v>
      </c>
      <c r="R805" s="70" t="str">
        <f>HYPERLINK("http://search.books.com.tw/search/query/key/9789865626822/cat/all
","
9789865626822")</f>
        <v xml:space="preserve">
9789865626822</v>
      </c>
    </row>
    <row r="806" spans="1:18" ht="33" hidden="1" x14ac:dyDescent="0.25">
      <c r="A806" s="1">
        <v>802</v>
      </c>
      <c r="B806" s="56" t="s">
        <v>2924</v>
      </c>
      <c r="C806" s="57" t="s">
        <v>2925</v>
      </c>
      <c r="D806" s="57" t="s">
        <v>2926</v>
      </c>
      <c r="E806" s="58" t="s">
        <v>363</v>
      </c>
      <c r="F806" s="58" t="s">
        <v>2927</v>
      </c>
      <c r="G806" s="58"/>
      <c r="H806" s="58"/>
      <c r="I806" s="57">
        <v>250</v>
      </c>
      <c r="J806" s="79">
        <f t="shared" si="28"/>
        <v>195</v>
      </c>
      <c r="K806" s="59"/>
      <c r="L806" s="84">
        <f t="shared" si="29"/>
        <v>0</v>
      </c>
      <c r="M806" s="60" t="s">
        <v>2901</v>
      </c>
      <c r="N806" s="57"/>
      <c r="O806" s="57"/>
      <c r="P806" s="57"/>
      <c r="Q806" s="17" t="s">
        <v>19</v>
      </c>
      <c r="R806" s="70" t="str">
        <f>HYPERLINK("http://search.books.com.tw/search/query/key/9789869697316/cat/all
","
9789869697316")</f>
        <v xml:space="preserve">
9789869697316</v>
      </c>
    </row>
    <row r="807" spans="1:18" hidden="1" x14ac:dyDescent="0.25">
      <c r="A807" s="1">
        <v>803</v>
      </c>
      <c r="B807" s="56" t="s">
        <v>2928</v>
      </c>
      <c r="C807" s="57" t="s">
        <v>2925</v>
      </c>
      <c r="D807" s="57" t="s">
        <v>2926</v>
      </c>
      <c r="E807" s="58" t="s">
        <v>359</v>
      </c>
      <c r="F807" s="58" t="s">
        <v>2929</v>
      </c>
      <c r="G807" s="58"/>
      <c r="H807" s="58"/>
      <c r="I807" s="57">
        <v>250</v>
      </c>
      <c r="J807" s="79">
        <f t="shared" si="28"/>
        <v>195</v>
      </c>
      <c r="K807" s="59"/>
      <c r="L807" s="84">
        <f t="shared" si="29"/>
        <v>0</v>
      </c>
      <c r="M807" s="60" t="s">
        <v>2901</v>
      </c>
      <c r="N807" s="57"/>
      <c r="O807" s="57"/>
      <c r="P807" s="57"/>
      <c r="Q807" s="17" t="s">
        <v>19</v>
      </c>
      <c r="R807" s="70" t="str">
        <f>HYPERLINK("http://search.books.com.tw/search/query/key/9789869697309/cat/all
","
9789869697309")</f>
        <v xml:space="preserve">
9789869697309</v>
      </c>
    </row>
    <row r="808" spans="1:18" ht="33" hidden="1" x14ac:dyDescent="0.25">
      <c r="A808" s="1">
        <v>804</v>
      </c>
      <c r="B808" s="56" t="s">
        <v>2930</v>
      </c>
      <c r="C808" s="57" t="s">
        <v>2931</v>
      </c>
      <c r="D808" s="57" t="s">
        <v>2262</v>
      </c>
      <c r="E808" s="58" t="s">
        <v>363</v>
      </c>
      <c r="F808" s="58" t="s">
        <v>2932</v>
      </c>
      <c r="G808" s="58"/>
      <c r="H808" s="58"/>
      <c r="I808" s="57">
        <v>250</v>
      </c>
      <c r="J808" s="79">
        <f t="shared" si="28"/>
        <v>195</v>
      </c>
      <c r="K808" s="59"/>
      <c r="L808" s="84">
        <f t="shared" si="29"/>
        <v>0</v>
      </c>
      <c r="M808" s="60" t="s">
        <v>2901</v>
      </c>
      <c r="N808" s="57"/>
      <c r="O808" s="57"/>
      <c r="P808" s="57"/>
      <c r="Q808" s="17" t="s">
        <v>19</v>
      </c>
      <c r="R808" s="70" t="str">
        <f>HYPERLINK("http://search.books.com.tw/search/query/key/9789574359042/cat/all
","
9789574359042")</f>
        <v xml:space="preserve">
9789574359042</v>
      </c>
    </row>
    <row r="809" spans="1:18" hidden="1" x14ac:dyDescent="0.25">
      <c r="A809" s="1">
        <v>805</v>
      </c>
      <c r="B809" s="56" t="s">
        <v>2933</v>
      </c>
      <c r="C809" s="57" t="s">
        <v>2934</v>
      </c>
      <c r="D809" s="57" t="s">
        <v>1200</v>
      </c>
      <c r="E809" s="58" t="s">
        <v>368</v>
      </c>
      <c r="F809" s="58" t="s">
        <v>2935</v>
      </c>
      <c r="G809" s="58"/>
      <c r="H809" s="58"/>
      <c r="I809" s="57">
        <v>220</v>
      </c>
      <c r="J809" s="79">
        <f t="shared" si="28"/>
        <v>171.6</v>
      </c>
      <c r="K809" s="59"/>
      <c r="L809" s="84">
        <f t="shared" si="29"/>
        <v>0</v>
      </c>
      <c r="M809" s="60" t="s">
        <v>2917</v>
      </c>
      <c r="N809" s="57"/>
      <c r="O809" s="57"/>
      <c r="P809" s="57"/>
      <c r="Q809" s="17" t="s">
        <v>19</v>
      </c>
      <c r="R809" s="70" t="str">
        <f>HYPERLINK("http://search.books.com.tw/search/query/key/9789864452965/cat/all
","
9789864452965")</f>
        <v xml:space="preserve">
9789864452965</v>
      </c>
    </row>
    <row r="810" spans="1:18" hidden="1" x14ac:dyDescent="0.25">
      <c r="A810" s="1">
        <v>806</v>
      </c>
      <c r="B810" s="56" t="s">
        <v>2936</v>
      </c>
      <c r="C810" s="57" t="s">
        <v>2937</v>
      </c>
      <c r="D810" s="57" t="s">
        <v>2938</v>
      </c>
      <c r="E810" s="58" t="s">
        <v>363</v>
      </c>
      <c r="F810" s="58" t="s">
        <v>2939</v>
      </c>
      <c r="G810" s="58"/>
      <c r="H810" s="58"/>
      <c r="I810" s="57">
        <v>349</v>
      </c>
      <c r="J810" s="79">
        <f t="shared" si="28"/>
        <v>272.22000000000003</v>
      </c>
      <c r="K810" s="59"/>
      <c r="L810" s="84">
        <f t="shared" si="29"/>
        <v>0</v>
      </c>
      <c r="M810" s="60" t="s">
        <v>2901</v>
      </c>
      <c r="N810" s="57"/>
      <c r="O810" s="57"/>
      <c r="P810" s="57"/>
      <c r="Q810" s="17" t="s">
        <v>19</v>
      </c>
      <c r="R810" s="70" t="str">
        <f>HYPERLINK("http://search.books.com.tw/search/query/key/9789869690416/cat/all
","
9789869690416")</f>
        <v xml:space="preserve">
9789869690416</v>
      </c>
    </row>
    <row r="811" spans="1:18" hidden="1" x14ac:dyDescent="0.25">
      <c r="A811" s="1">
        <v>807</v>
      </c>
      <c r="B811" s="56" t="s">
        <v>2940</v>
      </c>
      <c r="C811" s="57" t="s">
        <v>2941</v>
      </c>
      <c r="D811" s="57" t="s">
        <v>2938</v>
      </c>
      <c r="E811" s="58" t="s">
        <v>363</v>
      </c>
      <c r="F811" s="58" t="s">
        <v>2942</v>
      </c>
      <c r="G811" s="58"/>
      <c r="H811" s="58"/>
      <c r="I811" s="57">
        <v>998</v>
      </c>
      <c r="J811" s="79">
        <f t="shared" si="28"/>
        <v>778.44</v>
      </c>
      <c r="K811" s="59"/>
      <c r="L811" s="84">
        <f t="shared" si="29"/>
        <v>0</v>
      </c>
      <c r="M811" s="60" t="s">
        <v>2917</v>
      </c>
      <c r="N811" s="57"/>
      <c r="O811" s="57"/>
      <c r="P811" s="57"/>
      <c r="Q811" s="17" t="s">
        <v>19</v>
      </c>
      <c r="R811" s="70" t="str">
        <f>HYPERLINK("http://search.books.com.tw/search/query/key/9789868854406/cat/all
","
9789868854406")</f>
        <v xml:space="preserve">
9789868854406</v>
      </c>
    </row>
    <row r="812" spans="1:18" ht="33" hidden="1" x14ac:dyDescent="0.25">
      <c r="A812" s="1">
        <v>808</v>
      </c>
      <c r="B812" s="56" t="s">
        <v>2943</v>
      </c>
      <c r="C812" s="57" t="s">
        <v>2944</v>
      </c>
      <c r="D812" s="57" t="s">
        <v>2945</v>
      </c>
      <c r="E812" s="58" t="s">
        <v>368</v>
      </c>
      <c r="F812" s="58" t="s">
        <v>2946</v>
      </c>
      <c r="G812" s="58"/>
      <c r="H812" s="58"/>
      <c r="I812" s="57">
        <v>299</v>
      </c>
      <c r="J812" s="79">
        <f t="shared" si="28"/>
        <v>233.22</v>
      </c>
      <c r="K812" s="59"/>
      <c r="L812" s="84">
        <f t="shared" si="29"/>
        <v>0</v>
      </c>
      <c r="M812" s="60" t="s">
        <v>2917</v>
      </c>
      <c r="N812" s="57"/>
      <c r="O812" s="57"/>
      <c r="P812" s="57"/>
      <c r="Q812" s="17" t="s">
        <v>19</v>
      </c>
      <c r="R812" s="70" t="str">
        <f>HYPERLINK("http://search.books.com.tw/search/query/key/9789869703727/cat/all
","
9789869703727")</f>
        <v xml:space="preserve">
9789869703727</v>
      </c>
    </row>
    <row r="813" spans="1:18" hidden="1" x14ac:dyDescent="0.25">
      <c r="A813" s="1">
        <v>809</v>
      </c>
      <c r="B813" s="56" t="s">
        <v>2947</v>
      </c>
      <c r="C813" s="57" t="s">
        <v>2948</v>
      </c>
      <c r="D813" s="57" t="s">
        <v>2949</v>
      </c>
      <c r="E813" s="58" t="s">
        <v>363</v>
      </c>
      <c r="F813" s="58" t="s">
        <v>2950</v>
      </c>
      <c r="G813" s="58"/>
      <c r="H813" s="58"/>
      <c r="I813" s="57">
        <v>449</v>
      </c>
      <c r="J813" s="79">
        <f t="shared" si="28"/>
        <v>350.22</v>
      </c>
      <c r="K813" s="59"/>
      <c r="L813" s="84">
        <f t="shared" si="29"/>
        <v>0</v>
      </c>
      <c r="M813" s="60" t="s">
        <v>2901</v>
      </c>
      <c r="N813" s="57"/>
      <c r="O813" s="57"/>
      <c r="P813" s="57"/>
      <c r="Q813" s="17" t="s">
        <v>19</v>
      </c>
      <c r="R813" s="70" t="str">
        <f>HYPERLINK("http://search.books.com.tw/search/query/key/9789864071067/cat/all
","
9789864071067")</f>
        <v xml:space="preserve">
9789864071067</v>
      </c>
    </row>
    <row r="814" spans="1:18" ht="33" hidden="1" x14ac:dyDescent="0.25">
      <c r="A814" s="1">
        <v>810</v>
      </c>
      <c r="B814" s="56" t="s">
        <v>2951</v>
      </c>
      <c r="C814" s="57" t="s">
        <v>2952</v>
      </c>
      <c r="D814" s="57" t="s">
        <v>2953</v>
      </c>
      <c r="E814" s="58" t="s">
        <v>363</v>
      </c>
      <c r="F814" s="58" t="s">
        <v>2954</v>
      </c>
      <c r="G814" s="58"/>
      <c r="H814" s="58"/>
      <c r="I814" s="57">
        <v>399</v>
      </c>
      <c r="J814" s="79">
        <f t="shared" si="28"/>
        <v>311.22000000000003</v>
      </c>
      <c r="K814" s="59"/>
      <c r="L814" s="84">
        <f t="shared" si="29"/>
        <v>0</v>
      </c>
      <c r="M814" s="60" t="s">
        <v>2901</v>
      </c>
      <c r="N814" s="57"/>
      <c r="O814" s="57"/>
      <c r="P814" s="57"/>
      <c r="Q814" s="17" t="s">
        <v>19</v>
      </c>
      <c r="R814" s="70" t="str">
        <f>HYPERLINK("http://search.books.com.tw/search/query/key/9789864540877/cat/all
","
9789864540877")</f>
        <v xml:space="preserve">
9789864540877</v>
      </c>
    </row>
    <row r="815" spans="1:18" ht="33" hidden="1" x14ac:dyDescent="0.25">
      <c r="A815" s="1">
        <v>811</v>
      </c>
      <c r="B815" s="56" t="s">
        <v>2955</v>
      </c>
      <c r="C815" s="57" t="s">
        <v>2956</v>
      </c>
      <c r="D815" s="57" t="s">
        <v>2957</v>
      </c>
      <c r="E815" s="58" t="s">
        <v>368</v>
      </c>
      <c r="F815" s="58" t="s">
        <v>2958</v>
      </c>
      <c r="G815" s="58"/>
      <c r="H815" s="58"/>
      <c r="I815" s="57">
        <v>340</v>
      </c>
      <c r="J815" s="79">
        <f t="shared" si="28"/>
        <v>265.2</v>
      </c>
      <c r="K815" s="59"/>
      <c r="L815" s="84">
        <f t="shared" si="29"/>
        <v>0</v>
      </c>
      <c r="M815" s="60" t="s">
        <v>2917</v>
      </c>
      <c r="N815" s="57"/>
      <c r="O815" s="57"/>
      <c r="P815" s="57"/>
      <c r="Q815" s="17" t="s">
        <v>19</v>
      </c>
      <c r="R815" s="70" t="str">
        <f>HYPERLINK("http://search.books.com.tw/search/query/key/9789578904569/cat/all
","
9789578904569")</f>
        <v xml:space="preserve">
9789578904569</v>
      </c>
    </row>
    <row r="816" spans="1:18" ht="33" hidden="1" x14ac:dyDescent="0.25">
      <c r="A816" s="1">
        <v>812</v>
      </c>
      <c r="B816" s="56" t="s">
        <v>2959</v>
      </c>
      <c r="C816" s="57" t="s">
        <v>2960</v>
      </c>
      <c r="D816" s="57" t="s">
        <v>2957</v>
      </c>
      <c r="E816" s="58" t="s">
        <v>368</v>
      </c>
      <c r="F816" s="58" t="s">
        <v>2961</v>
      </c>
      <c r="G816" s="58"/>
      <c r="H816" s="58"/>
      <c r="I816" s="57">
        <v>340</v>
      </c>
      <c r="J816" s="79">
        <f t="shared" si="28"/>
        <v>265.2</v>
      </c>
      <c r="K816" s="59"/>
      <c r="L816" s="84">
        <f t="shared" si="29"/>
        <v>0</v>
      </c>
      <c r="M816" s="60" t="s">
        <v>2917</v>
      </c>
      <c r="N816" s="57"/>
      <c r="O816" s="57"/>
      <c r="P816" s="57"/>
      <c r="Q816" s="17" t="s">
        <v>19</v>
      </c>
      <c r="R816" s="70" t="str">
        <f>HYPERLINK("http://search.books.com.tw/search/query/key/9789578904552/cat/all
","
9789578904552")</f>
        <v xml:space="preserve">
9789578904552</v>
      </c>
    </row>
    <row r="817" spans="1:18" ht="33" hidden="1" x14ac:dyDescent="0.25">
      <c r="A817" s="1">
        <v>813</v>
      </c>
      <c r="B817" s="56" t="s">
        <v>2962</v>
      </c>
      <c r="C817" s="57" t="s">
        <v>2963</v>
      </c>
      <c r="D817" s="57" t="s">
        <v>2964</v>
      </c>
      <c r="E817" s="58" t="s">
        <v>363</v>
      </c>
      <c r="F817" s="58" t="s">
        <v>2965</v>
      </c>
      <c r="G817" s="58"/>
      <c r="H817" s="58"/>
      <c r="I817" s="57">
        <v>299</v>
      </c>
      <c r="J817" s="79">
        <f t="shared" si="28"/>
        <v>233.22</v>
      </c>
      <c r="K817" s="59"/>
      <c r="L817" s="84">
        <f t="shared" si="29"/>
        <v>0</v>
      </c>
      <c r="M817" s="60" t="s">
        <v>2901</v>
      </c>
      <c r="N817" s="57"/>
      <c r="O817" s="57"/>
      <c r="P817" s="57"/>
      <c r="Q817" s="17" t="s">
        <v>19</v>
      </c>
      <c r="R817" s="70" t="str">
        <f>HYPERLINK("http://search.books.com.tw/search/query/key/9789869628273/cat/all
","
9789869628273")</f>
        <v xml:space="preserve">
9789869628273</v>
      </c>
    </row>
    <row r="818" spans="1:18" hidden="1" x14ac:dyDescent="0.25">
      <c r="A818" s="1">
        <v>814</v>
      </c>
      <c r="B818" s="56" t="s">
        <v>2966</v>
      </c>
      <c r="C818" s="57" t="s">
        <v>2967</v>
      </c>
      <c r="D818" s="57" t="s">
        <v>1208</v>
      </c>
      <c r="E818" s="58" t="s">
        <v>363</v>
      </c>
      <c r="F818" s="58" t="s">
        <v>2968</v>
      </c>
      <c r="G818" s="58"/>
      <c r="H818" s="58"/>
      <c r="I818" s="57">
        <v>449</v>
      </c>
      <c r="J818" s="79">
        <f t="shared" si="28"/>
        <v>350.22</v>
      </c>
      <c r="K818" s="59"/>
      <c r="L818" s="84">
        <f t="shared" si="29"/>
        <v>0</v>
      </c>
      <c r="M818" s="60" t="s">
        <v>2901</v>
      </c>
      <c r="N818" s="57"/>
      <c r="O818" s="57"/>
      <c r="P818" s="57"/>
      <c r="Q818" s="17" t="s">
        <v>19</v>
      </c>
      <c r="R818" s="70" t="str">
        <f>HYPERLINK("http://search.books.com.tw/search/query/key/9789578904507/cat/all
","
9789578904507")</f>
        <v xml:space="preserve">
9789578904507</v>
      </c>
    </row>
    <row r="819" spans="1:18" ht="33" hidden="1" x14ac:dyDescent="0.25">
      <c r="A819" s="1">
        <v>815</v>
      </c>
      <c r="B819" s="56" t="s">
        <v>2969</v>
      </c>
      <c r="C819" s="57" t="s">
        <v>2970</v>
      </c>
      <c r="D819" s="57" t="s">
        <v>1208</v>
      </c>
      <c r="E819" s="58" t="s">
        <v>363</v>
      </c>
      <c r="F819" s="58" t="s">
        <v>2971</v>
      </c>
      <c r="G819" s="58"/>
      <c r="H819" s="58"/>
      <c r="I819" s="57">
        <v>420</v>
      </c>
      <c r="J819" s="79">
        <f t="shared" si="28"/>
        <v>327.60000000000002</v>
      </c>
      <c r="K819" s="59"/>
      <c r="L819" s="84">
        <f t="shared" si="29"/>
        <v>0</v>
      </c>
      <c r="M819" s="60" t="s">
        <v>2917</v>
      </c>
      <c r="N819" s="57"/>
      <c r="O819" s="57"/>
      <c r="P819" s="57"/>
      <c r="Q819" s="17" t="s">
        <v>19</v>
      </c>
      <c r="R819" s="70" t="str">
        <f>HYPERLINK("http://search.books.com.tw/search/query/key/9789578904613/cat/all
","
9789578904613")</f>
        <v xml:space="preserve">
9789578904613</v>
      </c>
    </row>
    <row r="820" spans="1:18" ht="49.5" hidden="1" x14ac:dyDescent="0.25">
      <c r="A820" s="1">
        <v>816</v>
      </c>
      <c r="B820" s="56" t="s">
        <v>2972</v>
      </c>
      <c r="C820" s="57" t="s">
        <v>2973</v>
      </c>
      <c r="D820" s="57" t="s">
        <v>1212</v>
      </c>
      <c r="E820" s="58" t="s">
        <v>363</v>
      </c>
      <c r="F820" s="58" t="s">
        <v>2974</v>
      </c>
      <c r="G820" s="58"/>
      <c r="H820" s="58"/>
      <c r="I820" s="57">
        <v>320</v>
      </c>
      <c r="J820" s="79">
        <f t="shared" si="28"/>
        <v>249.6</v>
      </c>
      <c r="K820" s="59"/>
      <c r="L820" s="84">
        <f t="shared" si="29"/>
        <v>0</v>
      </c>
      <c r="M820" s="60" t="s">
        <v>2917</v>
      </c>
      <c r="N820" s="57"/>
      <c r="O820" s="57"/>
      <c r="P820" s="57"/>
      <c r="Q820" s="17" t="s">
        <v>19</v>
      </c>
      <c r="R820" s="70" t="str">
        <f>HYPERLINK("http://search.books.com.tw/search/query/key/9789578950719/cat/all
","
9789578950719")</f>
        <v xml:space="preserve">
9789578950719</v>
      </c>
    </row>
    <row r="821" spans="1:18" ht="33" hidden="1" x14ac:dyDescent="0.25">
      <c r="A821" s="1">
        <v>817</v>
      </c>
      <c r="B821" s="56" t="s">
        <v>2975</v>
      </c>
      <c r="C821" s="57" t="s">
        <v>2976</v>
      </c>
      <c r="D821" s="57" t="s">
        <v>2977</v>
      </c>
      <c r="E821" s="58" t="s">
        <v>359</v>
      </c>
      <c r="F821" s="58" t="s">
        <v>2978</v>
      </c>
      <c r="G821" s="58"/>
      <c r="H821" s="58"/>
      <c r="I821" s="57">
        <v>380</v>
      </c>
      <c r="J821" s="79">
        <f t="shared" si="28"/>
        <v>296.39999999999998</v>
      </c>
      <c r="K821" s="59"/>
      <c r="L821" s="84">
        <f t="shared" si="29"/>
        <v>0</v>
      </c>
      <c r="M821" s="60" t="s">
        <v>2901</v>
      </c>
      <c r="N821" s="57"/>
      <c r="O821" s="57"/>
      <c r="P821" s="57"/>
      <c r="Q821" s="17" t="s">
        <v>19</v>
      </c>
      <c r="R821" s="70" t="str">
        <f>HYPERLINK("http://search.books.com.tw/search/query/key/9789869630962/cat/all
","
9789869630962")</f>
        <v xml:space="preserve">
9789869630962</v>
      </c>
    </row>
    <row r="822" spans="1:18" ht="33" hidden="1" x14ac:dyDescent="0.25">
      <c r="A822" s="1">
        <v>818</v>
      </c>
      <c r="B822" s="56" t="s">
        <v>2979</v>
      </c>
      <c r="C822" s="57" t="s">
        <v>2980</v>
      </c>
      <c r="D822" s="57" t="s">
        <v>2977</v>
      </c>
      <c r="E822" s="58" t="s">
        <v>368</v>
      </c>
      <c r="F822" s="58" t="s">
        <v>2981</v>
      </c>
      <c r="G822" s="58"/>
      <c r="H822" s="58"/>
      <c r="I822" s="57">
        <v>380</v>
      </c>
      <c r="J822" s="79">
        <f t="shared" si="28"/>
        <v>296.39999999999998</v>
      </c>
      <c r="K822" s="59"/>
      <c r="L822" s="84">
        <f t="shared" si="29"/>
        <v>0</v>
      </c>
      <c r="M822" s="60" t="s">
        <v>2917</v>
      </c>
      <c r="N822" s="57"/>
      <c r="O822" s="57"/>
      <c r="P822" s="57"/>
      <c r="Q822" s="17" t="s">
        <v>19</v>
      </c>
      <c r="R822" s="70" t="str">
        <f>HYPERLINK("http://search.books.com.tw/search/query/key/9789869707503/cat/all
","
9789869707503")</f>
        <v xml:space="preserve">
9789869707503</v>
      </c>
    </row>
    <row r="823" spans="1:18" ht="33" hidden="1" x14ac:dyDescent="0.25">
      <c r="A823" s="1">
        <v>819</v>
      </c>
      <c r="B823" s="56" t="s">
        <v>2982</v>
      </c>
      <c r="C823" s="57" t="s">
        <v>2983</v>
      </c>
      <c r="D823" s="57" t="s">
        <v>427</v>
      </c>
      <c r="E823" s="58" t="s">
        <v>363</v>
      </c>
      <c r="F823" s="58" t="s">
        <v>2984</v>
      </c>
      <c r="G823" s="58"/>
      <c r="H823" s="58"/>
      <c r="I823" s="57">
        <v>350</v>
      </c>
      <c r="J823" s="79">
        <f t="shared" si="28"/>
        <v>273</v>
      </c>
      <c r="K823" s="59"/>
      <c r="L823" s="84">
        <f t="shared" si="29"/>
        <v>0</v>
      </c>
      <c r="M823" s="60" t="s">
        <v>2901</v>
      </c>
      <c r="N823" s="57"/>
      <c r="O823" s="57"/>
      <c r="P823" s="57"/>
      <c r="Q823" s="17" t="s">
        <v>19</v>
      </c>
      <c r="R823" s="70" t="str">
        <f>HYPERLINK("http://search.books.com.tw/search/query/key/9789571375823/cat/all
","
9789571375823")</f>
        <v xml:space="preserve">
9789571375823</v>
      </c>
    </row>
    <row r="824" spans="1:18" ht="49.5" hidden="1" x14ac:dyDescent="0.25">
      <c r="A824" s="1">
        <v>820</v>
      </c>
      <c r="B824" s="56" t="s">
        <v>2985</v>
      </c>
      <c r="C824" s="57" t="s">
        <v>2986</v>
      </c>
      <c r="D824" s="57" t="s">
        <v>1252</v>
      </c>
      <c r="E824" s="58" t="s">
        <v>368</v>
      </c>
      <c r="F824" s="58" t="s">
        <v>2987</v>
      </c>
      <c r="G824" s="58"/>
      <c r="H824" s="58"/>
      <c r="I824" s="57">
        <v>360</v>
      </c>
      <c r="J824" s="79">
        <f t="shared" si="28"/>
        <v>280.8</v>
      </c>
      <c r="K824" s="59"/>
      <c r="L824" s="84">
        <f t="shared" si="29"/>
        <v>0</v>
      </c>
      <c r="M824" s="60" t="s">
        <v>2917</v>
      </c>
      <c r="N824" s="57"/>
      <c r="O824" s="57"/>
      <c r="P824" s="57"/>
      <c r="Q824" s="17" t="s">
        <v>19</v>
      </c>
      <c r="R824" s="70" t="str">
        <f>HYPERLINK("http://search.books.com.tw/search/query/key/9789864084579/cat/all
","
9789864084579")</f>
        <v xml:space="preserve">
9789864084579</v>
      </c>
    </row>
    <row r="825" spans="1:18" ht="33" hidden="1" x14ac:dyDescent="0.25">
      <c r="A825" s="1">
        <v>821</v>
      </c>
      <c r="B825" s="56" t="s">
        <v>2988</v>
      </c>
      <c r="C825" s="57" t="s">
        <v>2989</v>
      </c>
      <c r="D825" s="57" t="s">
        <v>2990</v>
      </c>
      <c r="E825" s="58" t="s">
        <v>363</v>
      </c>
      <c r="F825" s="58" t="s">
        <v>2991</v>
      </c>
      <c r="G825" s="58"/>
      <c r="H825" s="58"/>
      <c r="I825" s="57">
        <v>540</v>
      </c>
      <c r="J825" s="79">
        <f t="shared" si="28"/>
        <v>421.2</v>
      </c>
      <c r="K825" s="59"/>
      <c r="L825" s="84">
        <f t="shared" si="29"/>
        <v>0</v>
      </c>
      <c r="M825" s="60" t="s">
        <v>2901</v>
      </c>
      <c r="N825" s="57"/>
      <c r="O825" s="57"/>
      <c r="P825" s="57"/>
      <c r="Q825" s="17" t="s">
        <v>19</v>
      </c>
      <c r="R825" s="70" t="str">
        <f>HYPERLINK("http://search.books.com.tw/search/query/key/9789863187578/cat/all
","
9789863187578")</f>
        <v xml:space="preserve">
9789863187578</v>
      </c>
    </row>
    <row r="826" spans="1:18" ht="33" hidden="1" x14ac:dyDescent="0.25">
      <c r="A826" s="1">
        <v>822</v>
      </c>
      <c r="B826" s="56" t="s">
        <v>2992</v>
      </c>
      <c r="C826" s="57" t="s">
        <v>2993</v>
      </c>
      <c r="D826" s="57" t="s">
        <v>2990</v>
      </c>
      <c r="E826" s="58" t="s">
        <v>363</v>
      </c>
      <c r="F826" s="58" t="s">
        <v>2994</v>
      </c>
      <c r="G826" s="58"/>
      <c r="H826" s="58"/>
      <c r="I826" s="57">
        <v>480</v>
      </c>
      <c r="J826" s="79">
        <f t="shared" si="28"/>
        <v>374.4</v>
      </c>
      <c r="K826" s="59"/>
      <c r="L826" s="84">
        <f t="shared" si="29"/>
        <v>0</v>
      </c>
      <c r="M826" s="60" t="s">
        <v>2901</v>
      </c>
      <c r="N826" s="57"/>
      <c r="O826" s="57"/>
      <c r="P826" s="57"/>
      <c r="Q826" s="17" t="s">
        <v>19</v>
      </c>
      <c r="R826" s="70" t="str">
        <f>HYPERLINK("http://search.books.com.tw/search/query/key/9789863187431/cat/all
","
9789863187431")</f>
        <v xml:space="preserve">
9789863187431</v>
      </c>
    </row>
    <row r="827" spans="1:18" hidden="1" x14ac:dyDescent="0.25">
      <c r="A827" s="1">
        <v>823</v>
      </c>
      <c r="B827" s="56" t="s">
        <v>2995</v>
      </c>
      <c r="C827" s="57" t="s">
        <v>2996</v>
      </c>
      <c r="D827" s="57" t="s">
        <v>2990</v>
      </c>
      <c r="E827" s="58" t="s">
        <v>363</v>
      </c>
      <c r="F827" s="58" t="s">
        <v>2997</v>
      </c>
      <c r="G827" s="58"/>
      <c r="H827" s="58"/>
      <c r="I827" s="57">
        <v>430</v>
      </c>
      <c r="J827" s="79">
        <f t="shared" si="28"/>
        <v>335.4</v>
      </c>
      <c r="K827" s="59"/>
      <c r="L827" s="84">
        <f t="shared" si="29"/>
        <v>0</v>
      </c>
      <c r="M827" s="60" t="s">
        <v>2901</v>
      </c>
      <c r="N827" s="57"/>
      <c r="O827" s="57"/>
      <c r="P827" s="57"/>
      <c r="Q827" s="17" t="s">
        <v>19</v>
      </c>
      <c r="R827" s="70" t="str">
        <f>HYPERLINK("http://search.books.com.tw/search/query/key/9789863187554/cat/all
","
9789863187554")</f>
        <v xml:space="preserve">
9789863187554</v>
      </c>
    </row>
    <row r="828" spans="1:18" ht="33" hidden="1" x14ac:dyDescent="0.25">
      <c r="A828" s="1">
        <v>824</v>
      </c>
      <c r="B828" s="56" t="s">
        <v>2998</v>
      </c>
      <c r="C828" s="57" t="s">
        <v>2999</v>
      </c>
      <c r="D828" s="57" t="s">
        <v>2990</v>
      </c>
      <c r="E828" s="58" t="s">
        <v>363</v>
      </c>
      <c r="F828" s="58" t="s">
        <v>3000</v>
      </c>
      <c r="G828" s="58"/>
      <c r="H828" s="58"/>
      <c r="I828" s="57">
        <v>320</v>
      </c>
      <c r="J828" s="79">
        <f t="shared" si="28"/>
        <v>249.6</v>
      </c>
      <c r="K828" s="59"/>
      <c r="L828" s="84">
        <f t="shared" si="29"/>
        <v>0</v>
      </c>
      <c r="M828" s="60" t="s">
        <v>2901</v>
      </c>
      <c r="N828" s="57"/>
      <c r="O828" s="57"/>
      <c r="P828" s="57"/>
      <c r="Q828" s="17" t="s">
        <v>19</v>
      </c>
      <c r="R828" s="70" t="str">
        <f>HYPERLINK("http://search.books.com.tw/search/query/key/9789863187561/cat/all
","
9789863187561")</f>
        <v xml:space="preserve">
9789863187561</v>
      </c>
    </row>
    <row r="829" spans="1:18" ht="33" hidden="1" x14ac:dyDescent="0.25">
      <c r="A829" s="1">
        <v>825</v>
      </c>
      <c r="B829" s="56" t="s">
        <v>3001</v>
      </c>
      <c r="C829" s="57" t="s">
        <v>3002</v>
      </c>
      <c r="D829" s="57" t="s">
        <v>2601</v>
      </c>
      <c r="E829" s="58" t="s">
        <v>363</v>
      </c>
      <c r="F829" s="58" t="s">
        <v>3003</v>
      </c>
      <c r="G829" s="58"/>
      <c r="H829" s="58"/>
      <c r="I829" s="57">
        <v>349</v>
      </c>
      <c r="J829" s="79">
        <f t="shared" si="28"/>
        <v>272.22000000000003</v>
      </c>
      <c r="K829" s="59"/>
      <c r="L829" s="84">
        <f t="shared" si="29"/>
        <v>0</v>
      </c>
      <c r="M829" s="60" t="s">
        <v>2901</v>
      </c>
      <c r="N829" s="57"/>
      <c r="O829" s="57"/>
      <c r="P829" s="57"/>
      <c r="Q829" s="17" t="s">
        <v>19</v>
      </c>
      <c r="R829" s="70" t="str">
        <f>HYPERLINK("http://search.books.com.tw/search/query/key/9789869693042/cat/all
","
9789869693042")</f>
        <v xml:space="preserve">
9789869693042</v>
      </c>
    </row>
    <row r="830" spans="1:18" ht="33" hidden="1" x14ac:dyDescent="0.25">
      <c r="A830" s="1">
        <v>826</v>
      </c>
      <c r="B830" s="56" t="s">
        <v>3004</v>
      </c>
      <c r="C830" s="57" t="s">
        <v>3005</v>
      </c>
      <c r="D830" s="57" t="s">
        <v>3006</v>
      </c>
      <c r="E830" s="58" t="s">
        <v>363</v>
      </c>
      <c r="F830" s="58" t="s">
        <v>3007</v>
      </c>
      <c r="G830" s="58"/>
      <c r="H830" s="58"/>
      <c r="I830" s="57">
        <v>320</v>
      </c>
      <c r="J830" s="79">
        <f t="shared" si="28"/>
        <v>249.6</v>
      </c>
      <c r="K830" s="59"/>
      <c r="L830" s="84">
        <f t="shared" si="29"/>
        <v>0</v>
      </c>
      <c r="M830" s="60" t="s">
        <v>2901</v>
      </c>
      <c r="N830" s="57"/>
      <c r="O830" s="57"/>
      <c r="P830" s="57"/>
      <c r="Q830" s="17" t="s">
        <v>19</v>
      </c>
      <c r="R830" s="70" t="str">
        <f>HYPERLINK("http://search.books.com.tw/search/query/key/9789869627993/cat/all
","
9789869627993")</f>
        <v xml:space="preserve">
9789869627993</v>
      </c>
    </row>
    <row r="831" spans="1:18" hidden="1" x14ac:dyDescent="0.25">
      <c r="A831" s="1">
        <v>827</v>
      </c>
      <c r="B831" s="56" t="s">
        <v>3008</v>
      </c>
      <c r="C831" s="57" t="s">
        <v>3009</v>
      </c>
      <c r="D831" s="57" t="s">
        <v>3006</v>
      </c>
      <c r="E831" s="58" t="s">
        <v>363</v>
      </c>
      <c r="F831" s="58" t="s">
        <v>3010</v>
      </c>
      <c r="G831" s="58"/>
      <c r="H831" s="58"/>
      <c r="I831" s="57">
        <v>280</v>
      </c>
      <c r="J831" s="79">
        <f t="shared" si="28"/>
        <v>218.4</v>
      </c>
      <c r="K831" s="59"/>
      <c r="L831" s="84">
        <f t="shared" si="29"/>
        <v>0</v>
      </c>
      <c r="M831" s="60" t="s">
        <v>2901</v>
      </c>
      <c r="N831" s="57"/>
      <c r="O831" s="57"/>
      <c r="P831" s="57"/>
      <c r="Q831" s="17" t="s">
        <v>19</v>
      </c>
      <c r="R831" s="70" t="str">
        <f>HYPERLINK("http://search.books.com.tw/search/query/key/9789869627986/cat/all
","
9789869627986")</f>
        <v xml:space="preserve">
9789869627986</v>
      </c>
    </row>
    <row r="832" spans="1:18" ht="33" hidden="1" x14ac:dyDescent="0.25">
      <c r="A832" s="1">
        <v>828</v>
      </c>
      <c r="B832" s="56" t="s">
        <v>3011</v>
      </c>
      <c r="C832" s="57" t="s">
        <v>3012</v>
      </c>
      <c r="D832" s="57" t="s">
        <v>3006</v>
      </c>
      <c r="E832" s="58" t="s">
        <v>368</v>
      </c>
      <c r="F832" s="58" t="s">
        <v>3013</v>
      </c>
      <c r="G832" s="58"/>
      <c r="H832" s="58"/>
      <c r="I832" s="57">
        <v>350</v>
      </c>
      <c r="J832" s="79">
        <f t="shared" si="28"/>
        <v>273</v>
      </c>
      <c r="K832" s="59"/>
      <c r="L832" s="84">
        <f t="shared" si="29"/>
        <v>0</v>
      </c>
      <c r="M832" s="60" t="s">
        <v>2917</v>
      </c>
      <c r="N832" s="57"/>
      <c r="O832" s="57"/>
      <c r="P832" s="57"/>
      <c r="Q832" s="17" t="s">
        <v>19</v>
      </c>
      <c r="R832" s="70" t="str">
        <f>HYPERLINK("http://search.books.com.tw/search/query/key/9789868436114/cat/all
","
9789868436114")</f>
        <v xml:space="preserve">
9789868436114</v>
      </c>
    </row>
    <row r="833" spans="1:18" hidden="1" x14ac:dyDescent="0.25">
      <c r="A833" s="1">
        <v>829</v>
      </c>
      <c r="B833" s="56" t="s">
        <v>3014</v>
      </c>
      <c r="C833" s="57" t="s">
        <v>3015</v>
      </c>
      <c r="D833" s="57" t="s">
        <v>3016</v>
      </c>
      <c r="E833" s="58" t="s">
        <v>363</v>
      </c>
      <c r="F833" s="58" t="s">
        <v>3017</v>
      </c>
      <c r="G833" s="58"/>
      <c r="H833" s="58"/>
      <c r="I833" s="57">
        <v>350</v>
      </c>
      <c r="J833" s="79">
        <f t="shared" si="28"/>
        <v>273</v>
      </c>
      <c r="K833" s="59"/>
      <c r="L833" s="84">
        <f t="shared" si="29"/>
        <v>0</v>
      </c>
      <c r="M833" s="60" t="s">
        <v>2901</v>
      </c>
      <c r="N833" s="57"/>
      <c r="O833" s="57"/>
      <c r="P833" s="57"/>
      <c r="Q833" s="17" t="s">
        <v>19</v>
      </c>
      <c r="R833" s="70" t="str">
        <f>HYPERLINK("http://search.books.com.tw/search/query/key/9789866134913/cat/all
","
9789866134913")</f>
        <v xml:space="preserve">
9789866134913</v>
      </c>
    </row>
    <row r="834" spans="1:18" ht="33" hidden="1" x14ac:dyDescent="0.25">
      <c r="A834" s="1">
        <v>830</v>
      </c>
      <c r="B834" s="56" t="s">
        <v>3018</v>
      </c>
      <c r="C834" s="57" t="s">
        <v>3019</v>
      </c>
      <c r="D834" s="57" t="s">
        <v>3020</v>
      </c>
      <c r="E834" s="58" t="s">
        <v>368</v>
      </c>
      <c r="F834" s="58" t="s">
        <v>3021</v>
      </c>
      <c r="G834" s="58"/>
      <c r="H834" s="58"/>
      <c r="I834" s="57">
        <v>380</v>
      </c>
      <c r="J834" s="79">
        <f t="shared" si="28"/>
        <v>296.39999999999998</v>
      </c>
      <c r="K834" s="59"/>
      <c r="L834" s="84">
        <f t="shared" si="29"/>
        <v>0</v>
      </c>
      <c r="M834" s="60" t="s">
        <v>2917</v>
      </c>
      <c r="N834" s="57"/>
      <c r="O834" s="57"/>
      <c r="P834" s="57"/>
      <c r="Q834" s="17" t="s">
        <v>19</v>
      </c>
      <c r="R834" s="70" t="str">
        <f>HYPERLINK("http://search.books.com.tw/search/query/key/9789862284360/cat/all
","
9789862284360")</f>
        <v xml:space="preserve">
9789862284360</v>
      </c>
    </row>
    <row r="835" spans="1:18" hidden="1" x14ac:dyDescent="0.25">
      <c r="A835" s="1">
        <v>831</v>
      </c>
      <c r="B835" s="56" t="s">
        <v>3022</v>
      </c>
      <c r="C835" s="57" t="s">
        <v>3023</v>
      </c>
      <c r="D835" s="57" t="s">
        <v>714</v>
      </c>
      <c r="E835" s="58" t="s">
        <v>363</v>
      </c>
      <c r="F835" s="58" t="s">
        <v>3024</v>
      </c>
      <c r="G835" s="58"/>
      <c r="H835" s="58"/>
      <c r="I835" s="57">
        <v>480</v>
      </c>
      <c r="J835" s="79">
        <f t="shared" si="28"/>
        <v>374.4</v>
      </c>
      <c r="K835" s="59"/>
      <c r="L835" s="84">
        <f t="shared" si="29"/>
        <v>0</v>
      </c>
      <c r="M835" s="60" t="s">
        <v>2901</v>
      </c>
      <c r="N835" s="57"/>
      <c r="O835" s="57"/>
      <c r="P835" s="57"/>
      <c r="Q835" s="17" t="s">
        <v>19</v>
      </c>
      <c r="R835" s="70" t="str">
        <f>HYPERLINK("http://search.books.com.tw/search/query/key/9789865659202/cat/all
","
9789865659202")</f>
        <v xml:space="preserve">
9789865659202</v>
      </c>
    </row>
    <row r="836" spans="1:18" ht="33" hidden="1" x14ac:dyDescent="0.25">
      <c r="A836" s="1">
        <v>832</v>
      </c>
      <c r="B836" s="56" t="s">
        <v>3025</v>
      </c>
      <c r="C836" s="57" t="s">
        <v>3026</v>
      </c>
      <c r="D836" s="57" t="s">
        <v>3027</v>
      </c>
      <c r="E836" s="58" t="s">
        <v>363</v>
      </c>
      <c r="F836" s="58" t="s">
        <v>3028</v>
      </c>
      <c r="G836" s="58"/>
      <c r="H836" s="58"/>
      <c r="I836" s="57">
        <v>350</v>
      </c>
      <c r="J836" s="79">
        <f t="shared" si="28"/>
        <v>273</v>
      </c>
      <c r="K836" s="59"/>
      <c r="L836" s="84">
        <f t="shared" si="29"/>
        <v>0</v>
      </c>
      <c r="M836" s="60" t="s">
        <v>2901</v>
      </c>
      <c r="N836" s="57"/>
      <c r="O836" s="57"/>
      <c r="P836" s="57"/>
      <c r="Q836" s="17" t="s">
        <v>19</v>
      </c>
      <c r="R836" s="70" t="str">
        <f>HYPERLINK("http://search.books.com.tw/search/query/key/9789862487617/cat/all
","
9789862487617")</f>
        <v xml:space="preserve">
9789862487617</v>
      </c>
    </row>
    <row r="837" spans="1:18" ht="33" hidden="1" x14ac:dyDescent="0.25">
      <c r="A837" s="1">
        <v>833</v>
      </c>
      <c r="B837" s="56" t="s">
        <v>3029</v>
      </c>
      <c r="C837" s="57" t="s">
        <v>3030</v>
      </c>
      <c r="D837" s="57" t="s">
        <v>3027</v>
      </c>
      <c r="E837" s="58" t="s">
        <v>363</v>
      </c>
      <c r="F837" s="58" t="s">
        <v>3031</v>
      </c>
      <c r="G837" s="58"/>
      <c r="H837" s="58"/>
      <c r="I837" s="57">
        <v>330</v>
      </c>
      <c r="J837" s="79">
        <f t="shared" si="28"/>
        <v>257.39999999999998</v>
      </c>
      <c r="K837" s="59"/>
      <c r="L837" s="84">
        <f t="shared" si="29"/>
        <v>0</v>
      </c>
      <c r="M837" s="60" t="s">
        <v>2901</v>
      </c>
      <c r="N837" s="57"/>
      <c r="O837" s="57"/>
      <c r="P837" s="57"/>
      <c r="Q837" s="17" t="s">
        <v>19</v>
      </c>
      <c r="R837" s="70" t="str">
        <f>HYPERLINK("http://search.books.com.tw/search/query/key/9789862487648/cat/all
","
9789862487648")</f>
        <v xml:space="preserve">
9789862487648</v>
      </c>
    </row>
    <row r="838" spans="1:18" ht="33" hidden="1" x14ac:dyDescent="0.25">
      <c r="A838" s="1">
        <v>834</v>
      </c>
      <c r="B838" s="56" t="s">
        <v>3032</v>
      </c>
      <c r="C838" s="57" t="s">
        <v>3033</v>
      </c>
      <c r="D838" s="57" t="s">
        <v>1060</v>
      </c>
      <c r="E838" s="58" t="s">
        <v>359</v>
      </c>
      <c r="F838" s="58" t="s">
        <v>3034</v>
      </c>
      <c r="G838" s="58"/>
      <c r="H838" s="58"/>
      <c r="I838" s="57">
        <v>420</v>
      </c>
      <c r="J838" s="79">
        <f t="shared" ref="J838:J901" si="30">ROUND(I838*0.78,2)</f>
        <v>327.60000000000002</v>
      </c>
      <c r="K838" s="59"/>
      <c r="L838" s="84">
        <f t="shared" ref="L838:L901" si="31">K838*J838</f>
        <v>0</v>
      </c>
      <c r="M838" s="60" t="s">
        <v>2901</v>
      </c>
      <c r="N838" s="57"/>
      <c r="O838" s="57"/>
      <c r="P838" s="57"/>
      <c r="Q838" s="17" t="s">
        <v>19</v>
      </c>
      <c r="R838" s="70" t="str">
        <f>HYPERLINK("http://search.books.com.tw/search/query/key/9789577107398/cat/all
","
9789577107398")</f>
        <v xml:space="preserve">
9789577107398</v>
      </c>
    </row>
    <row r="839" spans="1:18" ht="33" hidden="1" x14ac:dyDescent="0.25">
      <c r="A839" s="1">
        <v>835</v>
      </c>
      <c r="B839" s="56" t="s">
        <v>3035</v>
      </c>
      <c r="C839" s="57" t="s">
        <v>3036</v>
      </c>
      <c r="D839" s="57" t="s">
        <v>3037</v>
      </c>
      <c r="E839" s="58" t="s">
        <v>363</v>
      </c>
      <c r="F839" s="58" t="s">
        <v>3038</v>
      </c>
      <c r="G839" s="58"/>
      <c r="H839" s="58"/>
      <c r="I839" s="57">
        <v>650</v>
      </c>
      <c r="J839" s="79">
        <f t="shared" si="30"/>
        <v>507</v>
      </c>
      <c r="K839" s="59"/>
      <c r="L839" s="84">
        <f t="shared" si="31"/>
        <v>0</v>
      </c>
      <c r="M839" s="60" t="s">
        <v>2901</v>
      </c>
      <c r="N839" s="57"/>
      <c r="O839" s="57"/>
      <c r="P839" s="57"/>
      <c r="Q839" s="17" t="s">
        <v>19</v>
      </c>
      <c r="R839" s="70" t="str">
        <f>HYPERLINK("http://search.books.com.tw/search/query/key/9789863413905/cat/all
","
9789863413905")</f>
        <v xml:space="preserve">
9789863413905</v>
      </c>
    </row>
    <row r="840" spans="1:18" ht="33" hidden="1" x14ac:dyDescent="0.25">
      <c r="A840" s="1">
        <v>836</v>
      </c>
      <c r="B840" s="56" t="s">
        <v>3035</v>
      </c>
      <c r="C840" s="57" t="s">
        <v>3036</v>
      </c>
      <c r="D840" s="57" t="s">
        <v>3037</v>
      </c>
      <c r="E840" s="58" t="s">
        <v>363</v>
      </c>
      <c r="F840" s="58" t="s">
        <v>3039</v>
      </c>
      <c r="G840" s="58"/>
      <c r="H840" s="58"/>
      <c r="I840" s="57">
        <v>560</v>
      </c>
      <c r="J840" s="79">
        <f t="shared" si="30"/>
        <v>436.8</v>
      </c>
      <c r="K840" s="59"/>
      <c r="L840" s="84">
        <f t="shared" si="31"/>
        <v>0</v>
      </c>
      <c r="M840" s="60" t="s">
        <v>2901</v>
      </c>
      <c r="N840" s="57"/>
      <c r="O840" s="57"/>
      <c r="P840" s="57"/>
      <c r="Q840" s="17" t="s">
        <v>19</v>
      </c>
      <c r="R840" s="70" t="str">
        <f>HYPERLINK("http://search.books.com.tw/search/query/key/9789863413912/cat/all
","
9789863413912")</f>
        <v xml:space="preserve">
9789863413912</v>
      </c>
    </row>
    <row r="841" spans="1:18" ht="33" hidden="1" x14ac:dyDescent="0.25">
      <c r="A841" s="1">
        <v>837</v>
      </c>
      <c r="B841" s="56" t="s">
        <v>3040</v>
      </c>
      <c r="C841" s="57" t="s">
        <v>3041</v>
      </c>
      <c r="D841" s="57" t="s">
        <v>3042</v>
      </c>
      <c r="E841" s="58" t="s">
        <v>363</v>
      </c>
      <c r="F841" s="58" t="s">
        <v>3043</v>
      </c>
      <c r="G841" s="58"/>
      <c r="H841" s="58"/>
      <c r="I841" s="57">
        <v>350</v>
      </c>
      <c r="J841" s="79">
        <f t="shared" si="30"/>
        <v>273</v>
      </c>
      <c r="K841" s="59"/>
      <c r="L841" s="84">
        <f t="shared" si="31"/>
        <v>0</v>
      </c>
      <c r="M841" s="60" t="s">
        <v>2901</v>
      </c>
      <c r="N841" s="57"/>
      <c r="O841" s="57"/>
      <c r="P841" s="57"/>
      <c r="Q841" s="17" t="s">
        <v>19</v>
      </c>
      <c r="R841" s="70" t="str">
        <f>HYPERLINK("http://search.books.com.tw/search/query/key/9789865962777/cat/all
","
9789865962777")</f>
        <v xml:space="preserve">
9789865962777</v>
      </c>
    </row>
    <row r="842" spans="1:18" ht="33" hidden="1" x14ac:dyDescent="0.25">
      <c r="A842" s="1">
        <v>838</v>
      </c>
      <c r="B842" s="56" t="s">
        <v>3044</v>
      </c>
      <c r="C842" s="57" t="s">
        <v>3045</v>
      </c>
      <c r="D842" s="57" t="s">
        <v>3042</v>
      </c>
      <c r="E842" s="58" t="s">
        <v>363</v>
      </c>
      <c r="F842" s="58" t="s">
        <v>3046</v>
      </c>
      <c r="G842" s="58"/>
      <c r="H842" s="58"/>
      <c r="I842" s="57">
        <v>480</v>
      </c>
      <c r="J842" s="79">
        <f t="shared" si="30"/>
        <v>374.4</v>
      </c>
      <c r="K842" s="59"/>
      <c r="L842" s="84">
        <f t="shared" si="31"/>
        <v>0</v>
      </c>
      <c r="M842" s="60" t="s">
        <v>2901</v>
      </c>
      <c r="N842" s="57"/>
      <c r="O842" s="57"/>
      <c r="P842" s="57"/>
      <c r="Q842" s="17" t="s">
        <v>19</v>
      </c>
      <c r="R842" s="70" t="str">
        <f>HYPERLINK("http://search.books.com.tw/search/query/key/9789865962746/cat/all
","
9789865962746")</f>
        <v xml:space="preserve">
9789865962746</v>
      </c>
    </row>
    <row r="843" spans="1:18" ht="33" hidden="1" x14ac:dyDescent="0.25">
      <c r="A843" s="1">
        <v>839</v>
      </c>
      <c r="B843" s="56" t="s">
        <v>3047</v>
      </c>
      <c r="C843" s="57" t="s">
        <v>3045</v>
      </c>
      <c r="D843" s="57" t="s">
        <v>3042</v>
      </c>
      <c r="E843" s="58" t="s">
        <v>363</v>
      </c>
      <c r="F843" s="58" t="s">
        <v>3048</v>
      </c>
      <c r="G843" s="58"/>
      <c r="H843" s="58"/>
      <c r="I843" s="57">
        <v>360</v>
      </c>
      <c r="J843" s="79">
        <f t="shared" si="30"/>
        <v>280.8</v>
      </c>
      <c r="K843" s="59"/>
      <c r="L843" s="84">
        <f t="shared" si="31"/>
        <v>0</v>
      </c>
      <c r="M843" s="60" t="s">
        <v>2901</v>
      </c>
      <c r="N843" s="57"/>
      <c r="O843" s="57"/>
      <c r="P843" s="57"/>
      <c r="Q843" s="17" t="s">
        <v>19</v>
      </c>
      <c r="R843" s="70" t="str">
        <f>HYPERLINK("http://search.books.com.tw/search/query/key/9789865962760/cat/all
","
9789865962760")</f>
        <v xml:space="preserve">
9789865962760</v>
      </c>
    </row>
    <row r="844" spans="1:18" hidden="1" x14ac:dyDescent="0.25">
      <c r="A844" s="1">
        <v>840</v>
      </c>
      <c r="B844" s="56" t="s">
        <v>3049</v>
      </c>
      <c r="C844" s="57" t="s">
        <v>3050</v>
      </c>
      <c r="D844" s="57" t="s">
        <v>2438</v>
      </c>
      <c r="E844" s="58" t="s">
        <v>363</v>
      </c>
      <c r="F844" s="58" t="s">
        <v>3051</v>
      </c>
      <c r="G844" s="58"/>
      <c r="H844" s="58"/>
      <c r="I844" s="57">
        <v>350</v>
      </c>
      <c r="J844" s="79">
        <f t="shared" si="30"/>
        <v>273</v>
      </c>
      <c r="K844" s="59"/>
      <c r="L844" s="84">
        <f t="shared" si="31"/>
        <v>0</v>
      </c>
      <c r="M844" s="60" t="s">
        <v>2901</v>
      </c>
      <c r="N844" s="57"/>
      <c r="O844" s="57"/>
      <c r="P844" s="57"/>
      <c r="Q844" s="17" t="s">
        <v>19</v>
      </c>
      <c r="R844" s="70" t="str">
        <f>HYPERLINK("http://search.books.com.tw/search/query/key/9789578431768/cat/all
","
9789578431768")</f>
        <v xml:space="preserve">
9789578431768</v>
      </c>
    </row>
    <row r="845" spans="1:18" hidden="1" x14ac:dyDescent="0.25">
      <c r="A845" s="1">
        <v>841</v>
      </c>
      <c r="B845" s="56" t="s">
        <v>3052</v>
      </c>
      <c r="C845" s="57" t="s">
        <v>3053</v>
      </c>
      <c r="D845" s="57" t="s">
        <v>2438</v>
      </c>
      <c r="E845" s="58" t="s">
        <v>359</v>
      </c>
      <c r="F845" s="58" t="s">
        <v>3054</v>
      </c>
      <c r="G845" s="58"/>
      <c r="H845" s="58"/>
      <c r="I845" s="57">
        <v>680</v>
      </c>
      <c r="J845" s="79">
        <f t="shared" si="30"/>
        <v>530.4</v>
      </c>
      <c r="K845" s="59"/>
      <c r="L845" s="84">
        <f t="shared" si="31"/>
        <v>0</v>
      </c>
      <c r="M845" s="60" t="s">
        <v>2901</v>
      </c>
      <c r="N845" s="57"/>
      <c r="O845" s="57"/>
      <c r="P845" s="57"/>
      <c r="Q845" s="17" t="s">
        <v>19</v>
      </c>
      <c r="R845" s="70" t="str">
        <f>HYPERLINK("http://search.books.com.tw/search/query/key/9789869658027/cat/all
","
9789869658027")</f>
        <v xml:space="preserve">
9789869658027</v>
      </c>
    </row>
    <row r="846" spans="1:18" hidden="1" x14ac:dyDescent="0.25">
      <c r="A846" s="1">
        <v>842</v>
      </c>
      <c r="B846" s="56" t="s">
        <v>3055</v>
      </c>
      <c r="C846" s="57" t="s">
        <v>3053</v>
      </c>
      <c r="D846" s="57" t="s">
        <v>2438</v>
      </c>
      <c r="E846" s="58" t="s">
        <v>359</v>
      </c>
      <c r="F846" s="58" t="s">
        <v>3056</v>
      </c>
      <c r="G846" s="58"/>
      <c r="H846" s="58"/>
      <c r="I846" s="57">
        <v>350</v>
      </c>
      <c r="J846" s="79">
        <f t="shared" si="30"/>
        <v>273</v>
      </c>
      <c r="K846" s="59"/>
      <c r="L846" s="84">
        <f t="shared" si="31"/>
        <v>0</v>
      </c>
      <c r="M846" s="60" t="s">
        <v>2901</v>
      </c>
      <c r="N846" s="57"/>
      <c r="O846" s="57"/>
      <c r="P846" s="57"/>
      <c r="Q846" s="17" t="s">
        <v>19</v>
      </c>
      <c r="R846" s="70" t="str">
        <f>HYPERLINK("http://search.books.com.tw/search/query/key/4712477100607/cat/all
","
4712477100607")</f>
        <v xml:space="preserve">
4712477100607</v>
      </c>
    </row>
    <row r="847" spans="1:18" hidden="1" x14ac:dyDescent="0.25">
      <c r="A847" s="1">
        <v>843</v>
      </c>
      <c r="B847" s="56" t="s">
        <v>3057</v>
      </c>
      <c r="C847" s="57" t="s">
        <v>3058</v>
      </c>
      <c r="D847" s="57" t="s">
        <v>1170</v>
      </c>
      <c r="E847" s="58" t="s">
        <v>363</v>
      </c>
      <c r="F847" s="58" t="s">
        <v>3059</v>
      </c>
      <c r="G847" s="58"/>
      <c r="H847" s="58"/>
      <c r="I847" s="57">
        <v>350</v>
      </c>
      <c r="J847" s="79">
        <f t="shared" si="30"/>
        <v>273</v>
      </c>
      <c r="K847" s="59"/>
      <c r="L847" s="84">
        <f t="shared" si="31"/>
        <v>0</v>
      </c>
      <c r="M847" s="60" t="s">
        <v>3060</v>
      </c>
      <c r="N847" s="57"/>
      <c r="O847" s="57"/>
      <c r="P847" s="57"/>
      <c r="Q847" s="17" t="s">
        <v>19</v>
      </c>
      <c r="R847" s="70" t="str">
        <f>HYPERLINK("http://search.books.com.tw/search/query/key/9789861336718/cat/all
","
9789861336718")</f>
        <v xml:space="preserve">
9789861336718</v>
      </c>
    </row>
    <row r="848" spans="1:18" hidden="1" x14ac:dyDescent="0.25">
      <c r="A848" s="1">
        <v>844</v>
      </c>
      <c r="B848" s="56" t="s">
        <v>3061</v>
      </c>
      <c r="C848" s="57" t="s">
        <v>3062</v>
      </c>
      <c r="D848" s="57" t="s">
        <v>569</v>
      </c>
      <c r="E848" s="58" t="s">
        <v>363</v>
      </c>
      <c r="F848" s="58" t="s">
        <v>3063</v>
      </c>
      <c r="G848" s="58"/>
      <c r="H848" s="58"/>
      <c r="I848" s="57">
        <v>380</v>
      </c>
      <c r="J848" s="79">
        <f t="shared" si="30"/>
        <v>296.39999999999998</v>
      </c>
      <c r="K848" s="59"/>
      <c r="L848" s="84">
        <f t="shared" si="31"/>
        <v>0</v>
      </c>
      <c r="M848" s="60" t="s">
        <v>3064</v>
      </c>
      <c r="N848" s="57"/>
      <c r="O848" s="57"/>
      <c r="P848" s="57"/>
      <c r="Q848" s="17" t="s">
        <v>19</v>
      </c>
      <c r="R848" s="70" t="str">
        <f>HYPERLINK("http://search.books.com.tw/search/query/key/9789864758524/cat/all
","
9789864758524")</f>
        <v xml:space="preserve">
9789864758524</v>
      </c>
    </row>
    <row r="849" spans="1:18" hidden="1" x14ac:dyDescent="0.25">
      <c r="A849" s="1">
        <v>845</v>
      </c>
      <c r="B849" s="56" t="s">
        <v>3065</v>
      </c>
      <c r="C849" s="57" t="s">
        <v>3066</v>
      </c>
      <c r="D849" s="57" t="s">
        <v>569</v>
      </c>
      <c r="E849" s="58" t="s">
        <v>359</v>
      </c>
      <c r="F849" s="58" t="s">
        <v>3067</v>
      </c>
      <c r="G849" s="58"/>
      <c r="H849" s="58"/>
      <c r="I849" s="57">
        <v>380</v>
      </c>
      <c r="J849" s="79">
        <f t="shared" si="30"/>
        <v>296.39999999999998</v>
      </c>
      <c r="K849" s="59"/>
      <c r="L849" s="84">
        <f t="shared" si="31"/>
        <v>0</v>
      </c>
      <c r="M849" s="60" t="s">
        <v>3060</v>
      </c>
      <c r="N849" s="57"/>
      <c r="O849" s="57"/>
      <c r="P849" s="57"/>
      <c r="Q849" s="17" t="s">
        <v>19</v>
      </c>
      <c r="R849" s="70" t="str">
        <f>HYPERLINK("http://search.books.com.tw/search/query/key/9789864758074/cat/all
","
9789864758074")</f>
        <v xml:space="preserve">
9789864758074</v>
      </c>
    </row>
    <row r="850" spans="1:18" hidden="1" x14ac:dyDescent="0.25">
      <c r="A850" s="1">
        <v>846</v>
      </c>
      <c r="B850" s="56" t="s">
        <v>3068</v>
      </c>
      <c r="C850" s="57" t="s">
        <v>3069</v>
      </c>
      <c r="D850" s="57" t="s">
        <v>3070</v>
      </c>
      <c r="E850" s="58" t="s">
        <v>363</v>
      </c>
      <c r="F850" s="58" t="s">
        <v>3071</v>
      </c>
      <c r="G850" s="58"/>
      <c r="H850" s="58"/>
      <c r="I850" s="57">
        <v>430</v>
      </c>
      <c r="J850" s="79">
        <f t="shared" si="30"/>
        <v>335.4</v>
      </c>
      <c r="K850" s="59"/>
      <c r="L850" s="84">
        <f t="shared" si="31"/>
        <v>0</v>
      </c>
      <c r="M850" s="60" t="s">
        <v>3064</v>
      </c>
      <c r="N850" s="57"/>
      <c r="O850" s="57"/>
      <c r="P850" s="57"/>
      <c r="Q850" s="17" t="s">
        <v>19</v>
      </c>
      <c r="R850" s="70" t="str">
        <f>HYPERLINK("http://search.books.com.tw/search/query/key/9789881455284/cat/all
","
9789881455284")</f>
        <v xml:space="preserve">
9789881455284</v>
      </c>
    </row>
    <row r="851" spans="1:18" hidden="1" x14ac:dyDescent="0.25">
      <c r="A851" s="1">
        <v>847</v>
      </c>
      <c r="B851" s="56" t="s">
        <v>3072</v>
      </c>
      <c r="C851" s="57" t="s">
        <v>3073</v>
      </c>
      <c r="D851" s="57" t="s">
        <v>3074</v>
      </c>
      <c r="E851" s="58" t="s">
        <v>363</v>
      </c>
      <c r="F851" s="58" t="s">
        <v>3075</v>
      </c>
      <c r="G851" s="58"/>
      <c r="H851" s="58"/>
      <c r="I851" s="57">
        <v>200</v>
      </c>
      <c r="J851" s="79">
        <f t="shared" si="30"/>
        <v>156</v>
      </c>
      <c r="K851" s="59"/>
      <c r="L851" s="84">
        <f t="shared" si="31"/>
        <v>0</v>
      </c>
      <c r="M851" s="60" t="s">
        <v>3064</v>
      </c>
      <c r="N851" s="57"/>
      <c r="O851" s="57"/>
      <c r="P851" s="57"/>
      <c r="Q851" s="17" t="s">
        <v>19</v>
      </c>
      <c r="R851" s="70" t="str">
        <f>HYPERLINK("http://search.books.com.tw/search/query/key/9789869697620/cat/all
","
9789869697620")</f>
        <v xml:space="preserve">
9789869697620</v>
      </c>
    </row>
    <row r="852" spans="1:18" hidden="1" x14ac:dyDescent="0.25">
      <c r="A852" s="1">
        <v>848</v>
      </c>
      <c r="B852" s="56" t="s">
        <v>3076</v>
      </c>
      <c r="C852" s="57" t="s">
        <v>3077</v>
      </c>
      <c r="D852" s="57" t="s">
        <v>1505</v>
      </c>
      <c r="E852" s="58" t="s">
        <v>368</v>
      </c>
      <c r="F852" s="58" t="s">
        <v>3078</v>
      </c>
      <c r="G852" s="58"/>
      <c r="H852" s="58"/>
      <c r="I852" s="57">
        <v>300</v>
      </c>
      <c r="J852" s="79">
        <f t="shared" si="30"/>
        <v>234</v>
      </c>
      <c r="K852" s="59"/>
      <c r="L852" s="84">
        <f t="shared" si="31"/>
        <v>0</v>
      </c>
      <c r="M852" s="60" t="s">
        <v>3060</v>
      </c>
      <c r="N852" s="57"/>
      <c r="O852" s="57"/>
      <c r="P852" s="57"/>
      <c r="Q852" s="17" t="s">
        <v>19</v>
      </c>
      <c r="R852" s="70" t="str">
        <f>HYPERLINK("http://search.books.com.tw/search/query/key/9789571079349/cat/all
","
9789571079349")</f>
        <v xml:space="preserve">
9789571079349</v>
      </c>
    </row>
    <row r="853" spans="1:18" ht="33" hidden="1" x14ac:dyDescent="0.25">
      <c r="A853" s="1">
        <v>849</v>
      </c>
      <c r="B853" s="56" t="s">
        <v>3079</v>
      </c>
      <c r="C853" s="57" t="s">
        <v>3080</v>
      </c>
      <c r="D853" s="57" t="s">
        <v>3081</v>
      </c>
      <c r="E853" s="58" t="s">
        <v>359</v>
      </c>
      <c r="F853" s="58" t="s">
        <v>3082</v>
      </c>
      <c r="G853" s="58"/>
      <c r="H853" s="58"/>
      <c r="I853" s="57">
        <v>220</v>
      </c>
      <c r="J853" s="79">
        <f t="shared" si="30"/>
        <v>171.6</v>
      </c>
      <c r="K853" s="59"/>
      <c r="L853" s="84">
        <f t="shared" si="31"/>
        <v>0</v>
      </c>
      <c r="M853" s="60" t="s">
        <v>3060</v>
      </c>
      <c r="N853" s="57"/>
      <c r="O853" s="57"/>
      <c r="P853" s="57"/>
      <c r="Q853" s="17" t="s">
        <v>19</v>
      </c>
      <c r="R853" s="70" t="str">
        <f>HYPERLINK("http://search.books.com.tw/search/query/key/9789862718445/cat/all
","
9789862718445")</f>
        <v xml:space="preserve">
9789862718445</v>
      </c>
    </row>
    <row r="854" spans="1:18" hidden="1" x14ac:dyDescent="0.25">
      <c r="A854" s="1">
        <v>850</v>
      </c>
      <c r="B854" s="56" t="s">
        <v>3083</v>
      </c>
      <c r="C854" s="57" t="s">
        <v>3084</v>
      </c>
      <c r="D854" s="57" t="s">
        <v>1245</v>
      </c>
      <c r="E854" s="58" t="s">
        <v>368</v>
      </c>
      <c r="F854" s="58" t="s">
        <v>3085</v>
      </c>
      <c r="G854" s="58"/>
      <c r="H854" s="58"/>
      <c r="I854" s="57">
        <v>380</v>
      </c>
      <c r="J854" s="79">
        <f t="shared" si="30"/>
        <v>296.39999999999998</v>
      </c>
      <c r="K854" s="59"/>
      <c r="L854" s="84">
        <f t="shared" si="31"/>
        <v>0</v>
      </c>
      <c r="M854" s="60" t="s">
        <v>3086</v>
      </c>
      <c r="N854" s="57"/>
      <c r="O854" s="57"/>
      <c r="P854" s="57"/>
      <c r="Q854" s="17" t="s">
        <v>19</v>
      </c>
      <c r="R854" s="70" t="str">
        <f>HYPERLINK("http://search.books.com.tw/search/query/key/9789864775828/cat/all
","
9789864775828")</f>
        <v xml:space="preserve">
9789864775828</v>
      </c>
    </row>
    <row r="855" spans="1:18" hidden="1" x14ac:dyDescent="0.25">
      <c r="A855" s="1">
        <v>851</v>
      </c>
      <c r="B855" s="56" t="s">
        <v>3087</v>
      </c>
      <c r="C855" s="57" t="s">
        <v>3088</v>
      </c>
      <c r="D855" s="57" t="s">
        <v>2448</v>
      </c>
      <c r="E855" s="58" t="s">
        <v>363</v>
      </c>
      <c r="F855" s="58" t="s">
        <v>3089</v>
      </c>
      <c r="G855" s="58"/>
      <c r="H855" s="58"/>
      <c r="I855" s="57">
        <v>320</v>
      </c>
      <c r="J855" s="79">
        <f t="shared" si="30"/>
        <v>249.6</v>
      </c>
      <c r="K855" s="59"/>
      <c r="L855" s="84">
        <f t="shared" si="31"/>
        <v>0</v>
      </c>
      <c r="M855" s="60" t="s">
        <v>3090</v>
      </c>
      <c r="N855" s="57"/>
      <c r="O855" s="57"/>
      <c r="P855" s="57"/>
      <c r="Q855" s="17" t="s">
        <v>19</v>
      </c>
      <c r="R855" s="70" t="str">
        <f>HYPERLINK("http://search.books.com.tw/search/query/key/9789863734338/cat/all
","
9789863734338")</f>
        <v xml:space="preserve">
9789863734338</v>
      </c>
    </row>
    <row r="856" spans="1:18" ht="49.5" hidden="1" x14ac:dyDescent="0.25">
      <c r="A856" s="1">
        <v>852</v>
      </c>
      <c r="B856" s="56" t="s">
        <v>3091</v>
      </c>
      <c r="C856" s="57" t="s">
        <v>3092</v>
      </c>
      <c r="D856" s="57" t="s">
        <v>1885</v>
      </c>
      <c r="E856" s="58" t="s">
        <v>363</v>
      </c>
      <c r="F856" s="58" t="s">
        <v>3093</v>
      </c>
      <c r="G856" s="58"/>
      <c r="H856" s="58"/>
      <c r="I856" s="57">
        <v>350</v>
      </c>
      <c r="J856" s="79">
        <f t="shared" si="30"/>
        <v>273</v>
      </c>
      <c r="K856" s="59"/>
      <c r="L856" s="84">
        <f t="shared" si="31"/>
        <v>0</v>
      </c>
      <c r="M856" s="60" t="s">
        <v>3090</v>
      </c>
      <c r="N856" s="57"/>
      <c r="O856" s="57"/>
      <c r="P856" s="57"/>
      <c r="Q856" s="17" t="s">
        <v>19</v>
      </c>
      <c r="R856" s="70" t="str">
        <f>HYPERLINK("http://search.books.com.tw/search/query/key/9789869686945/cat/all
","
9789869686945")</f>
        <v xml:space="preserve">
9789869686945</v>
      </c>
    </row>
    <row r="857" spans="1:18" ht="49.5" hidden="1" x14ac:dyDescent="0.25">
      <c r="A857" s="1">
        <v>853</v>
      </c>
      <c r="B857" s="56" t="s">
        <v>3094</v>
      </c>
      <c r="C857" s="57" t="s">
        <v>3095</v>
      </c>
      <c r="D857" s="57" t="s">
        <v>1178</v>
      </c>
      <c r="E857" s="58" t="s">
        <v>363</v>
      </c>
      <c r="F857" s="58" t="s">
        <v>3096</v>
      </c>
      <c r="G857" s="58"/>
      <c r="H857" s="58"/>
      <c r="I857" s="57">
        <v>320</v>
      </c>
      <c r="J857" s="79">
        <f t="shared" si="30"/>
        <v>249.6</v>
      </c>
      <c r="K857" s="59"/>
      <c r="L857" s="84">
        <f t="shared" si="31"/>
        <v>0</v>
      </c>
      <c r="M857" s="60" t="s">
        <v>3090</v>
      </c>
      <c r="N857" s="57"/>
      <c r="O857" s="57"/>
      <c r="P857" s="57"/>
      <c r="Q857" s="17" t="s">
        <v>19</v>
      </c>
      <c r="R857" s="70" t="str">
        <f>HYPERLINK("http://search.books.com.tw/search/query/key/9789869678292/cat/all
","
9789869678292")</f>
        <v xml:space="preserve">
9789869678292</v>
      </c>
    </row>
    <row r="858" spans="1:18" ht="33" hidden="1" x14ac:dyDescent="0.25">
      <c r="A858" s="1">
        <v>854</v>
      </c>
      <c r="B858" s="56" t="s">
        <v>3097</v>
      </c>
      <c r="C858" s="57" t="s">
        <v>3098</v>
      </c>
      <c r="D858" s="57" t="s">
        <v>1505</v>
      </c>
      <c r="E858" s="58" t="s">
        <v>368</v>
      </c>
      <c r="F858" s="58" t="s">
        <v>3099</v>
      </c>
      <c r="G858" s="58"/>
      <c r="H858" s="58"/>
      <c r="I858" s="57">
        <v>320</v>
      </c>
      <c r="J858" s="79">
        <f t="shared" si="30"/>
        <v>249.6</v>
      </c>
      <c r="K858" s="59"/>
      <c r="L858" s="84">
        <f t="shared" si="31"/>
        <v>0</v>
      </c>
      <c r="M858" s="60" t="s">
        <v>3100</v>
      </c>
      <c r="N858" s="57"/>
      <c r="O858" s="57"/>
      <c r="P858" s="57"/>
      <c r="Q858" s="17" t="s">
        <v>19</v>
      </c>
      <c r="R858" s="70" t="str">
        <f>HYPERLINK("http://search.books.com.tw/search/query/key/9789571084008/cat/all
","
9789571084008")</f>
        <v xml:space="preserve">
9789571084008</v>
      </c>
    </row>
    <row r="859" spans="1:18" ht="33" hidden="1" x14ac:dyDescent="0.25">
      <c r="A859" s="1">
        <v>855</v>
      </c>
      <c r="B859" s="56" t="s">
        <v>3101</v>
      </c>
      <c r="C859" s="57" t="s">
        <v>3102</v>
      </c>
      <c r="D859" s="57" t="s">
        <v>2957</v>
      </c>
      <c r="E859" s="58" t="s">
        <v>368</v>
      </c>
      <c r="F859" s="58" t="s">
        <v>3103</v>
      </c>
      <c r="G859" s="58"/>
      <c r="H859" s="58"/>
      <c r="I859" s="57">
        <v>300</v>
      </c>
      <c r="J859" s="79">
        <f t="shared" si="30"/>
        <v>234</v>
      </c>
      <c r="K859" s="59"/>
      <c r="L859" s="84">
        <f t="shared" si="31"/>
        <v>0</v>
      </c>
      <c r="M859" s="60" t="s">
        <v>3100</v>
      </c>
      <c r="N859" s="57"/>
      <c r="O859" s="57"/>
      <c r="P859" s="57"/>
      <c r="Q859" s="17" t="s">
        <v>19</v>
      </c>
      <c r="R859" s="70" t="str">
        <f>HYPERLINK("http://search.books.com.tw/search/query/key/9789578904576/cat/all
","
9789578904576")</f>
        <v xml:space="preserve">
9789578904576</v>
      </c>
    </row>
    <row r="860" spans="1:18" ht="33" hidden="1" x14ac:dyDescent="0.25">
      <c r="A860" s="1">
        <v>856</v>
      </c>
      <c r="B860" s="56" t="s">
        <v>3104</v>
      </c>
      <c r="C860" s="57" t="s">
        <v>3105</v>
      </c>
      <c r="D860" s="57" t="s">
        <v>427</v>
      </c>
      <c r="E860" s="58" t="s">
        <v>363</v>
      </c>
      <c r="F860" s="58" t="s">
        <v>3106</v>
      </c>
      <c r="G860" s="58"/>
      <c r="H860" s="58"/>
      <c r="I860" s="57">
        <v>350</v>
      </c>
      <c r="J860" s="79">
        <f t="shared" si="30"/>
        <v>273</v>
      </c>
      <c r="K860" s="59"/>
      <c r="L860" s="84">
        <f t="shared" si="31"/>
        <v>0</v>
      </c>
      <c r="M860" s="60" t="s">
        <v>3090</v>
      </c>
      <c r="N860" s="57"/>
      <c r="O860" s="57"/>
      <c r="P860" s="57"/>
      <c r="Q860" s="17" t="s">
        <v>19</v>
      </c>
      <c r="R860" s="70" t="str">
        <f>HYPERLINK("http://search.books.com.tw/search/query/key/9789571375946/cat/all
","
9789571375946")</f>
        <v xml:space="preserve">
9789571375946</v>
      </c>
    </row>
    <row r="861" spans="1:18" ht="49.5" hidden="1" x14ac:dyDescent="0.25">
      <c r="A861" s="1">
        <v>857</v>
      </c>
      <c r="B861" s="56" t="s">
        <v>3107</v>
      </c>
      <c r="C861" s="57" t="s">
        <v>3108</v>
      </c>
      <c r="D861" s="57" t="s">
        <v>3109</v>
      </c>
      <c r="E861" s="58" t="s">
        <v>363</v>
      </c>
      <c r="F861" s="58" t="s">
        <v>3110</v>
      </c>
      <c r="G861" s="58"/>
      <c r="H861" s="58"/>
      <c r="I861" s="57">
        <v>350</v>
      </c>
      <c r="J861" s="79">
        <f t="shared" si="30"/>
        <v>273</v>
      </c>
      <c r="K861" s="59"/>
      <c r="L861" s="84">
        <f t="shared" si="31"/>
        <v>0</v>
      </c>
      <c r="M861" s="60" t="s">
        <v>3090</v>
      </c>
      <c r="N861" s="57"/>
      <c r="O861" s="57"/>
      <c r="P861" s="57"/>
      <c r="Q861" s="17" t="s">
        <v>19</v>
      </c>
      <c r="R861" s="70" t="str">
        <f>HYPERLINK("http://search.books.com.tw/search/query/key/9789869692229/cat/all
","
9789869692229")</f>
        <v xml:space="preserve">
9789869692229</v>
      </c>
    </row>
    <row r="862" spans="1:18" ht="33" hidden="1" x14ac:dyDescent="0.25">
      <c r="A862" s="1">
        <v>858</v>
      </c>
      <c r="B862" s="56" t="s">
        <v>3111</v>
      </c>
      <c r="C862" s="57" t="s">
        <v>3112</v>
      </c>
      <c r="D862" s="57" t="s">
        <v>1245</v>
      </c>
      <c r="E862" s="58" t="s">
        <v>363</v>
      </c>
      <c r="F862" s="58" t="s">
        <v>3113</v>
      </c>
      <c r="G862" s="58"/>
      <c r="H862" s="58"/>
      <c r="I862" s="57">
        <v>360</v>
      </c>
      <c r="J862" s="79">
        <f t="shared" si="30"/>
        <v>280.8</v>
      </c>
      <c r="K862" s="59"/>
      <c r="L862" s="84">
        <f t="shared" si="31"/>
        <v>0</v>
      </c>
      <c r="M862" s="60" t="s">
        <v>3090</v>
      </c>
      <c r="N862" s="57"/>
      <c r="O862" s="57"/>
      <c r="P862" s="57"/>
      <c r="Q862" s="17" t="s">
        <v>19</v>
      </c>
      <c r="R862" s="70" t="str">
        <f>HYPERLINK("http://search.books.com.tw/search/query/key/9789864775477/cat/all
","
9789864775477")</f>
        <v xml:space="preserve">
9789864775477</v>
      </c>
    </row>
    <row r="863" spans="1:18" ht="33" hidden="1" x14ac:dyDescent="0.25">
      <c r="A863" s="1">
        <v>859</v>
      </c>
      <c r="B863" s="56" t="s">
        <v>3114</v>
      </c>
      <c r="C863" s="57" t="s">
        <v>3115</v>
      </c>
      <c r="D863" s="57" t="s">
        <v>1262</v>
      </c>
      <c r="E863" s="58" t="s">
        <v>363</v>
      </c>
      <c r="F863" s="58" t="s">
        <v>3116</v>
      </c>
      <c r="G863" s="58"/>
      <c r="H863" s="58"/>
      <c r="I863" s="57">
        <v>300</v>
      </c>
      <c r="J863" s="79">
        <f t="shared" si="30"/>
        <v>234</v>
      </c>
      <c r="K863" s="59"/>
      <c r="L863" s="84">
        <f t="shared" si="31"/>
        <v>0</v>
      </c>
      <c r="M863" s="60" t="s">
        <v>3090</v>
      </c>
      <c r="N863" s="57"/>
      <c r="O863" s="57"/>
      <c r="P863" s="57"/>
      <c r="Q863" s="17" t="s">
        <v>19</v>
      </c>
      <c r="R863" s="70" t="str">
        <f>HYPERLINK("http://search.books.com.tw/search/query/key/9789863616085/cat/all
","
9789863616085")</f>
        <v xml:space="preserve">
9789863616085</v>
      </c>
    </row>
    <row r="864" spans="1:18" ht="49.5" hidden="1" x14ac:dyDescent="0.25">
      <c r="A864" s="1">
        <v>860</v>
      </c>
      <c r="B864" s="56" t="s">
        <v>3117</v>
      </c>
      <c r="C864" s="57" t="s">
        <v>3118</v>
      </c>
      <c r="D864" s="57" t="s">
        <v>1262</v>
      </c>
      <c r="E864" s="58" t="s">
        <v>363</v>
      </c>
      <c r="F864" s="58" t="s">
        <v>3119</v>
      </c>
      <c r="G864" s="58"/>
      <c r="H864" s="58"/>
      <c r="I864" s="57">
        <v>300</v>
      </c>
      <c r="J864" s="79">
        <f t="shared" si="30"/>
        <v>234</v>
      </c>
      <c r="K864" s="59"/>
      <c r="L864" s="84">
        <f t="shared" si="31"/>
        <v>0</v>
      </c>
      <c r="M864" s="60" t="s">
        <v>3090</v>
      </c>
      <c r="N864" s="57"/>
      <c r="O864" s="57"/>
      <c r="P864" s="57"/>
      <c r="Q864" s="17" t="s">
        <v>19</v>
      </c>
      <c r="R864" s="70" t="str">
        <f>HYPERLINK("http://search.books.com.tw/search/query/key/9789863616139/cat/all
","
9789863616139")</f>
        <v xml:space="preserve">
9789863616139</v>
      </c>
    </row>
    <row r="865" spans="1:18" hidden="1" x14ac:dyDescent="0.25">
      <c r="A865" s="1">
        <v>861</v>
      </c>
      <c r="B865" s="56" t="s">
        <v>3120</v>
      </c>
      <c r="C865" s="57" t="s">
        <v>3121</v>
      </c>
      <c r="D865" s="57" t="s">
        <v>1273</v>
      </c>
      <c r="E865" s="58" t="s">
        <v>368</v>
      </c>
      <c r="F865" s="58" t="s">
        <v>3122</v>
      </c>
      <c r="G865" s="58"/>
      <c r="H865" s="58"/>
      <c r="I865" s="57">
        <v>320</v>
      </c>
      <c r="J865" s="79">
        <f t="shared" si="30"/>
        <v>249.6</v>
      </c>
      <c r="K865" s="59"/>
      <c r="L865" s="84">
        <f t="shared" si="31"/>
        <v>0</v>
      </c>
      <c r="M865" s="60" t="s">
        <v>3100</v>
      </c>
      <c r="N865" s="57"/>
      <c r="O865" s="57"/>
      <c r="P865" s="57"/>
      <c r="Q865" s="17" t="s">
        <v>19</v>
      </c>
      <c r="R865" s="70" t="str">
        <f>HYPERLINK("http://search.books.com.tw/search/query/key/9789576939242/cat/all
","
9789576939242")</f>
        <v xml:space="preserve">
9789576939242</v>
      </c>
    </row>
    <row r="866" spans="1:18" ht="33" hidden="1" x14ac:dyDescent="0.25">
      <c r="A866" s="1">
        <v>862</v>
      </c>
      <c r="B866" s="56" t="s">
        <v>3123</v>
      </c>
      <c r="C866" s="57" t="s">
        <v>3124</v>
      </c>
      <c r="D866" s="57" t="s">
        <v>1033</v>
      </c>
      <c r="E866" s="58" t="s">
        <v>363</v>
      </c>
      <c r="F866" s="58" t="s">
        <v>3125</v>
      </c>
      <c r="G866" s="58"/>
      <c r="H866" s="58"/>
      <c r="I866" s="57">
        <v>280</v>
      </c>
      <c r="J866" s="79">
        <f t="shared" si="30"/>
        <v>218.4</v>
      </c>
      <c r="K866" s="59"/>
      <c r="L866" s="84">
        <f t="shared" si="31"/>
        <v>0</v>
      </c>
      <c r="M866" s="60" t="s">
        <v>3090</v>
      </c>
      <c r="N866" s="57"/>
      <c r="O866" s="57"/>
      <c r="P866" s="57"/>
      <c r="Q866" s="17" t="s">
        <v>19</v>
      </c>
      <c r="R866" s="70" t="str">
        <f>HYPERLINK("http://search.books.com.tw/search/query/key/9789865611903/cat/all
","
9789865611903")</f>
        <v xml:space="preserve">
9789865611903</v>
      </c>
    </row>
    <row r="867" spans="1:18" hidden="1" x14ac:dyDescent="0.25">
      <c r="A867" s="1">
        <v>863</v>
      </c>
      <c r="B867" s="56" t="s">
        <v>3126</v>
      </c>
      <c r="C867" s="57" t="s">
        <v>3127</v>
      </c>
      <c r="D867" s="57" t="s">
        <v>1049</v>
      </c>
      <c r="E867" s="58" t="s">
        <v>363</v>
      </c>
      <c r="F867" s="58" t="s">
        <v>3128</v>
      </c>
      <c r="G867" s="58"/>
      <c r="H867" s="58"/>
      <c r="I867" s="57">
        <v>330</v>
      </c>
      <c r="J867" s="79">
        <f t="shared" si="30"/>
        <v>257.39999999999998</v>
      </c>
      <c r="K867" s="59"/>
      <c r="L867" s="84">
        <f t="shared" si="31"/>
        <v>0</v>
      </c>
      <c r="M867" s="60" t="s">
        <v>3090</v>
      </c>
      <c r="N867" s="57"/>
      <c r="O867" s="57"/>
      <c r="P867" s="57"/>
      <c r="Q867" s="17" t="s">
        <v>19</v>
      </c>
      <c r="R867" s="70" t="str">
        <f>HYPERLINK("http://search.books.com.tw/search/query/key/9789864795833/cat/all
","
9789864795833")</f>
        <v xml:space="preserve">
9789864795833</v>
      </c>
    </row>
    <row r="868" spans="1:18" ht="49.5" hidden="1" x14ac:dyDescent="0.25">
      <c r="A868" s="1">
        <v>864</v>
      </c>
      <c r="B868" s="56" t="s">
        <v>3129</v>
      </c>
      <c r="C868" s="57" t="s">
        <v>3130</v>
      </c>
      <c r="D868" s="57" t="s">
        <v>714</v>
      </c>
      <c r="E868" s="58" t="s">
        <v>363</v>
      </c>
      <c r="F868" s="58" t="s">
        <v>3131</v>
      </c>
      <c r="G868" s="58"/>
      <c r="H868" s="58"/>
      <c r="I868" s="57">
        <v>380</v>
      </c>
      <c r="J868" s="79">
        <f t="shared" si="30"/>
        <v>296.39999999999998</v>
      </c>
      <c r="K868" s="59"/>
      <c r="L868" s="84">
        <f t="shared" si="31"/>
        <v>0</v>
      </c>
      <c r="M868" s="60" t="s">
        <v>3090</v>
      </c>
      <c r="N868" s="57"/>
      <c r="O868" s="57"/>
      <c r="P868" s="57"/>
      <c r="Q868" s="17" t="s">
        <v>19</v>
      </c>
      <c r="R868" s="70" t="str">
        <f>HYPERLINK("http://search.books.com.tw/search/query/key/9789573284017/cat/all
","
9789573284017")</f>
        <v xml:space="preserve">
9789573284017</v>
      </c>
    </row>
    <row r="869" spans="1:18" ht="33" hidden="1" x14ac:dyDescent="0.25">
      <c r="A869" s="1">
        <v>865</v>
      </c>
      <c r="B869" s="56" t="s">
        <v>3132</v>
      </c>
      <c r="C869" s="57" t="s">
        <v>3133</v>
      </c>
      <c r="D869" s="57" t="s">
        <v>714</v>
      </c>
      <c r="E869" s="58" t="s">
        <v>363</v>
      </c>
      <c r="F869" s="58" t="s">
        <v>3134</v>
      </c>
      <c r="G869" s="58"/>
      <c r="H869" s="58"/>
      <c r="I869" s="57">
        <v>260</v>
      </c>
      <c r="J869" s="79">
        <f t="shared" si="30"/>
        <v>202.8</v>
      </c>
      <c r="K869" s="59"/>
      <c r="L869" s="84">
        <f t="shared" si="31"/>
        <v>0</v>
      </c>
      <c r="M869" s="60" t="s">
        <v>450</v>
      </c>
      <c r="N869" s="57" t="s">
        <v>3135</v>
      </c>
      <c r="O869" s="57"/>
      <c r="P869" s="57"/>
      <c r="Q869" s="17" t="s">
        <v>19</v>
      </c>
      <c r="R869" s="70" t="str">
        <f>HYPERLINK("http://search.books.com.tw/search/query/key/9789573284109/cat/all
","
9789573284109")</f>
        <v xml:space="preserve">
9789573284109</v>
      </c>
    </row>
    <row r="870" spans="1:18" ht="49.5" hidden="1" x14ac:dyDescent="0.25">
      <c r="A870" s="1">
        <v>866</v>
      </c>
      <c r="B870" s="56" t="s">
        <v>3136</v>
      </c>
      <c r="C870" s="57" t="s">
        <v>3137</v>
      </c>
      <c r="D870" s="57" t="s">
        <v>724</v>
      </c>
      <c r="E870" s="58" t="s">
        <v>363</v>
      </c>
      <c r="F870" s="58" t="s">
        <v>3138</v>
      </c>
      <c r="G870" s="58"/>
      <c r="H870" s="58"/>
      <c r="I870" s="57">
        <v>350</v>
      </c>
      <c r="J870" s="79">
        <f t="shared" si="30"/>
        <v>273</v>
      </c>
      <c r="K870" s="59"/>
      <c r="L870" s="84">
        <f t="shared" si="31"/>
        <v>0</v>
      </c>
      <c r="M870" s="60" t="s">
        <v>3090</v>
      </c>
      <c r="N870" s="57"/>
      <c r="O870" s="57"/>
      <c r="P870" s="57"/>
      <c r="Q870" s="17" t="s">
        <v>19</v>
      </c>
      <c r="R870" s="70" t="str">
        <f>HYPERLINK("http://search.books.com.tw/search/query/key/9789575030681/cat/all
","
9789575030681")</f>
        <v xml:space="preserve">
9789575030681</v>
      </c>
    </row>
    <row r="871" spans="1:18" ht="49.5" hidden="1" x14ac:dyDescent="0.25">
      <c r="A871" s="1">
        <v>867</v>
      </c>
      <c r="B871" s="56" t="s">
        <v>3139</v>
      </c>
      <c r="C871" s="57" t="s">
        <v>3140</v>
      </c>
      <c r="D871" s="57" t="s">
        <v>728</v>
      </c>
      <c r="E871" s="58" t="s">
        <v>363</v>
      </c>
      <c r="F871" s="58" t="s">
        <v>3141</v>
      </c>
      <c r="G871" s="58"/>
      <c r="H871" s="58"/>
      <c r="I871" s="57">
        <v>450</v>
      </c>
      <c r="J871" s="79">
        <f t="shared" si="30"/>
        <v>351</v>
      </c>
      <c r="K871" s="59"/>
      <c r="L871" s="84">
        <f t="shared" si="31"/>
        <v>0</v>
      </c>
      <c r="M871" s="60" t="s">
        <v>3090</v>
      </c>
      <c r="N871" s="57"/>
      <c r="O871" s="57"/>
      <c r="P871" s="57"/>
      <c r="Q871" s="17" t="s">
        <v>19</v>
      </c>
      <c r="R871" s="70" t="str">
        <f>HYPERLINK("http://search.books.com.tw/search/query/key/9789862487532/cat/all
","
9789862487532")</f>
        <v xml:space="preserve">
9789862487532</v>
      </c>
    </row>
    <row r="872" spans="1:18" ht="82.5" hidden="1" x14ac:dyDescent="0.25">
      <c r="A872" s="1">
        <v>868</v>
      </c>
      <c r="B872" s="56" t="s">
        <v>3142</v>
      </c>
      <c r="C872" s="57" t="s">
        <v>3143</v>
      </c>
      <c r="D872" s="57" t="s">
        <v>2196</v>
      </c>
      <c r="E872" s="58" t="s">
        <v>368</v>
      </c>
      <c r="F872" s="58" t="s">
        <v>3144</v>
      </c>
      <c r="G872" s="58"/>
      <c r="H872" s="58"/>
      <c r="I872" s="57">
        <v>399</v>
      </c>
      <c r="J872" s="79">
        <f t="shared" si="30"/>
        <v>311.22000000000003</v>
      </c>
      <c r="K872" s="59"/>
      <c r="L872" s="84">
        <f t="shared" si="31"/>
        <v>0</v>
      </c>
      <c r="M872" s="60" t="s">
        <v>3100</v>
      </c>
      <c r="N872" s="57"/>
      <c r="O872" s="57"/>
      <c r="P872" s="57"/>
      <c r="Q872" s="17" t="s">
        <v>19</v>
      </c>
      <c r="R872" s="70" t="str">
        <f>HYPERLINK("http://search.books.com.tw/search/query/key/9789869700641/cat/all
","
9789869700641")</f>
        <v xml:space="preserve">
9789869700641</v>
      </c>
    </row>
    <row r="873" spans="1:18" ht="33" hidden="1" x14ac:dyDescent="0.25">
      <c r="A873" s="1">
        <v>869</v>
      </c>
      <c r="B873" s="56" t="s">
        <v>3145</v>
      </c>
      <c r="C873" s="57" t="s">
        <v>3146</v>
      </c>
      <c r="D873" s="57" t="s">
        <v>1060</v>
      </c>
      <c r="E873" s="58" t="s">
        <v>363</v>
      </c>
      <c r="F873" s="58" t="s">
        <v>3147</v>
      </c>
      <c r="G873" s="58"/>
      <c r="H873" s="58"/>
      <c r="I873" s="57">
        <v>850</v>
      </c>
      <c r="J873" s="79">
        <f t="shared" si="30"/>
        <v>663</v>
      </c>
      <c r="K873" s="59"/>
      <c r="L873" s="84">
        <f t="shared" si="31"/>
        <v>0</v>
      </c>
      <c r="M873" s="60" t="s">
        <v>3090</v>
      </c>
      <c r="N873" s="57"/>
      <c r="O873" s="57"/>
      <c r="P873" s="57"/>
      <c r="Q873" s="17" t="s">
        <v>19</v>
      </c>
      <c r="R873" s="70" t="str">
        <f>HYPERLINK("http://search.books.com.tw/search/query/key/9789577107428/cat/all
","
9789577107428")</f>
        <v xml:space="preserve">
9789577107428</v>
      </c>
    </row>
    <row r="874" spans="1:18" ht="49.5" hidden="1" x14ac:dyDescent="0.25">
      <c r="A874" s="1">
        <v>870</v>
      </c>
      <c r="B874" s="56" t="s">
        <v>3148</v>
      </c>
      <c r="C874" s="57" t="s">
        <v>3149</v>
      </c>
      <c r="D874" s="57" t="s">
        <v>3150</v>
      </c>
      <c r="E874" s="58" t="s">
        <v>368</v>
      </c>
      <c r="F874" s="58" t="s">
        <v>3151</v>
      </c>
      <c r="G874" s="58"/>
      <c r="H874" s="58"/>
      <c r="I874" s="57">
        <v>399</v>
      </c>
      <c r="J874" s="79">
        <f t="shared" si="30"/>
        <v>311.22000000000003</v>
      </c>
      <c r="K874" s="59"/>
      <c r="L874" s="84">
        <f t="shared" si="31"/>
        <v>0</v>
      </c>
      <c r="M874" s="60" t="s">
        <v>3152</v>
      </c>
      <c r="N874" s="57"/>
      <c r="O874" s="57"/>
      <c r="P874" s="57"/>
      <c r="Q874" s="17" t="s">
        <v>19</v>
      </c>
      <c r="R874" s="70" t="str">
        <f>HYPERLINK("http://search.books.com.tw/search/query/key/9789869530644/cat/all
","
9789869530644")</f>
        <v xml:space="preserve">
9789869530644</v>
      </c>
    </row>
    <row r="875" spans="1:18" hidden="1" x14ac:dyDescent="0.25">
      <c r="A875" s="1">
        <v>871</v>
      </c>
      <c r="B875" s="56" t="s">
        <v>3153</v>
      </c>
      <c r="C875" s="57" t="s">
        <v>3154</v>
      </c>
      <c r="D875" s="57" t="s">
        <v>2482</v>
      </c>
      <c r="E875" s="58" t="s">
        <v>363</v>
      </c>
      <c r="F875" s="58" t="s">
        <v>3155</v>
      </c>
      <c r="G875" s="58"/>
      <c r="H875" s="58"/>
      <c r="I875" s="57">
        <v>380</v>
      </c>
      <c r="J875" s="79">
        <f t="shared" si="30"/>
        <v>296.39999999999998</v>
      </c>
      <c r="K875" s="59"/>
      <c r="L875" s="84">
        <f t="shared" si="31"/>
        <v>0</v>
      </c>
      <c r="M875" s="60" t="s">
        <v>3156</v>
      </c>
      <c r="N875" s="57"/>
      <c r="O875" s="57"/>
      <c r="P875" s="57"/>
      <c r="Q875" s="17" t="s">
        <v>19</v>
      </c>
      <c r="R875" s="70" t="str">
        <f>HYPERLINK("http://search.books.com.tw/search/query/key/9789869667296/cat/all
","
9789869667296")</f>
        <v xml:space="preserve">
9789869667296</v>
      </c>
    </row>
    <row r="876" spans="1:18" hidden="1" x14ac:dyDescent="0.25">
      <c r="A876" s="1">
        <v>872</v>
      </c>
      <c r="B876" s="56" t="s">
        <v>3157</v>
      </c>
      <c r="C876" s="57" t="s">
        <v>3158</v>
      </c>
      <c r="D876" s="57" t="s">
        <v>1110</v>
      </c>
      <c r="E876" s="58" t="s">
        <v>363</v>
      </c>
      <c r="F876" s="58" t="s">
        <v>3159</v>
      </c>
      <c r="G876" s="58"/>
      <c r="H876" s="58"/>
      <c r="I876" s="57">
        <v>380</v>
      </c>
      <c r="J876" s="79">
        <f t="shared" si="30"/>
        <v>296.39999999999998</v>
      </c>
      <c r="K876" s="59"/>
      <c r="L876" s="84">
        <f t="shared" si="31"/>
        <v>0</v>
      </c>
      <c r="M876" s="60" t="s">
        <v>3156</v>
      </c>
      <c r="N876" s="57"/>
      <c r="O876" s="57"/>
      <c r="P876" s="57"/>
      <c r="Q876" s="17" t="s">
        <v>19</v>
      </c>
      <c r="R876" s="70" t="str">
        <f>HYPERLINK("http://search.books.com.tw/search/query/key/9789862139394/cat/all
","
9789862139394")</f>
        <v xml:space="preserve">
9789862139394</v>
      </c>
    </row>
    <row r="877" spans="1:18" hidden="1" x14ac:dyDescent="0.25">
      <c r="A877" s="1">
        <v>873</v>
      </c>
      <c r="B877" s="56" t="s">
        <v>3160</v>
      </c>
      <c r="C877" s="57" t="s">
        <v>3161</v>
      </c>
      <c r="D877" s="57" t="s">
        <v>1117</v>
      </c>
      <c r="E877" s="58" t="s">
        <v>363</v>
      </c>
      <c r="F877" s="58" t="s">
        <v>3162</v>
      </c>
      <c r="G877" s="58"/>
      <c r="H877" s="58"/>
      <c r="I877" s="57">
        <v>200</v>
      </c>
      <c r="J877" s="79">
        <f t="shared" si="30"/>
        <v>156</v>
      </c>
      <c r="K877" s="59"/>
      <c r="L877" s="84">
        <f t="shared" si="31"/>
        <v>0</v>
      </c>
      <c r="M877" s="60" t="s">
        <v>3156</v>
      </c>
      <c r="N877" s="57"/>
      <c r="O877" s="57"/>
      <c r="P877" s="57"/>
      <c r="Q877" s="17" t="s">
        <v>19</v>
      </c>
      <c r="R877" s="70" t="str">
        <f>HYPERLINK("http://search.books.com.tw/search/query/key/9789863983859/cat/all
","
9789863983859")</f>
        <v xml:space="preserve">
9789863983859</v>
      </c>
    </row>
    <row r="878" spans="1:18" ht="49.5" hidden="1" x14ac:dyDescent="0.25">
      <c r="A878" s="1">
        <v>874</v>
      </c>
      <c r="B878" s="56" t="s">
        <v>3163</v>
      </c>
      <c r="C878" s="57" t="s">
        <v>3164</v>
      </c>
      <c r="D878" s="57" t="s">
        <v>3165</v>
      </c>
      <c r="E878" s="58" t="s">
        <v>363</v>
      </c>
      <c r="F878" s="58" t="s">
        <v>3166</v>
      </c>
      <c r="G878" s="58"/>
      <c r="H878" s="58"/>
      <c r="I878" s="57">
        <v>380</v>
      </c>
      <c r="J878" s="79">
        <f t="shared" si="30"/>
        <v>296.39999999999998</v>
      </c>
      <c r="K878" s="59"/>
      <c r="L878" s="84">
        <f t="shared" si="31"/>
        <v>0</v>
      </c>
      <c r="M878" s="60" t="s">
        <v>3156</v>
      </c>
      <c r="N878" s="57"/>
      <c r="O878" s="57"/>
      <c r="P878" s="57"/>
      <c r="Q878" s="17" t="s">
        <v>19</v>
      </c>
      <c r="R878" s="70" t="str">
        <f>HYPERLINK("http://search.books.com.tw/search/query/key/9789869672658/cat/all
","
9789869672658")</f>
        <v xml:space="preserve">
9789869672658</v>
      </c>
    </row>
    <row r="879" spans="1:18" ht="33" hidden="1" x14ac:dyDescent="0.25">
      <c r="A879" s="1">
        <v>875</v>
      </c>
      <c r="B879" s="56" t="s">
        <v>3167</v>
      </c>
      <c r="C879" s="57" t="s">
        <v>3168</v>
      </c>
      <c r="D879" s="57" t="s">
        <v>3169</v>
      </c>
      <c r="E879" s="58" t="s">
        <v>363</v>
      </c>
      <c r="F879" s="58" t="s">
        <v>3170</v>
      </c>
      <c r="G879" s="58"/>
      <c r="H879" s="58"/>
      <c r="I879" s="57">
        <v>380</v>
      </c>
      <c r="J879" s="79">
        <f t="shared" si="30"/>
        <v>296.39999999999998</v>
      </c>
      <c r="K879" s="59"/>
      <c r="L879" s="84">
        <f t="shared" si="31"/>
        <v>0</v>
      </c>
      <c r="M879" s="60" t="s">
        <v>3156</v>
      </c>
      <c r="N879" s="57" t="s">
        <v>3171</v>
      </c>
      <c r="O879" s="57"/>
      <c r="P879" s="57"/>
      <c r="Q879" s="17" t="s">
        <v>19</v>
      </c>
      <c r="R879" s="70" t="str">
        <f>HYPERLINK("http://search.books.com.tw/search/query/key/9789865727819/cat/all
","
9789865727819")</f>
        <v xml:space="preserve">
9789865727819</v>
      </c>
    </row>
    <row r="880" spans="1:18" ht="49.5" hidden="1" x14ac:dyDescent="0.25">
      <c r="A880" s="1">
        <v>876</v>
      </c>
      <c r="B880" s="56" t="s">
        <v>3172</v>
      </c>
      <c r="C880" s="57" t="s">
        <v>3173</v>
      </c>
      <c r="D880" s="57" t="s">
        <v>1885</v>
      </c>
      <c r="E880" s="58" t="s">
        <v>368</v>
      </c>
      <c r="F880" s="58" t="s">
        <v>3174</v>
      </c>
      <c r="G880" s="58"/>
      <c r="H880" s="58"/>
      <c r="I880" s="57">
        <v>380</v>
      </c>
      <c r="J880" s="79">
        <f t="shared" si="30"/>
        <v>296.39999999999998</v>
      </c>
      <c r="K880" s="59"/>
      <c r="L880" s="84">
        <f t="shared" si="31"/>
        <v>0</v>
      </c>
      <c r="M880" s="60" t="s">
        <v>3152</v>
      </c>
      <c r="N880" s="57"/>
      <c r="O880" s="57"/>
      <c r="P880" s="57"/>
      <c r="Q880" s="17" t="s">
        <v>19</v>
      </c>
      <c r="R880" s="70" t="str">
        <f>HYPERLINK("http://search.books.com.tw/search/query/key/9789869686976/cat/all
","
9789869686976")</f>
        <v xml:space="preserve">
9789869686976</v>
      </c>
    </row>
    <row r="881" spans="1:18" ht="33" hidden="1" x14ac:dyDescent="0.25">
      <c r="A881" s="1">
        <v>877</v>
      </c>
      <c r="B881" s="56" t="s">
        <v>3175</v>
      </c>
      <c r="C881" s="57" t="s">
        <v>3176</v>
      </c>
      <c r="D881" s="57" t="s">
        <v>773</v>
      </c>
      <c r="E881" s="58" t="s">
        <v>368</v>
      </c>
      <c r="F881" s="58" t="s">
        <v>3177</v>
      </c>
      <c r="G881" s="58"/>
      <c r="H881" s="58"/>
      <c r="I881" s="57">
        <v>280</v>
      </c>
      <c r="J881" s="79">
        <f t="shared" si="30"/>
        <v>218.4</v>
      </c>
      <c r="K881" s="59"/>
      <c r="L881" s="84">
        <f t="shared" si="31"/>
        <v>0</v>
      </c>
      <c r="M881" s="60" t="s">
        <v>3152</v>
      </c>
      <c r="N881" s="57"/>
      <c r="O881" s="57"/>
      <c r="P881" s="57"/>
      <c r="Q881" s="17" t="s">
        <v>19</v>
      </c>
      <c r="R881" s="70" t="str">
        <f>HYPERLINK("http://search.books.com.tw/search/query/key/9789578799486/cat/all
","
9789578799486")</f>
        <v xml:space="preserve">
9789578799486</v>
      </c>
    </row>
    <row r="882" spans="1:18" hidden="1" x14ac:dyDescent="0.25">
      <c r="A882" s="1">
        <v>878</v>
      </c>
      <c r="B882" s="56" t="s">
        <v>3178</v>
      </c>
      <c r="C882" s="57" t="s">
        <v>3179</v>
      </c>
      <c r="D882" s="57" t="s">
        <v>773</v>
      </c>
      <c r="E882" s="58" t="s">
        <v>368</v>
      </c>
      <c r="F882" s="58" t="s">
        <v>3180</v>
      </c>
      <c r="G882" s="58"/>
      <c r="H882" s="58"/>
      <c r="I882" s="57">
        <v>300</v>
      </c>
      <c r="J882" s="79">
        <f t="shared" si="30"/>
        <v>234</v>
      </c>
      <c r="K882" s="59"/>
      <c r="L882" s="84">
        <f t="shared" si="31"/>
        <v>0</v>
      </c>
      <c r="M882" s="60" t="s">
        <v>3152</v>
      </c>
      <c r="N882" s="57"/>
      <c r="O882" s="57"/>
      <c r="P882" s="57"/>
      <c r="Q882" s="17" t="s">
        <v>19</v>
      </c>
      <c r="R882" s="70" t="str">
        <f>HYPERLINK("http://search.books.com.tw/search/query/key/9789578799516/cat/all
","
9789578799516")</f>
        <v xml:space="preserve">
9789578799516</v>
      </c>
    </row>
    <row r="883" spans="1:18" hidden="1" x14ac:dyDescent="0.25">
      <c r="A883" s="1">
        <v>879</v>
      </c>
      <c r="B883" s="56" t="s">
        <v>3181</v>
      </c>
      <c r="C883" s="57" t="s">
        <v>3182</v>
      </c>
      <c r="D883" s="57" t="s">
        <v>3183</v>
      </c>
      <c r="E883" s="58" t="s">
        <v>363</v>
      </c>
      <c r="F883" s="58" t="s">
        <v>3184</v>
      </c>
      <c r="G883" s="58"/>
      <c r="H883" s="58"/>
      <c r="I883" s="57">
        <v>599</v>
      </c>
      <c r="J883" s="79">
        <f t="shared" si="30"/>
        <v>467.22</v>
      </c>
      <c r="K883" s="59"/>
      <c r="L883" s="84">
        <f t="shared" si="31"/>
        <v>0</v>
      </c>
      <c r="M883" s="60" t="s">
        <v>3156</v>
      </c>
      <c r="N883" s="57"/>
      <c r="O883" s="57"/>
      <c r="P883" s="57"/>
      <c r="Q883" s="17" t="s">
        <v>19</v>
      </c>
      <c r="R883" s="70" t="str">
        <f>HYPERLINK("http://search.books.com.tw/search/query/key/9786899537933/cat/all
","
9786899537933")</f>
        <v xml:space="preserve">
9786899537933</v>
      </c>
    </row>
    <row r="884" spans="1:18" ht="49.5" hidden="1" x14ac:dyDescent="0.25">
      <c r="A884" s="1">
        <v>880</v>
      </c>
      <c r="B884" s="56" t="s">
        <v>3185</v>
      </c>
      <c r="C884" s="57" t="s">
        <v>3186</v>
      </c>
      <c r="D884" s="57" t="s">
        <v>1178</v>
      </c>
      <c r="E884" s="58" t="s">
        <v>359</v>
      </c>
      <c r="F884" s="58" t="s">
        <v>3187</v>
      </c>
      <c r="G884" s="58"/>
      <c r="H884" s="58"/>
      <c r="I884" s="57">
        <v>450</v>
      </c>
      <c r="J884" s="79">
        <f t="shared" si="30"/>
        <v>351</v>
      </c>
      <c r="K884" s="59"/>
      <c r="L884" s="84">
        <f t="shared" si="31"/>
        <v>0</v>
      </c>
      <c r="M884" s="60" t="s">
        <v>3156</v>
      </c>
      <c r="N884" s="57"/>
      <c r="O884" s="57"/>
      <c r="P884" s="57"/>
      <c r="Q884" s="17" t="s">
        <v>19</v>
      </c>
      <c r="R884" s="70" t="str">
        <f>HYPERLINK("http://search.books.com.tw/search/query/key/9789869704618/cat/all
","
9789869704618")</f>
        <v xml:space="preserve">
9789869704618</v>
      </c>
    </row>
    <row r="885" spans="1:18" hidden="1" x14ac:dyDescent="0.25">
      <c r="A885" s="1">
        <v>881</v>
      </c>
      <c r="B885" s="56" t="s">
        <v>3188</v>
      </c>
      <c r="C885" s="57" t="s">
        <v>3189</v>
      </c>
      <c r="D885" s="57" t="s">
        <v>849</v>
      </c>
      <c r="E885" s="58" t="s">
        <v>368</v>
      </c>
      <c r="F885" s="58" t="s">
        <v>3190</v>
      </c>
      <c r="G885" s="58"/>
      <c r="H885" s="58"/>
      <c r="I885" s="57">
        <v>380</v>
      </c>
      <c r="J885" s="79">
        <f t="shared" si="30"/>
        <v>296.39999999999998</v>
      </c>
      <c r="K885" s="59"/>
      <c r="L885" s="84">
        <f t="shared" si="31"/>
        <v>0</v>
      </c>
      <c r="M885" s="60" t="s">
        <v>3152</v>
      </c>
      <c r="N885" s="57"/>
      <c r="O885" s="57"/>
      <c r="P885" s="57"/>
      <c r="Q885" s="17" t="s">
        <v>19</v>
      </c>
      <c r="R885" s="70" t="str">
        <f>HYPERLINK("http://search.books.com.tw/search/query/key/9789869676151/cat/all
","
9789869676151")</f>
        <v xml:space="preserve">
9789869676151</v>
      </c>
    </row>
    <row r="886" spans="1:18" hidden="1" x14ac:dyDescent="0.25">
      <c r="A886" s="1">
        <v>882</v>
      </c>
      <c r="B886" s="56" t="s">
        <v>3191</v>
      </c>
      <c r="C886" s="57" t="s">
        <v>3189</v>
      </c>
      <c r="D886" s="57" t="s">
        <v>849</v>
      </c>
      <c r="E886" s="58" t="s">
        <v>368</v>
      </c>
      <c r="F886" s="58" t="s">
        <v>3192</v>
      </c>
      <c r="G886" s="58"/>
      <c r="H886" s="58"/>
      <c r="I886" s="57">
        <v>520</v>
      </c>
      <c r="J886" s="79">
        <f t="shared" si="30"/>
        <v>405.6</v>
      </c>
      <c r="K886" s="59"/>
      <c r="L886" s="84">
        <f t="shared" si="31"/>
        <v>0</v>
      </c>
      <c r="M886" s="60" t="s">
        <v>3152</v>
      </c>
      <c r="N886" s="57"/>
      <c r="O886" s="57"/>
      <c r="P886" s="57"/>
      <c r="Q886" s="17" t="s">
        <v>19</v>
      </c>
      <c r="R886" s="70" t="str">
        <f>HYPERLINK("http://search.books.com.tw/search/query/key/9789869676168/cat/all
","
9789869676168")</f>
        <v xml:space="preserve">
9789869676168</v>
      </c>
    </row>
    <row r="887" spans="1:18" ht="66" hidden="1" x14ac:dyDescent="0.25">
      <c r="A887" s="1">
        <v>883</v>
      </c>
      <c r="B887" s="56" t="s">
        <v>3193</v>
      </c>
      <c r="C887" s="57" t="s">
        <v>3194</v>
      </c>
      <c r="D887" s="57" t="s">
        <v>3195</v>
      </c>
      <c r="E887" s="58" t="s">
        <v>363</v>
      </c>
      <c r="F887" s="58" t="s">
        <v>3196</v>
      </c>
      <c r="G887" s="58"/>
      <c r="H887" s="58"/>
      <c r="I887" s="57">
        <v>299</v>
      </c>
      <c r="J887" s="79">
        <f t="shared" si="30"/>
        <v>233.22</v>
      </c>
      <c r="K887" s="59"/>
      <c r="L887" s="84">
        <f t="shared" si="31"/>
        <v>0</v>
      </c>
      <c r="M887" s="60" t="s">
        <v>3156</v>
      </c>
      <c r="N887" s="57" t="s">
        <v>3197</v>
      </c>
      <c r="O887" s="57"/>
      <c r="P887" s="57"/>
      <c r="Q887" s="17" t="s">
        <v>19</v>
      </c>
      <c r="R887" s="70" t="str">
        <f>HYPERLINK("http://search.books.com.tw/search/query/key/9789861304083/cat/all
","
9789861304083")</f>
        <v xml:space="preserve">
9789861304083</v>
      </c>
    </row>
    <row r="888" spans="1:18" hidden="1" x14ac:dyDescent="0.25">
      <c r="A888" s="1">
        <v>884</v>
      </c>
      <c r="B888" s="56" t="s">
        <v>3198</v>
      </c>
      <c r="C888" s="57" t="s">
        <v>3199</v>
      </c>
      <c r="D888" s="57" t="s">
        <v>1621</v>
      </c>
      <c r="E888" s="58" t="s">
        <v>363</v>
      </c>
      <c r="F888" s="58" t="s">
        <v>3200</v>
      </c>
      <c r="G888" s="58"/>
      <c r="H888" s="58"/>
      <c r="I888" s="57">
        <v>280</v>
      </c>
      <c r="J888" s="79">
        <f t="shared" si="30"/>
        <v>218.4</v>
      </c>
      <c r="K888" s="59"/>
      <c r="L888" s="84">
        <f t="shared" si="31"/>
        <v>0</v>
      </c>
      <c r="M888" s="60" t="s">
        <v>3156</v>
      </c>
      <c r="N888" s="57"/>
      <c r="O888" s="57"/>
      <c r="P888" s="57"/>
      <c r="Q888" s="17" t="s">
        <v>19</v>
      </c>
      <c r="R888" s="70" t="str">
        <f>HYPERLINK("http://search.books.com.tw/search/query/key/9789869670692/cat/all
","
9789869670692")</f>
        <v xml:space="preserve">
9789869670692</v>
      </c>
    </row>
    <row r="889" spans="1:18" ht="49.5" hidden="1" x14ac:dyDescent="0.25">
      <c r="A889" s="1">
        <v>885</v>
      </c>
      <c r="B889" s="56" t="s">
        <v>3201</v>
      </c>
      <c r="C889" s="57" t="s">
        <v>3202</v>
      </c>
      <c r="D889" s="57" t="s">
        <v>1212</v>
      </c>
      <c r="E889" s="58" t="s">
        <v>368</v>
      </c>
      <c r="F889" s="58" t="s">
        <v>3203</v>
      </c>
      <c r="G889" s="58"/>
      <c r="H889" s="58"/>
      <c r="I889" s="57">
        <v>350</v>
      </c>
      <c r="J889" s="79">
        <f t="shared" si="30"/>
        <v>273</v>
      </c>
      <c r="K889" s="59"/>
      <c r="L889" s="84">
        <f t="shared" si="31"/>
        <v>0</v>
      </c>
      <c r="M889" s="60" t="s">
        <v>3152</v>
      </c>
      <c r="N889" s="57"/>
      <c r="O889" s="57"/>
      <c r="P889" s="57"/>
      <c r="Q889" s="17" t="s">
        <v>19</v>
      </c>
      <c r="R889" s="70" t="str">
        <f>HYPERLINK("http://search.books.com.tw/search/query/key/9789578950726/cat/all
","
9789578950726")</f>
        <v xml:space="preserve">
9789578950726</v>
      </c>
    </row>
    <row r="890" spans="1:18" ht="66" hidden="1" x14ac:dyDescent="0.25">
      <c r="A890" s="1">
        <v>886</v>
      </c>
      <c r="B890" s="56" t="s">
        <v>3204</v>
      </c>
      <c r="C890" s="57" t="s">
        <v>3205</v>
      </c>
      <c r="D890" s="57" t="s">
        <v>2046</v>
      </c>
      <c r="E890" s="58" t="s">
        <v>368</v>
      </c>
      <c r="F890" s="58" t="s">
        <v>3206</v>
      </c>
      <c r="G890" s="58"/>
      <c r="H890" s="58"/>
      <c r="I890" s="57">
        <v>320</v>
      </c>
      <c r="J890" s="79">
        <f t="shared" si="30"/>
        <v>249.6</v>
      </c>
      <c r="K890" s="59"/>
      <c r="L890" s="84">
        <f t="shared" si="31"/>
        <v>0</v>
      </c>
      <c r="M890" s="60" t="s">
        <v>3152</v>
      </c>
      <c r="N890" s="57"/>
      <c r="O890" s="57"/>
      <c r="P890" s="57"/>
      <c r="Q890" s="17" t="s">
        <v>19</v>
      </c>
      <c r="R890" s="70" t="str">
        <f>HYPERLINK("http://search.books.com.tw/search/query/key/9789863711148/cat/all
","
9789863711148")</f>
        <v xml:space="preserve">
9789863711148</v>
      </c>
    </row>
    <row r="891" spans="1:18" ht="66" hidden="1" x14ac:dyDescent="0.25">
      <c r="A891" s="1">
        <v>887</v>
      </c>
      <c r="B891" s="56" t="s">
        <v>3207</v>
      </c>
      <c r="C891" s="57" t="s">
        <v>3208</v>
      </c>
      <c r="D891" s="57" t="s">
        <v>427</v>
      </c>
      <c r="E891" s="58" t="s">
        <v>363</v>
      </c>
      <c r="F891" s="58" t="s">
        <v>3209</v>
      </c>
      <c r="G891" s="58"/>
      <c r="H891" s="58"/>
      <c r="I891" s="57">
        <v>350</v>
      </c>
      <c r="J891" s="79">
        <f t="shared" si="30"/>
        <v>273</v>
      </c>
      <c r="K891" s="59"/>
      <c r="L891" s="84">
        <f t="shared" si="31"/>
        <v>0</v>
      </c>
      <c r="M891" s="60" t="s">
        <v>3156</v>
      </c>
      <c r="N891" s="57"/>
      <c r="O891" s="57"/>
      <c r="P891" s="57"/>
      <c r="Q891" s="17" t="s">
        <v>19</v>
      </c>
      <c r="R891" s="70" t="str">
        <f>HYPERLINK("http://search.books.com.tw/search/query/key/9789571375878/cat/all
","
9789571375878")</f>
        <v xml:space="preserve">
9789571375878</v>
      </c>
    </row>
    <row r="892" spans="1:18" hidden="1" x14ac:dyDescent="0.25">
      <c r="A892" s="1">
        <v>888</v>
      </c>
      <c r="B892" s="56" t="s">
        <v>3210</v>
      </c>
      <c r="C892" s="57" t="s">
        <v>3211</v>
      </c>
      <c r="D892" s="57" t="s">
        <v>3109</v>
      </c>
      <c r="E892" s="58" t="s">
        <v>368</v>
      </c>
      <c r="F892" s="58" t="s">
        <v>3212</v>
      </c>
      <c r="G892" s="58"/>
      <c r="H892" s="58"/>
      <c r="I892" s="57">
        <v>400</v>
      </c>
      <c r="J892" s="79">
        <f t="shared" si="30"/>
        <v>312</v>
      </c>
      <c r="K892" s="59"/>
      <c r="L892" s="84">
        <f t="shared" si="31"/>
        <v>0</v>
      </c>
      <c r="M892" s="60" t="s">
        <v>3152</v>
      </c>
      <c r="N892" s="57"/>
      <c r="O892" s="57"/>
      <c r="P892" s="57"/>
      <c r="Q892" s="17" t="s">
        <v>19</v>
      </c>
      <c r="R892" s="70" t="str">
        <f>HYPERLINK("http://search.books.com.tw/search/query/key/9789869615389/cat/all
","
9789869615389")</f>
        <v xml:space="preserve">
9789869615389</v>
      </c>
    </row>
    <row r="893" spans="1:18" hidden="1" x14ac:dyDescent="0.25">
      <c r="A893" s="1">
        <v>889</v>
      </c>
      <c r="B893" s="56" t="s">
        <v>3213</v>
      </c>
      <c r="C893" s="57" t="s">
        <v>3214</v>
      </c>
      <c r="D893" s="57" t="s">
        <v>3109</v>
      </c>
      <c r="E893" s="58" t="s">
        <v>363</v>
      </c>
      <c r="F893" s="58" t="s">
        <v>3215</v>
      </c>
      <c r="G893" s="58"/>
      <c r="H893" s="58"/>
      <c r="I893" s="57">
        <v>350</v>
      </c>
      <c r="J893" s="79">
        <f t="shared" si="30"/>
        <v>273</v>
      </c>
      <c r="K893" s="59"/>
      <c r="L893" s="84">
        <f t="shared" si="31"/>
        <v>0</v>
      </c>
      <c r="M893" s="60" t="s">
        <v>3152</v>
      </c>
      <c r="N893" s="57"/>
      <c r="O893" s="57"/>
      <c r="P893" s="57"/>
      <c r="Q893" s="17" t="s">
        <v>19</v>
      </c>
      <c r="R893" s="70" t="str">
        <f>HYPERLINK("http://search.books.com.tw/search/query/key/4717702905026/cat/all
","
4717702905026")</f>
        <v xml:space="preserve">
4717702905026</v>
      </c>
    </row>
    <row r="894" spans="1:18" ht="33" hidden="1" x14ac:dyDescent="0.25">
      <c r="A894" s="1">
        <v>890</v>
      </c>
      <c r="B894" s="56" t="s">
        <v>3216</v>
      </c>
      <c r="C894" s="57" t="s">
        <v>3217</v>
      </c>
      <c r="D894" s="57" t="s">
        <v>3109</v>
      </c>
      <c r="E894" s="58" t="s">
        <v>363</v>
      </c>
      <c r="F894" s="58" t="s">
        <v>3218</v>
      </c>
      <c r="G894" s="58"/>
      <c r="H894" s="58"/>
      <c r="I894" s="57">
        <v>380</v>
      </c>
      <c r="J894" s="79">
        <f t="shared" si="30"/>
        <v>296.39999999999998</v>
      </c>
      <c r="K894" s="59"/>
      <c r="L894" s="84">
        <f t="shared" si="31"/>
        <v>0</v>
      </c>
      <c r="M894" s="60" t="s">
        <v>3156</v>
      </c>
      <c r="N894" s="57"/>
      <c r="O894" s="57"/>
      <c r="P894" s="57"/>
      <c r="Q894" s="17" t="s">
        <v>19</v>
      </c>
      <c r="R894" s="70" t="str">
        <f>HYPERLINK("http://search.books.com.tw/search/query/key/9789869692212/cat/all
","
9789869692212")</f>
        <v xml:space="preserve">
9789869692212</v>
      </c>
    </row>
    <row r="895" spans="1:18" ht="82.5" hidden="1" x14ac:dyDescent="0.25">
      <c r="A895" s="1">
        <v>891</v>
      </c>
      <c r="B895" s="56" t="s">
        <v>3219</v>
      </c>
      <c r="C895" s="57" t="s">
        <v>3220</v>
      </c>
      <c r="D895" s="57" t="s">
        <v>3109</v>
      </c>
      <c r="E895" s="58" t="s">
        <v>359</v>
      </c>
      <c r="F895" s="58" t="s">
        <v>3221</v>
      </c>
      <c r="G895" s="58"/>
      <c r="H895" s="58"/>
      <c r="I895" s="57">
        <v>599</v>
      </c>
      <c r="J895" s="79">
        <f t="shared" si="30"/>
        <v>467.22</v>
      </c>
      <c r="K895" s="59"/>
      <c r="L895" s="84">
        <f t="shared" si="31"/>
        <v>0</v>
      </c>
      <c r="M895" s="60" t="s">
        <v>3152</v>
      </c>
      <c r="N895" s="56" t="s">
        <v>3222</v>
      </c>
      <c r="O895" s="57"/>
      <c r="P895" s="57"/>
      <c r="Q895" s="17" t="s">
        <v>19</v>
      </c>
      <c r="R895" s="70" t="str">
        <f>HYPERLINK("http://search.books.com.tw/search/query/key/4717702904791/cat/all
","
4717702904791")</f>
        <v xml:space="preserve">
4717702904791</v>
      </c>
    </row>
    <row r="896" spans="1:18" ht="33" hidden="1" x14ac:dyDescent="0.25">
      <c r="A896" s="1">
        <v>892</v>
      </c>
      <c r="B896" s="56" t="s">
        <v>3223</v>
      </c>
      <c r="C896" s="57"/>
      <c r="D896" s="57" t="s">
        <v>1245</v>
      </c>
      <c r="E896" s="58" t="s">
        <v>368</v>
      </c>
      <c r="F896" s="58" t="s">
        <v>3224</v>
      </c>
      <c r="G896" s="58"/>
      <c r="H896" s="58"/>
      <c r="I896" s="57">
        <v>320</v>
      </c>
      <c r="J896" s="79">
        <f t="shared" si="30"/>
        <v>249.6</v>
      </c>
      <c r="K896" s="59"/>
      <c r="L896" s="84">
        <f t="shared" si="31"/>
        <v>0</v>
      </c>
      <c r="M896" s="60" t="s">
        <v>3152</v>
      </c>
      <c r="N896" s="57"/>
      <c r="O896" s="57"/>
      <c r="P896" s="57"/>
      <c r="Q896" s="17" t="s">
        <v>19</v>
      </c>
      <c r="R896" s="70" t="str">
        <f>HYPERLINK("http://search.books.com.tw/search/query/key/9789864775804/cat/all
","
9789864775804")</f>
        <v xml:space="preserve">
9789864775804</v>
      </c>
    </row>
    <row r="897" spans="1:18" ht="49.5" hidden="1" x14ac:dyDescent="0.25">
      <c r="A897" s="1">
        <v>893</v>
      </c>
      <c r="B897" s="56" t="s">
        <v>3225</v>
      </c>
      <c r="C897" s="57" t="s">
        <v>3226</v>
      </c>
      <c r="D897" s="57" t="s">
        <v>1245</v>
      </c>
      <c r="E897" s="58" t="s">
        <v>359</v>
      </c>
      <c r="F897" s="58" t="s">
        <v>3227</v>
      </c>
      <c r="G897" s="58"/>
      <c r="H897" s="58"/>
      <c r="I897" s="57">
        <v>480</v>
      </c>
      <c r="J897" s="79">
        <f t="shared" si="30"/>
        <v>374.4</v>
      </c>
      <c r="K897" s="59"/>
      <c r="L897" s="84">
        <f t="shared" si="31"/>
        <v>0</v>
      </c>
      <c r="M897" s="60" t="s">
        <v>3156</v>
      </c>
      <c r="N897" s="57"/>
      <c r="O897" s="57"/>
      <c r="P897" s="57"/>
      <c r="Q897" s="17" t="s">
        <v>19</v>
      </c>
      <c r="R897" s="70" t="str">
        <f>HYPERLINK("http://search.books.com.tw/search/query/key/9789864775545/cat/all
","
9789864775545")</f>
        <v xml:space="preserve">
9789864775545</v>
      </c>
    </row>
    <row r="898" spans="1:18" ht="33" hidden="1" x14ac:dyDescent="0.25">
      <c r="A898" s="1">
        <v>894</v>
      </c>
      <c r="B898" s="56" t="s">
        <v>3228</v>
      </c>
      <c r="C898" s="57" t="s">
        <v>3229</v>
      </c>
      <c r="D898" s="57" t="s">
        <v>1262</v>
      </c>
      <c r="E898" s="58" t="s">
        <v>363</v>
      </c>
      <c r="F898" s="58" t="s">
        <v>3230</v>
      </c>
      <c r="G898" s="58"/>
      <c r="H898" s="58"/>
      <c r="I898" s="57">
        <v>260</v>
      </c>
      <c r="J898" s="79">
        <f t="shared" si="30"/>
        <v>202.8</v>
      </c>
      <c r="K898" s="59"/>
      <c r="L898" s="84">
        <f t="shared" si="31"/>
        <v>0</v>
      </c>
      <c r="M898" s="60" t="s">
        <v>3156</v>
      </c>
      <c r="N898" s="57"/>
      <c r="O898" s="57"/>
      <c r="P898" s="57"/>
      <c r="Q898" s="17" t="s">
        <v>19</v>
      </c>
      <c r="R898" s="70" t="str">
        <f>HYPERLINK("http://search.books.com.tw/search/query/key/9789863616146/cat/all
","
9789863616146")</f>
        <v xml:space="preserve">
9789863616146</v>
      </c>
    </row>
    <row r="899" spans="1:18" ht="49.5" hidden="1" x14ac:dyDescent="0.25">
      <c r="A899" s="1">
        <v>895</v>
      </c>
      <c r="B899" s="56" t="s">
        <v>3231</v>
      </c>
      <c r="C899" s="57" t="s">
        <v>3232</v>
      </c>
      <c r="D899" s="57" t="s">
        <v>3233</v>
      </c>
      <c r="E899" s="58" t="s">
        <v>363</v>
      </c>
      <c r="F899" s="58" t="s">
        <v>3234</v>
      </c>
      <c r="G899" s="58"/>
      <c r="H899" s="58"/>
      <c r="I899" s="57">
        <v>350</v>
      </c>
      <c r="J899" s="79">
        <f t="shared" si="30"/>
        <v>273</v>
      </c>
      <c r="K899" s="59"/>
      <c r="L899" s="84">
        <f t="shared" si="31"/>
        <v>0</v>
      </c>
      <c r="M899" s="60" t="s">
        <v>3156</v>
      </c>
      <c r="N899" s="57"/>
      <c r="O899" s="57"/>
      <c r="P899" s="57"/>
      <c r="Q899" s="17" t="s">
        <v>19</v>
      </c>
      <c r="R899" s="70" t="str">
        <f>HYPERLINK("http://search.books.com.tw/search/query/key/9789869673518/cat/all
","
9789869673518")</f>
        <v xml:space="preserve">
9789869673518</v>
      </c>
    </row>
    <row r="900" spans="1:18" ht="33" hidden="1" x14ac:dyDescent="0.25">
      <c r="A900" s="1">
        <v>896</v>
      </c>
      <c r="B900" s="56" t="s">
        <v>3235</v>
      </c>
      <c r="C900" s="57" t="s">
        <v>3236</v>
      </c>
      <c r="D900" s="57" t="s">
        <v>1033</v>
      </c>
      <c r="E900" s="58" t="s">
        <v>363</v>
      </c>
      <c r="F900" s="58" t="s">
        <v>3237</v>
      </c>
      <c r="G900" s="58"/>
      <c r="H900" s="58"/>
      <c r="I900" s="57">
        <v>250</v>
      </c>
      <c r="J900" s="79">
        <f t="shared" si="30"/>
        <v>195</v>
      </c>
      <c r="K900" s="59"/>
      <c r="L900" s="84">
        <f t="shared" si="31"/>
        <v>0</v>
      </c>
      <c r="M900" s="60" t="s">
        <v>3156</v>
      </c>
      <c r="N900" s="57"/>
      <c r="O900" s="57"/>
      <c r="P900" s="57"/>
      <c r="Q900" s="17" t="s">
        <v>19</v>
      </c>
      <c r="R900" s="70" t="str">
        <f>HYPERLINK("http://search.books.com.tw/search/query/key/9789865611897/cat/all
","
9789865611897")</f>
        <v xml:space="preserve">
9789865611897</v>
      </c>
    </row>
    <row r="901" spans="1:18" ht="49.5" hidden="1" x14ac:dyDescent="0.25">
      <c r="A901" s="1">
        <v>897</v>
      </c>
      <c r="B901" s="56" t="s">
        <v>3238</v>
      </c>
      <c r="C901" s="57" t="s">
        <v>3239</v>
      </c>
      <c r="D901" s="57" t="s">
        <v>2073</v>
      </c>
      <c r="E901" s="58" t="s">
        <v>368</v>
      </c>
      <c r="F901" s="58" t="s">
        <v>3240</v>
      </c>
      <c r="G901" s="58"/>
      <c r="H901" s="58"/>
      <c r="I901" s="57">
        <v>300</v>
      </c>
      <c r="J901" s="79">
        <f t="shared" si="30"/>
        <v>234</v>
      </c>
      <c r="K901" s="59"/>
      <c r="L901" s="84">
        <f t="shared" si="31"/>
        <v>0</v>
      </c>
      <c r="M901" s="60" t="s">
        <v>3152</v>
      </c>
      <c r="N901" s="57"/>
      <c r="O901" s="57"/>
      <c r="P901" s="57"/>
      <c r="Q901" s="17" t="s">
        <v>19</v>
      </c>
      <c r="R901" s="70" t="str">
        <f>HYPERLINK("http://search.books.com.tw/search/query/key/9789865003265/cat/all
","
9789865003265")</f>
        <v xml:space="preserve">
9789865003265</v>
      </c>
    </row>
    <row r="902" spans="1:18" ht="33" hidden="1" x14ac:dyDescent="0.25">
      <c r="A902" s="1">
        <v>898</v>
      </c>
      <c r="B902" s="56" t="s">
        <v>3241</v>
      </c>
      <c r="C902" s="57" t="s">
        <v>3242</v>
      </c>
      <c r="D902" s="57" t="s">
        <v>3243</v>
      </c>
      <c r="E902" s="58" t="s">
        <v>368</v>
      </c>
      <c r="F902" s="58" t="s">
        <v>3244</v>
      </c>
      <c r="G902" s="58"/>
      <c r="H902" s="58"/>
      <c r="I902" s="57">
        <v>320</v>
      </c>
      <c r="J902" s="79">
        <f t="shared" ref="J902:J962" si="32">ROUND(I902*0.78,2)</f>
        <v>249.6</v>
      </c>
      <c r="K902" s="59"/>
      <c r="L902" s="84">
        <f t="shared" ref="L902:L962" si="33">K902*J902</f>
        <v>0</v>
      </c>
      <c r="M902" s="60" t="s">
        <v>3152</v>
      </c>
      <c r="N902" s="57"/>
      <c r="O902" s="57"/>
      <c r="P902" s="57"/>
      <c r="Q902" s="17" t="s">
        <v>19</v>
      </c>
      <c r="R902" s="70" t="str">
        <f>HYPERLINK("http://search.books.com.tw/search/query/key/9789576867613/cat/all
","
9789576867613")</f>
        <v xml:space="preserve">
9789576867613</v>
      </c>
    </row>
    <row r="903" spans="1:18" ht="49.5" hidden="1" x14ac:dyDescent="0.25">
      <c r="A903" s="1">
        <v>899</v>
      </c>
      <c r="B903" s="56" t="s">
        <v>3245</v>
      </c>
      <c r="C903" s="57" t="s">
        <v>3246</v>
      </c>
      <c r="D903" s="57" t="s">
        <v>714</v>
      </c>
      <c r="E903" s="58" t="s">
        <v>363</v>
      </c>
      <c r="F903" s="58" t="s">
        <v>3247</v>
      </c>
      <c r="G903" s="58"/>
      <c r="H903" s="58"/>
      <c r="I903" s="57">
        <v>300</v>
      </c>
      <c r="J903" s="79">
        <f t="shared" si="32"/>
        <v>234</v>
      </c>
      <c r="K903" s="59"/>
      <c r="L903" s="84">
        <f t="shared" si="33"/>
        <v>0</v>
      </c>
      <c r="M903" s="60" t="s">
        <v>3156</v>
      </c>
      <c r="N903" s="57"/>
      <c r="O903" s="57"/>
      <c r="P903" s="57"/>
      <c r="Q903" s="17" t="s">
        <v>19</v>
      </c>
      <c r="R903" s="70" t="str">
        <f>HYPERLINK("http://search.books.com.tw/search/query/key/9789573283997/cat/all
","
9789573283997")</f>
        <v xml:space="preserve">
9789573283997</v>
      </c>
    </row>
    <row r="904" spans="1:18" hidden="1" x14ac:dyDescent="0.25">
      <c r="A904" s="1">
        <v>900</v>
      </c>
      <c r="B904" s="56" t="s">
        <v>3248</v>
      </c>
      <c r="C904" s="57" t="s">
        <v>3249</v>
      </c>
      <c r="D904" s="57" t="s">
        <v>3250</v>
      </c>
      <c r="E904" s="58" t="s">
        <v>363</v>
      </c>
      <c r="F904" s="58" t="s">
        <v>3251</v>
      </c>
      <c r="G904" s="58"/>
      <c r="H904" s="58"/>
      <c r="I904" s="57">
        <v>680</v>
      </c>
      <c r="J904" s="79">
        <f t="shared" si="32"/>
        <v>530.4</v>
      </c>
      <c r="K904" s="59"/>
      <c r="L904" s="84">
        <f t="shared" si="33"/>
        <v>0</v>
      </c>
      <c r="M904" s="60" t="s">
        <v>3156</v>
      </c>
      <c r="N904" s="57"/>
      <c r="O904" s="57"/>
      <c r="P904" s="57"/>
      <c r="Q904" s="17" t="s">
        <v>19</v>
      </c>
      <c r="R904" s="70" t="str">
        <f>HYPERLINK("http://search.books.com.tw/search/query/key/9789866314841/cat/all
","
9789866314841")</f>
        <v xml:space="preserve">
9789866314841</v>
      </c>
    </row>
    <row r="905" spans="1:18" ht="33" hidden="1" x14ac:dyDescent="0.25">
      <c r="A905" s="1">
        <v>901</v>
      </c>
      <c r="B905" s="56" t="s">
        <v>3252</v>
      </c>
      <c r="C905" s="57" t="s">
        <v>3253</v>
      </c>
      <c r="D905" s="57" t="s">
        <v>3250</v>
      </c>
      <c r="E905" s="58" t="s">
        <v>363</v>
      </c>
      <c r="F905" s="58" t="s">
        <v>3254</v>
      </c>
      <c r="G905" s="58"/>
      <c r="H905" s="58"/>
      <c r="I905" s="57">
        <v>420</v>
      </c>
      <c r="J905" s="79">
        <f t="shared" si="32"/>
        <v>327.60000000000002</v>
      </c>
      <c r="K905" s="59"/>
      <c r="L905" s="84">
        <f t="shared" si="33"/>
        <v>0</v>
      </c>
      <c r="M905" s="60" t="s">
        <v>3156</v>
      </c>
      <c r="N905" s="57"/>
      <c r="O905" s="57"/>
      <c r="P905" s="57"/>
      <c r="Q905" s="17" t="s">
        <v>19</v>
      </c>
      <c r="R905" s="70" t="str">
        <f>HYPERLINK("http://search.books.com.tw/search/query/key/9789866314827/cat/all
","
9789866314827")</f>
        <v xml:space="preserve">
9789866314827</v>
      </c>
    </row>
    <row r="906" spans="1:18" ht="33" hidden="1" x14ac:dyDescent="0.25">
      <c r="A906" s="1">
        <v>902</v>
      </c>
      <c r="B906" s="56" t="s">
        <v>3255</v>
      </c>
      <c r="C906" s="57" t="s">
        <v>3256</v>
      </c>
      <c r="D906" s="57" t="s">
        <v>3257</v>
      </c>
      <c r="E906" s="58" t="s">
        <v>359</v>
      </c>
      <c r="F906" s="58" t="s">
        <v>3258</v>
      </c>
      <c r="G906" s="58"/>
      <c r="H906" s="58"/>
      <c r="I906" s="57">
        <v>450</v>
      </c>
      <c r="J906" s="79">
        <f t="shared" si="32"/>
        <v>351</v>
      </c>
      <c r="K906" s="59"/>
      <c r="L906" s="84">
        <f t="shared" si="33"/>
        <v>0</v>
      </c>
      <c r="M906" s="60" t="s">
        <v>3156</v>
      </c>
      <c r="N906" s="57"/>
      <c r="O906" s="57"/>
      <c r="P906" s="57"/>
      <c r="Q906" s="17" t="s">
        <v>19</v>
      </c>
      <c r="R906" s="70" t="str">
        <f>HYPERLINK("http://search.books.com.tw/search/query/key/9789869629683/cat/all
","
9789869629683")</f>
        <v xml:space="preserve">
9789869629683</v>
      </c>
    </row>
    <row r="907" spans="1:18" hidden="1" x14ac:dyDescent="0.25">
      <c r="A907" s="1">
        <v>903</v>
      </c>
      <c r="B907" s="56" t="s">
        <v>3259</v>
      </c>
      <c r="C907" s="57" t="s">
        <v>3260</v>
      </c>
      <c r="D907" s="57" t="s">
        <v>732</v>
      </c>
      <c r="E907" s="58" t="s">
        <v>363</v>
      </c>
      <c r="F907" s="58" t="s">
        <v>3261</v>
      </c>
      <c r="G907" s="58"/>
      <c r="H907" s="58"/>
      <c r="I907" s="57">
        <v>340</v>
      </c>
      <c r="J907" s="79">
        <f t="shared" si="32"/>
        <v>265.2</v>
      </c>
      <c r="K907" s="59"/>
      <c r="L907" s="84">
        <f t="shared" si="33"/>
        <v>0</v>
      </c>
      <c r="M907" s="60" t="s">
        <v>3156</v>
      </c>
      <c r="N907" s="57"/>
      <c r="O907" s="57"/>
      <c r="P907" s="57"/>
      <c r="Q907" s="17" t="s">
        <v>19</v>
      </c>
      <c r="R907" s="70" t="str">
        <f>HYPERLINK("http://search.books.com.tw/search/query/key/9789570852080/cat/all
","
9789570852080")</f>
        <v xml:space="preserve">
9789570852080</v>
      </c>
    </row>
    <row r="908" spans="1:18" hidden="1" x14ac:dyDescent="0.25">
      <c r="A908" s="1">
        <v>904</v>
      </c>
      <c r="B908" s="56" t="s">
        <v>3262</v>
      </c>
      <c r="C908" s="57" t="s">
        <v>3263</v>
      </c>
      <c r="D908" s="57" t="s">
        <v>732</v>
      </c>
      <c r="E908" s="58" t="s">
        <v>363</v>
      </c>
      <c r="F908" s="58" t="s">
        <v>3264</v>
      </c>
      <c r="G908" s="58"/>
      <c r="H908" s="58"/>
      <c r="I908" s="57">
        <v>390</v>
      </c>
      <c r="J908" s="79">
        <f t="shared" si="32"/>
        <v>304.2</v>
      </c>
      <c r="K908" s="59"/>
      <c r="L908" s="84">
        <f t="shared" si="33"/>
        <v>0</v>
      </c>
      <c r="M908" s="60" t="s">
        <v>3156</v>
      </c>
      <c r="N908" s="57"/>
      <c r="O908" s="57"/>
      <c r="P908" s="57"/>
      <c r="Q908" s="17" t="s">
        <v>19</v>
      </c>
      <c r="R908" s="70" t="str">
        <f>HYPERLINK("http://search.books.com.tw/search/query/key/9789572985342/cat/all
","
9789572985342")</f>
        <v xml:space="preserve">
9789572985342</v>
      </c>
    </row>
    <row r="909" spans="1:18" hidden="1" x14ac:dyDescent="0.25">
      <c r="A909" s="1">
        <v>905</v>
      </c>
      <c r="B909" s="56" t="s">
        <v>3265</v>
      </c>
      <c r="C909" s="57" t="s">
        <v>3266</v>
      </c>
      <c r="D909" s="57" t="s">
        <v>3267</v>
      </c>
      <c r="E909" s="58" t="s">
        <v>363</v>
      </c>
      <c r="F909" s="58" t="s">
        <v>3268</v>
      </c>
      <c r="G909" s="58"/>
      <c r="H909" s="58"/>
      <c r="I909" s="57">
        <v>350</v>
      </c>
      <c r="J909" s="79">
        <f t="shared" si="32"/>
        <v>273</v>
      </c>
      <c r="K909" s="59"/>
      <c r="L909" s="84">
        <f t="shared" si="33"/>
        <v>0</v>
      </c>
      <c r="M909" s="60" t="s">
        <v>3269</v>
      </c>
      <c r="N909" s="57"/>
      <c r="O909" s="57"/>
      <c r="P909" s="57"/>
      <c r="Q909" s="17" t="s">
        <v>19</v>
      </c>
      <c r="R909" s="70" t="str">
        <f>HYPERLINK("http://search.books.com.tw/search/query/key/9789869700702/cat/all
","
9789869700702")</f>
        <v xml:space="preserve">
9789869700702</v>
      </c>
    </row>
    <row r="910" spans="1:18" hidden="1" x14ac:dyDescent="0.25">
      <c r="A910" s="1">
        <v>906</v>
      </c>
      <c r="B910" s="56" t="s">
        <v>3270</v>
      </c>
      <c r="C910" s="57" t="s">
        <v>3271</v>
      </c>
      <c r="D910" s="57" t="s">
        <v>500</v>
      </c>
      <c r="E910" s="58" t="s">
        <v>363</v>
      </c>
      <c r="F910" s="58" t="s">
        <v>3272</v>
      </c>
      <c r="G910" s="58"/>
      <c r="H910" s="58"/>
      <c r="I910" s="57">
        <v>450</v>
      </c>
      <c r="J910" s="79">
        <f t="shared" si="32"/>
        <v>351</v>
      </c>
      <c r="K910" s="59"/>
      <c r="L910" s="84">
        <f t="shared" si="33"/>
        <v>0</v>
      </c>
      <c r="M910" s="60" t="s">
        <v>3269</v>
      </c>
      <c r="N910" s="57"/>
      <c r="O910" s="57"/>
      <c r="P910" s="57"/>
      <c r="Q910" s="17" t="s">
        <v>19</v>
      </c>
      <c r="R910" s="70" t="str">
        <f>HYPERLINK("http://search.books.com.tw/search/query/key/9789864435210/cat/all
","
9789864435210")</f>
        <v xml:space="preserve">
9789864435210</v>
      </c>
    </row>
    <row r="911" spans="1:18" hidden="1" x14ac:dyDescent="0.25">
      <c r="A911" s="1">
        <v>907</v>
      </c>
      <c r="B911" s="56" t="s">
        <v>3273</v>
      </c>
      <c r="C911" s="57" t="s">
        <v>3274</v>
      </c>
      <c r="D911" s="57" t="s">
        <v>1364</v>
      </c>
      <c r="E911" s="58" t="s">
        <v>368</v>
      </c>
      <c r="F911" s="58" t="s">
        <v>3275</v>
      </c>
      <c r="G911" s="58"/>
      <c r="H911" s="58"/>
      <c r="I911" s="57">
        <v>400</v>
      </c>
      <c r="J911" s="79">
        <f t="shared" si="32"/>
        <v>312</v>
      </c>
      <c r="K911" s="59"/>
      <c r="L911" s="84">
        <f t="shared" si="33"/>
        <v>0</v>
      </c>
      <c r="M911" s="60" t="s">
        <v>3276</v>
      </c>
      <c r="N911" s="57"/>
      <c r="O911" s="57"/>
      <c r="P911" s="57"/>
      <c r="Q911" s="17" t="s">
        <v>19</v>
      </c>
      <c r="R911" s="70" t="str">
        <f>HYPERLINK("http://search.books.com.tw/search/query/key/9789869705103/cat/all
","
9789869705103")</f>
        <v xml:space="preserve">
9789869705103</v>
      </c>
    </row>
    <row r="912" spans="1:18" ht="66" hidden="1" x14ac:dyDescent="0.25">
      <c r="A912" s="1">
        <v>908</v>
      </c>
      <c r="B912" s="56" t="s">
        <v>3277</v>
      </c>
      <c r="C912" s="57" t="s">
        <v>3278</v>
      </c>
      <c r="D912" s="57" t="s">
        <v>1387</v>
      </c>
      <c r="E912" s="58" t="s">
        <v>363</v>
      </c>
      <c r="F912" s="58" t="s">
        <v>3279</v>
      </c>
      <c r="G912" s="58"/>
      <c r="H912" s="58"/>
      <c r="I912" s="57">
        <v>650</v>
      </c>
      <c r="J912" s="79">
        <f t="shared" si="32"/>
        <v>507</v>
      </c>
      <c r="K912" s="59"/>
      <c r="L912" s="84">
        <f t="shared" si="33"/>
        <v>0</v>
      </c>
      <c r="M912" s="60" t="s">
        <v>3269</v>
      </c>
      <c r="N912" s="56" t="s">
        <v>3280</v>
      </c>
      <c r="O912" s="57"/>
      <c r="P912" s="57"/>
      <c r="Q912" s="17" t="s">
        <v>19</v>
      </c>
      <c r="R912" s="70" t="str">
        <f>HYPERLINK("http://search.books.com.tw/search/query/key/9789864893164/cat/all
","
9789864893164")</f>
        <v xml:space="preserve">
9789864893164</v>
      </c>
    </row>
    <row r="913" spans="1:18" ht="66" hidden="1" x14ac:dyDescent="0.25">
      <c r="A913" s="1">
        <v>909</v>
      </c>
      <c r="B913" s="56" t="s">
        <v>3281</v>
      </c>
      <c r="C913" s="57" t="s">
        <v>3282</v>
      </c>
      <c r="D913" s="57" t="s">
        <v>1110</v>
      </c>
      <c r="E913" s="58" t="s">
        <v>363</v>
      </c>
      <c r="F913" s="58" t="s">
        <v>3283</v>
      </c>
      <c r="G913" s="58"/>
      <c r="H913" s="58"/>
      <c r="I913" s="57">
        <v>330</v>
      </c>
      <c r="J913" s="79">
        <f t="shared" si="32"/>
        <v>257.39999999999998</v>
      </c>
      <c r="K913" s="59"/>
      <c r="L913" s="84">
        <f t="shared" si="33"/>
        <v>0</v>
      </c>
      <c r="M913" s="60" t="s">
        <v>3269</v>
      </c>
      <c r="N913" s="56" t="s">
        <v>3284</v>
      </c>
      <c r="O913" s="57"/>
      <c r="P913" s="57"/>
      <c r="Q913" s="17" t="s">
        <v>19</v>
      </c>
      <c r="R913" s="70" t="str">
        <f>HYPERLINK("http://search.books.com.tw/search/query/key/9789862139387/cat/all
","
9789862139387")</f>
        <v xml:space="preserve">
9789862139387</v>
      </c>
    </row>
    <row r="914" spans="1:18" ht="33" hidden="1" x14ac:dyDescent="0.25">
      <c r="A914" s="1">
        <v>910</v>
      </c>
      <c r="B914" s="56" t="s">
        <v>3285</v>
      </c>
      <c r="C914" s="57" t="s">
        <v>3286</v>
      </c>
      <c r="D914" s="57" t="s">
        <v>769</v>
      </c>
      <c r="E914" s="58" t="s">
        <v>368</v>
      </c>
      <c r="F914" s="58" t="s">
        <v>3287</v>
      </c>
      <c r="G914" s="58"/>
      <c r="H914" s="58"/>
      <c r="I914" s="57">
        <v>240</v>
      </c>
      <c r="J914" s="79">
        <f t="shared" si="32"/>
        <v>187.2</v>
      </c>
      <c r="K914" s="59"/>
      <c r="L914" s="84">
        <f t="shared" si="33"/>
        <v>0</v>
      </c>
      <c r="M914" s="60" t="s">
        <v>3276</v>
      </c>
      <c r="N914" s="57"/>
      <c r="O914" s="57"/>
      <c r="P914" s="57"/>
      <c r="Q914" s="17" t="s">
        <v>19</v>
      </c>
      <c r="R914" s="70" t="str">
        <f>HYPERLINK("http://search.books.com.tw/search/query/key/9789578602465/cat/all
","
9789578602465")</f>
        <v xml:space="preserve">
9789578602465</v>
      </c>
    </row>
    <row r="915" spans="1:18" ht="33" hidden="1" x14ac:dyDescent="0.25">
      <c r="A915" s="1">
        <v>911</v>
      </c>
      <c r="B915" s="56" t="s">
        <v>3288</v>
      </c>
      <c r="C915" s="57" t="s">
        <v>3289</v>
      </c>
      <c r="D915" s="57" t="s">
        <v>1901</v>
      </c>
      <c r="E915" s="58" t="s">
        <v>363</v>
      </c>
      <c r="F915" s="58" t="s">
        <v>3290</v>
      </c>
      <c r="G915" s="58"/>
      <c r="H915" s="58"/>
      <c r="I915" s="57">
        <v>320</v>
      </c>
      <c r="J915" s="79">
        <f t="shared" si="32"/>
        <v>249.6</v>
      </c>
      <c r="K915" s="59"/>
      <c r="L915" s="84">
        <f t="shared" si="33"/>
        <v>0</v>
      </c>
      <c r="M915" s="60" t="s">
        <v>3276</v>
      </c>
      <c r="N915" s="57" t="s">
        <v>3291</v>
      </c>
      <c r="O915" s="57"/>
      <c r="P915" s="57"/>
      <c r="Q915" s="17" t="s">
        <v>19</v>
      </c>
      <c r="R915" s="70" t="str">
        <f>HYPERLINK("http://search.books.com.tw/search/query/key/9789861365237/cat/all
","
9789861365237")</f>
        <v xml:space="preserve">
9789861365237</v>
      </c>
    </row>
    <row r="916" spans="1:18" hidden="1" x14ac:dyDescent="0.25">
      <c r="A916" s="1">
        <v>912</v>
      </c>
      <c r="B916" s="56" t="s">
        <v>3292</v>
      </c>
      <c r="C916" s="57" t="s">
        <v>3293</v>
      </c>
      <c r="D916" s="57" t="s">
        <v>3294</v>
      </c>
      <c r="E916" s="58" t="s">
        <v>363</v>
      </c>
      <c r="F916" s="58" t="s">
        <v>3295</v>
      </c>
      <c r="G916" s="58"/>
      <c r="H916" s="58"/>
      <c r="I916" s="57">
        <v>600</v>
      </c>
      <c r="J916" s="79">
        <f t="shared" si="32"/>
        <v>468</v>
      </c>
      <c r="K916" s="59"/>
      <c r="L916" s="84">
        <f t="shared" si="33"/>
        <v>0</v>
      </c>
      <c r="M916" s="60" t="s">
        <v>3269</v>
      </c>
      <c r="N916" s="57"/>
      <c r="O916" s="57"/>
      <c r="P916" s="57"/>
      <c r="Q916" s="17" t="s">
        <v>19</v>
      </c>
      <c r="R916" s="70" t="str">
        <f>HYPERLINK("http://search.books.com.tw/search/query/key/9789860567175/cat/all
","
9789860567175")</f>
        <v xml:space="preserve">
9789860567175</v>
      </c>
    </row>
    <row r="917" spans="1:18" hidden="1" x14ac:dyDescent="0.25">
      <c r="A917" s="1">
        <v>913</v>
      </c>
      <c r="B917" s="56" t="s">
        <v>3296</v>
      </c>
      <c r="C917" s="57" t="s">
        <v>3297</v>
      </c>
      <c r="D917" s="57" t="s">
        <v>3294</v>
      </c>
      <c r="E917" s="58" t="s">
        <v>363</v>
      </c>
      <c r="F917" s="58" t="s">
        <v>3298</v>
      </c>
      <c r="G917" s="58"/>
      <c r="H917" s="58"/>
      <c r="I917" s="57">
        <v>600</v>
      </c>
      <c r="J917" s="79">
        <f t="shared" si="32"/>
        <v>468</v>
      </c>
      <c r="K917" s="59"/>
      <c r="L917" s="84">
        <f t="shared" si="33"/>
        <v>0</v>
      </c>
      <c r="M917" s="60" t="s">
        <v>3269</v>
      </c>
      <c r="N917" s="57"/>
      <c r="O917" s="57"/>
      <c r="P917" s="57"/>
      <c r="Q917" s="17" t="s">
        <v>19</v>
      </c>
      <c r="R917" s="70" t="str">
        <f>HYPERLINK("http://search.books.com.tw/search/query/key/9789860567151/cat/all
","
9789860567151")</f>
        <v xml:space="preserve">
9789860567151</v>
      </c>
    </row>
    <row r="918" spans="1:18" hidden="1" x14ac:dyDescent="0.25">
      <c r="A918" s="1">
        <v>914</v>
      </c>
      <c r="B918" s="56" t="s">
        <v>3299</v>
      </c>
      <c r="C918" s="57" t="s">
        <v>3300</v>
      </c>
      <c r="D918" s="57" t="s">
        <v>3294</v>
      </c>
      <c r="E918" s="58" t="s">
        <v>363</v>
      </c>
      <c r="F918" s="58" t="s">
        <v>3301</v>
      </c>
      <c r="G918" s="58"/>
      <c r="H918" s="58"/>
      <c r="I918" s="57">
        <v>600</v>
      </c>
      <c r="J918" s="79">
        <f t="shared" si="32"/>
        <v>468</v>
      </c>
      <c r="K918" s="59"/>
      <c r="L918" s="84">
        <f t="shared" si="33"/>
        <v>0</v>
      </c>
      <c r="M918" s="60" t="s">
        <v>3269</v>
      </c>
      <c r="N918" s="57"/>
      <c r="O918" s="57"/>
      <c r="P918" s="57"/>
      <c r="Q918" s="17" t="s">
        <v>19</v>
      </c>
      <c r="R918" s="70" t="str">
        <f>HYPERLINK("http://search.books.com.tw/search/query/key/9789860567182/cat/all
","
9789860567182")</f>
        <v xml:space="preserve">
9789860567182</v>
      </c>
    </row>
    <row r="919" spans="1:18" hidden="1" x14ac:dyDescent="0.25">
      <c r="A919" s="1">
        <v>915</v>
      </c>
      <c r="B919" s="56" t="s">
        <v>3302</v>
      </c>
      <c r="C919" s="57" t="s">
        <v>3303</v>
      </c>
      <c r="D919" s="57" t="s">
        <v>3294</v>
      </c>
      <c r="E919" s="58" t="s">
        <v>363</v>
      </c>
      <c r="F919" s="58" t="s">
        <v>3304</v>
      </c>
      <c r="G919" s="58"/>
      <c r="H919" s="58"/>
      <c r="I919" s="57">
        <v>600</v>
      </c>
      <c r="J919" s="79">
        <f t="shared" si="32"/>
        <v>468</v>
      </c>
      <c r="K919" s="59"/>
      <c r="L919" s="84">
        <f t="shared" si="33"/>
        <v>0</v>
      </c>
      <c r="M919" s="60" t="s">
        <v>3269</v>
      </c>
      <c r="N919" s="57"/>
      <c r="O919" s="57"/>
      <c r="P919" s="57"/>
      <c r="Q919" s="17" t="s">
        <v>19</v>
      </c>
      <c r="R919" s="70" t="str">
        <f>HYPERLINK("http://search.books.com.tw/search/query/key/9789860567137/cat/all
","
9789860567137")</f>
        <v xml:space="preserve">
9789860567137</v>
      </c>
    </row>
    <row r="920" spans="1:18" hidden="1" x14ac:dyDescent="0.25">
      <c r="A920" s="1">
        <v>916</v>
      </c>
      <c r="B920" s="56" t="s">
        <v>3305</v>
      </c>
      <c r="C920" s="57" t="s">
        <v>3306</v>
      </c>
      <c r="D920" s="57" t="s">
        <v>3294</v>
      </c>
      <c r="E920" s="58" t="s">
        <v>363</v>
      </c>
      <c r="F920" s="58" t="s">
        <v>3307</v>
      </c>
      <c r="G920" s="58"/>
      <c r="H920" s="58"/>
      <c r="I920" s="57">
        <v>600</v>
      </c>
      <c r="J920" s="79">
        <f t="shared" si="32"/>
        <v>468</v>
      </c>
      <c r="K920" s="59"/>
      <c r="L920" s="84">
        <f t="shared" si="33"/>
        <v>0</v>
      </c>
      <c r="M920" s="60" t="s">
        <v>3269</v>
      </c>
      <c r="N920" s="57"/>
      <c r="O920" s="57"/>
      <c r="P920" s="57"/>
      <c r="Q920" s="17" t="s">
        <v>19</v>
      </c>
      <c r="R920" s="70" t="str">
        <f>HYPERLINK("http://search.books.com.tw/search/query/key/9789860567120/cat/all
","
9789860567120")</f>
        <v xml:space="preserve">
9789860567120</v>
      </c>
    </row>
    <row r="921" spans="1:18" hidden="1" x14ac:dyDescent="0.25">
      <c r="A921" s="1">
        <v>917</v>
      </c>
      <c r="B921" s="56" t="s">
        <v>3308</v>
      </c>
      <c r="C921" s="57" t="s">
        <v>3309</v>
      </c>
      <c r="D921" s="57" t="s">
        <v>3294</v>
      </c>
      <c r="E921" s="58" t="s">
        <v>363</v>
      </c>
      <c r="F921" s="58" t="s">
        <v>3310</v>
      </c>
      <c r="G921" s="58"/>
      <c r="H921" s="58"/>
      <c r="I921" s="57">
        <v>600</v>
      </c>
      <c r="J921" s="79">
        <f t="shared" si="32"/>
        <v>468</v>
      </c>
      <c r="K921" s="59"/>
      <c r="L921" s="84">
        <f t="shared" si="33"/>
        <v>0</v>
      </c>
      <c r="M921" s="60" t="s">
        <v>3269</v>
      </c>
      <c r="N921" s="57"/>
      <c r="O921" s="57"/>
      <c r="P921" s="57"/>
      <c r="Q921" s="17" t="s">
        <v>19</v>
      </c>
      <c r="R921" s="70" t="str">
        <f>HYPERLINK("http://search.books.com.tw/search/query/key/9789860567168/cat/all
","
9789860567168")</f>
        <v xml:space="preserve">
9789860567168</v>
      </c>
    </row>
    <row r="922" spans="1:18" hidden="1" x14ac:dyDescent="0.25">
      <c r="A922" s="1">
        <v>918</v>
      </c>
      <c r="B922" s="56" t="s">
        <v>3311</v>
      </c>
      <c r="C922" s="57" t="s">
        <v>3312</v>
      </c>
      <c r="D922" s="57" t="s">
        <v>3294</v>
      </c>
      <c r="E922" s="58" t="s">
        <v>363</v>
      </c>
      <c r="F922" s="58" t="s">
        <v>3313</v>
      </c>
      <c r="G922" s="58"/>
      <c r="H922" s="58"/>
      <c r="I922" s="57">
        <v>600</v>
      </c>
      <c r="J922" s="79">
        <f t="shared" si="32"/>
        <v>468</v>
      </c>
      <c r="K922" s="59"/>
      <c r="L922" s="84">
        <f t="shared" si="33"/>
        <v>0</v>
      </c>
      <c r="M922" s="60" t="s">
        <v>3269</v>
      </c>
      <c r="N922" s="57"/>
      <c r="O922" s="57"/>
      <c r="P922" s="57"/>
      <c r="Q922" s="17" t="s">
        <v>19</v>
      </c>
      <c r="R922" s="70" t="str">
        <f>HYPERLINK("http://search.books.com.tw/search/query/key/9789860567144/cat/all
","
9789860567144")</f>
        <v xml:space="preserve">
9789860567144</v>
      </c>
    </row>
    <row r="923" spans="1:18" hidden="1" x14ac:dyDescent="0.25">
      <c r="A923" s="1">
        <v>919</v>
      </c>
      <c r="B923" s="56" t="s">
        <v>3314</v>
      </c>
      <c r="C923" s="57" t="s">
        <v>3315</v>
      </c>
      <c r="D923" s="57" t="s">
        <v>3294</v>
      </c>
      <c r="E923" s="58" t="s">
        <v>363</v>
      </c>
      <c r="F923" s="58" t="s">
        <v>3316</v>
      </c>
      <c r="G923" s="58"/>
      <c r="H923" s="58"/>
      <c r="I923" s="57">
        <v>600</v>
      </c>
      <c r="J923" s="79">
        <f t="shared" si="32"/>
        <v>468</v>
      </c>
      <c r="K923" s="59"/>
      <c r="L923" s="84">
        <f t="shared" si="33"/>
        <v>0</v>
      </c>
      <c r="M923" s="60" t="s">
        <v>3269</v>
      </c>
      <c r="N923" s="57"/>
      <c r="O923" s="57"/>
      <c r="P923" s="57"/>
      <c r="Q923" s="17" t="s">
        <v>19</v>
      </c>
      <c r="R923" s="70" t="str">
        <f>HYPERLINK("http://search.books.com.tw/search/query/key/9789860567205/cat/all
","
9789860567205")</f>
        <v xml:space="preserve">
9789860567205</v>
      </c>
    </row>
    <row r="924" spans="1:18" hidden="1" x14ac:dyDescent="0.25">
      <c r="A924" s="1">
        <v>920</v>
      </c>
      <c r="B924" s="56" t="s">
        <v>3317</v>
      </c>
      <c r="C924" s="57" t="s">
        <v>3318</v>
      </c>
      <c r="D924" s="57" t="s">
        <v>3294</v>
      </c>
      <c r="E924" s="58" t="s">
        <v>363</v>
      </c>
      <c r="F924" s="58" t="s">
        <v>3319</v>
      </c>
      <c r="G924" s="58"/>
      <c r="H924" s="58"/>
      <c r="I924" s="57">
        <v>380</v>
      </c>
      <c r="J924" s="79">
        <f t="shared" si="32"/>
        <v>296.39999999999998</v>
      </c>
      <c r="K924" s="59"/>
      <c r="L924" s="84">
        <f t="shared" si="33"/>
        <v>0</v>
      </c>
      <c r="M924" s="60" t="s">
        <v>3269</v>
      </c>
      <c r="N924" s="57"/>
      <c r="O924" s="57"/>
      <c r="P924" s="57"/>
      <c r="Q924" s="17" t="s">
        <v>19</v>
      </c>
      <c r="R924" s="70" t="str">
        <f>HYPERLINK("http://search.books.com.tw/search/query/key/9789862822197/cat/all
","
9789862822197")</f>
        <v xml:space="preserve">
9789862822197</v>
      </c>
    </row>
    <row r="925" spans="1:18" ht="33" hidden="1" x14ac:dyDescent="0.25">
      <c r="A925" s="1">
        <v>921</v>
      </c>
      <c r="B925" s="56" t="s">
        <v>3320</v>
      </c>
      <c r="C925" s="57" t="s">
        <v>3321</v>
      </c>
      <c r="D925" s="57" t="s">
        <v>3294</v>
      </c>
      <c r="E925" s="58" t="s">
        <v>363</v>
      </c>
      <c r="F925" s="58" t="s">
        <v>3322</v>
      </c>
      <c r="G925" s="58"/>
      <c r="H925" s="58"/>
      <c r="I925" s="57">
        <v>550</v>
      </c>
      <c r="J925" s="79">
        <f t="shared" si="32"/>
        <v>429</v>
      </c>
      <c r="K925" s="59"/>
      <c r="L925" s="84">
        <f t="shared" si="33"/>
        <v>0</v>
      </c>
      <c r="M925" s="60" t="s">
        <v>3276</v>
      </c>
      <c r="N925" s="57"/>
      <c r="O925" s="57"/>
      <c r="P925" s="57"/>
      <c r="Q925" s="17" t="s">
        <v>19</v>
      </c>
      <c r="R925" s="70" t="str">
        <f>HYPERLINK("http://search.books.com.tw/search/query/key/9789862822258/cat/all
","
9789862822258")</f>
        <v xml:space="preserve">
9789862822258</v>
      </c>
    </row>
    <row r="926" spans="1:18" hidden="1" x14ac:dyDescent="0.25">
      <c r="A926" s="1">
        <v>922</v>
      </c>
      <c r="B926" s="56" t="s">
        <v>3323</v>
      </c>
      <c r="C926" s="57" t="s">
        <v>3324</v>
      </c>
      <c r="D926" s="57" t="s">
        <v>3294</v>
      </c>
      <c r="E926" s="58" t="s">
        <v>363</v>
      </c>
      <c r="F926" s="58" t="s">
        <v>3325</v>
      </c>
      <c r="G926" s="58"/>
      <c r="H926" s="58"/>
      <c r="I926" s="57">
        <v>600</v>
      </c>
      <c r="J926" s="79">
        <f t="shared" si="32"/>
        <v>468</v>
      </c>
      <c r="K926" s="59"/>
      <c r="L926" s="84">
        <f t="shared" si="33"/>
        <v>0</v>
      </c>
      <c r="M926" s="60" t="s">
        <v>3269</v>
      </c>
      <c r="N926" s="57"/>
      <c r="O926" s="57"/>
      <c r="P926" s="57"/>
      <c r="Q926" s="17" t="s">
        <v>19</v>
      </c>
      <c r="R926" s="70" t="str">
        <f>HYPERLINK("http://search.books.com.tw/search/query/key/9789860567113/cat/all
","
9789860567113")</f>
        <v xml:space="preserve">
9789860567113</v>
      </c>
    </row>
    <row r="927" spans="1:18" hidden="1" x14ac:dyDescent="0.25">
      <c r="A927" s="1">
        <v>923</v>
      </c>
      <c r="B927" s="56" t="s">
        <v>3326</v>
      </c>
      <c r="C927" s="57" t="s">
        <v>3327</v>
      </c>
      <c r="D927" s="57" t="s">
        <v>3294</v>
      </c>
      <c r="E927" s="58" t="s">
        <v>363</v>
      </c>
      <c r="F927" s="58" t="s">
        <v>3328</v>
      </c>
      <c r="G927" s="58"/>
      <c r="H927" s="58"/>
      <c r="I927" s="57">
        <v>600</v>
      </c>
      <c r="J927" s="79">
        <f t="shared" si="32"/>
        <v>468</v>
      </c>
      <c r="K927" s="59"/>
      <c r="L927" s="84">
        <f t="shared" si="33"/>
        <v>0</v>
      </c>
      <c r="M927" s="60" t="s">
        <v>3269</v>
      </c>
      <c r="N927" s="57"/>
      <c r="O927" s="57"/>
      <c r="P927" s="57"/>
      <c r="Q927" s="17" t="s">
        <v>19</v>
      </c>
      <c r="R927" s="70" t="str">
        <f>HYPERLINK("http://search.books.com.tw/search/query/key/9789860567199/cat/all
","
9789860567199")</f>
        <v xml:space="preserve">
9789860567199</v>
      </c>
    </row>
    <row r="928" spans="1:18" ht="82.5" hidden="1" x14ac:dyDescent="0.25">
      <c r="A928" s="1">
        <v>924</v>
      </c>
      <c r="B928" s="62" t="s">
        <v>3329</v>
      </c>
      <c r="C928" s="57" t="s">
        <v>3330</v>
      </c>
      <c r="D928" s="57" t="s">
        <v>569</v>
      </c>
      <c r="E928" s="58" t="s">
        <v>363</v>
      </c>
      <c r="F928" s="58" t="s">
        <v>3331</v>
      </c>
      <c r="G928" s="58"/>
      <c r="H928" s="58"/>
      <c r="I928" s="57">
        <v>320</v>
      </c>
      <c r="J928" s="79">
        <f t="shared" si="32"/>
        <v>249.6</v>
      </c>
      <c r="K928" s="59"/>
      <c r="L928" s="84">
        <f t="shared" si="33"/>
        <v>0</v>
      </c>
      <c r="M928" s="60" t="s">
        <v>3269</v>
      </c>
      <c r="N928" s="56" t="s">
        <v>3332</v>
      </c>
      <c r="O928" s="57"/>
      <c r="P928" s="57"/>
      <c r="Q928" s="17" t="s">
        <v>19</v>
      </c>
      <c r="R928" s="70" t="str">
        <f>HYPERLINK("http://search.books.com.tw/search/query/key/9789864758500/cat/all
","
9789864758500")</f>
        <v xml:space="preserve">
9789864758500</v>
      </c>
    </row>
    <row r="929" spans="1:18" hidden="1" x14ac:dyDescent="0.25">
      <c r="A929" s="1">
        <v>925</v>
      </c>
      <c r="B929" s="56" t="s">
        <v>3333</v>
      </c>
      <c r="C929" s="57" t="s">
        <v>3334</v>
      </c>
      <c r="D929" s="57" t="s">
        <v>3335</v>
      </c>
      <c r="E929" s="58" t="s">
        <v>368</v>
      </c>
      <c r="F929" s="58" t="s">
        <v>3336</v>
      </c>
      <c r="G929" s="58"/>
      <c r="H929" s="58"/>
      <c r="I929" s="57">
        <v>800</v>
      </c>
      <c r="J929" s="79">
        <f t="shared" si="32"/>
        <v>624</v>
      </c>
      <c r="K929" s="59"/>
      <c r="L929" s="84">
        <f t="shared" si="33"/>
        <v>0</v>
      </c>
      <c r="M929" s="60" t="s">
        <v>3276</v>
      </c>
      <c r="N929" s="57"/>
      <c r="O929" s="57"/>
      <c r="P929" s="57"/>
      <c r="Q929" s="17" t="s">
        <v>19</v>
      </c>
      <c r="R929" s="70" t="str">
        <f>HYPERLINK("http://search.books.com.tw/search/query/key/9789869670203/cat/all
","
9789869670203")</f>
        <v xml:space="preserve">
9789869670203</v>
      </c>
    </row>
    <row r="930" spans="1:18" ht="33" hidden="1" x14ac:dyDescent="0.25">
      <c r="A930" s="1">
        <v>926</v>
      </c>
      <c r="B930" s="56" t="s">
        <v>3337</v>
      </c>
      <c r="C930" s="57" t="s">
        <v>3338</v>
      </c>
      <c r="D930" s="57" t="s">
        <v>1505</v>
      </c>
      <c r="E930" s="58" t="s">
        <v>368</v>
      </c>
      <c r="F930" s="58" t="s">
        <v>3339</v>
      </c>
      <c r="G930" s="58"/>
      <c r="H930" s="58"/>
      <c r="I930" s="57">
        <v>480</v>
      </c>
      <c r="J930" s="79">
        <f t="shared" si="32"/>
        <v>374.4</v>
      </c>
      <c r="K930" s="59"/>
      <c r="L930" s="84">
        <f t="shared" si="33"/>
        <v>0</v>
      </c>
      <c r="M930" s="60" t="s">
        <v>3276</v>
      </c>
      <c r="N930" s="57"/>
      <c r="O930" s="57"/>
      <c r="P930" s="57"/>
      <c r="Q930" s="17" t="s">
        <v>19</v>
      </c>
      <c r="R930" s="70" t="str">
        <f>HYPERLINK("http://search.books.com.tw/search/query/key/9789571082813/cat/all
","
9789571082813")</f>
        <v xml:space="preserve">
9789571082813</v>
      </c>
    </row>
    <row r="931" spans="1:18" hidden="1" x14ac:dyDescent="0.25">
      <c r="A931" s="1">
        <v>927</v>
      </c>
      <c r="B931" s="56" t="s">
        <v>3340</v>
      </c>
      <c r="C931" s="57" t="s">
        <v>3341</v>
      </c>
      <c r="D931" s="57" t="s">
        <v>3342</v>
      </c>
      <c r="E931" s="58" t="s">
        <v>363</v>
      </c>
      <c r="F931" s="58" t="s">
        <v>3343</v>
      </c>
      <c r="G931" s="58"/>
      <c r="H931" s="58"/>
      <c r="I931" s="57">
        <v>400</v>
      </c>
      <c r="J931" s="79">
        <f t="shared" si="32"/>
        <v>312</v>
      </c>
      <c r="K931" s="59"/>
      <c r="L931" s="84">
        <f t="shared" si="33"/>
        <v>0</v>
      </c>
      <c r="M931" s="60" t="s">
        <v>3276</v>
      </c>
      <c r="N931" s="57"/>
      <c r="O931" s="57"/>
      <c r="P931" s="57"/>
      <c r="Q931" s="17" t="s">
        <v>19</v>
      </c>
      <c r="R931" s="70" t="str">
        <f>HYPERLINK("http://search.books.com.tw/search/query/key/9789869610766/cat/all
","
9789869610766")</f>
        <v xml:space="preserve">
9789869610766</v>
      </c>
    </row>
    <row r="932" spans="1:18" hidden="1" x14ac:dyDescent="0.25">
      <c r="A932" s="1">
        <v>928</v>
      </c>
      <c r="B932" s="56" t="s">
        <v>3344</v>
      </c>
      <c r="C932" s="57" t="s">
        <v>3345</v>
      </c>
      <c r="D932" s="57" t="s">
        <v>1626</v>
      </c>
      <c r="E932" s="58" t="s">
        <v>363</v>
      </c>
      <c r="F932" s="58" t="s">
        <v>3346</v>
      </c>
      <c r="G932" s="58"/>
      <c r="H932" s="58"/>
      <c r="I932" s="57">
        <v>450</v>
      </c>
      <c r="J932" s="79">
        <f t="shared" si="32"/>
        <v>351</v>
      </c>
      <c r="K932" s="59"/>
      <c r="L932" s="84">
        <f t="shared" si="33"/>
        <v>0</v>
      </c>
      <c r="M932" s="60" t="s">
        <v>3269</v>
      </c>
      <c r="N932" s="57"/>
      <c r="O932" s="57"/>
      <c r="P932" s="57"/>
      <c r="Q932" s="17" t="s">
        <v>19</v>
      </c>
      <c r="R932" s="70" t="str">
        <f>HYPERLINK("http://search.books.com.tw/search/query/key/9789867101839/cat/all
","
9789867101839")</f>
        <v xml:space="preserve">
9789867101839</v>
      </c>
    </row>
    <row r="933" spans="1:18" ht="49.5" hidden="1" x14ac:dyDescent="0.25">
      <c r="A933" s="1">
        <v>929</v>
      </c>
      <c r="B933" s="56" t="s">
        <v>3347</v>
      </c>
      <c r="C933" s="57" t="s">
        <v>3348</v>
      </c>
      <c r="D933" s="57" t="s">
        <v>3349</v>
      </c>
      <c r="E933" s="58" t="s">
        <v>368</v>
      </c>
      <c r="F933" s="58" t="s">
        <v>3350</v>
      </c>
      <c r="G933" s="58"/>
      <c r="H933" s="58"/>
      <c r="I933" s="57">
        <v>360</v>
      </c>
      <c r="J933" s="79">
        <f t="shared" si="32"/>
        <v>280.8</v>
      </c>
      <c r="K933" s="59"/>
      <c r="L933" s="84">
        <f t="shared" si="33"/>
        <v>0</v>
      </c>
      <c r="M933" s="60" t="s">
        <v>3276</v>
      </c>
      <c r="N933" s="57"/>
      <c r="O933" s="57"/>
      <c r="P933" s="57"/>
      <c r="Q933" s="17" t="s">
        <v>19</v>
      </c>
      <c r="R933" s="70" t="str">
        <f>HYPERLINK("http://search.books.com.tw/search/query/key/9789869682954/cat/all
","
9789869682954")</f>
        <v xml:space="preserve">
9789869682954</v>
      </c>
    </row>
    <row r="934" spans="1:18" hidden="1" x14ac:dyDescent="0.25">
      <c r="A934" s="1">
        <v>930</v>
      </c>
      <c r="B934" s="56" t="s">
        <v>3351</v>
      </c>
      <c r="C934" s="57" t="s">
        <v>3352</v>
      </c>
      <c r="D934" s="57" t="s">
        <v>1941</v>
      </c>
      <c r="E934" s="58" t="s">
        <v>368</v>
      </c>
      <c r="F934" s="58" t="s">
        <v>3353</v>
      </c>
      <c r="G934" s="58"/>
      <c r="H934" s="58"/>
      <c r="I934" s="57">
        <v>420</v>
      </c>
      <c r="J934" s="79">
        <f t="shared" si="32"/>
        <v>327.60000000000002</v>
      </c>
      <c r="K934" s="59"/>
      <c r="L934" s="84">
        <f t="shared" si="33"/>
        <v>0</v>
      </c>
      <c r="M934" s="60" t="s">
        <v>3276</v>
      </c>
      <c r="N934" s="57"/>
      <c r="O934" s="57"/>
      <c r="P934" s="57"/>
      <c r="Q934" s="17" t="s">
        <v>19</v>
      </c>
      <c r="R934" s="70" t="str">
        <f>HYPERLINK("http://search.books.com.tw/search/query/key/9789863774273/cat/all
","
9789863774273")</f>
        <v xml:space="preserve">
9789863774273</v>
      </c>
    </row>
    <row r="935" spans="1:18" hidden="1" x14ac:dyDescent="0.25">
      <c r="A935" s="1">
        <v>931</v>
      </c>
      <c r="B935" s="56" t="s">
        <v>3354</v>
      </c>
      <c r="C935" s="57" t="s">
        <v>3355</v>
      </c>
      <c r="D935" s="57" t="s">
        <v>1941</v>
      </c>
      <c r="E935" s="58" t="s">
        <v>363</v>
      </c>
      <c r="F935" s="58" t="s">
        <v>3356</v>
      </c>
      <c r="G935" s="58"/>
      <c r="H935" s="58"/>
      <c r="I935" s="57">
        <v>280</v>
      </c>
      <c r="J935" s="79">
        <f t="shared" si="32"/>
        <v>218.4</v>
      </c>
      <c r="K935" s="59"/>
      <c r="L935" s="84">
        <f t="shared" si="33"/>
        <v>0</v>
      </c>
      <c r="M935" s="60" t="s">
        <v>3269</v>
      </c>
      <c r="N935" s="57"/>
      <c r="O935" s="57"/>
      <c r="P935" s="57"/>
      <c r="Q935" s="17" t="s">
        <v>19</v>
      </c>
      <c r="R935" s="70" t="str">
        <f>HYPERLINK("http://search.books.com.tw/search/query/key/9789863774235/cat/all
","
9789863774235")</f>
        <v xml:space="preserve">
9789863774235</v>
      </c>
    </row>
    <row r="936" spans="1:18" ht="33" hidden="1" x14ac:dyDescent="0.25">
      <c r="A936" s="1">
        <v>932</v>
      </c>
      <c r="B936" s="56" t="s">
        <v>3357</v>
      </c>
      <c r="C936" s="57" t="s">
        <v>3358</v>
      </c>
      <c r="D936" s="57" t="s">
        <v>1941</v>
      </c>
      <c r="E936" s="58" t="s">
        <v>363</v>
      </c>
      <c r="F936" s="58" t="s">
        <v>3359</v>
      </c>
      <c r="G936" s="58"/>
      <c r="H936" s="58"/>
      <c r="I936" s="57">
        <v>350</v>
      </c>
      <c r="J936" s="79">
        <f t="shared" si="32"/>
        <v>273</v>
      </c>
      <c r="K936" s="59"/>
      <c r="L936" s="84">
        <f t="shared" si="33"/>
        <v>0</v>
      </c>
      <c r="M936" s="60" t="s">
        <v>3269</v>
      </c>
      <c r="N936" s="57"/>
      <c r="O936" s="57"/>
      <c r="P936" s="57"/>
      <c r="Q936" s="17" t="s">
        <v>19</v>
      </c>
      <c r="R936" s="70" t="str">
        <f>HYPERLINK("http://search.books.com.tw/search/query/key/9789863774297/cat/all
","
9789863774297")</f>
        <v xml:space="preserve">
9789863774297</v>
      </c>
    </row>
    <row r="937" spans="1:18" hidden="1" x14ac:dyDescent="0.25">
      <c r="A937" s="1">
        <v>933</v>
      </c>
      <c r="B937" s="56" t="s">
        <v>3360</v>
      </c>
      <c r="C937" s="57" t="s">
        <v>3361</v>
      </c>
      <c r="D937" s="57" t="s">
        <v>1941</v>
      </c>
      <c r="E937" s="58" t="s">
        <v>363</v>
      </c>
      <c r="F937" s="58" t="s">
        <v>3362</v>
      </c>
      <c r="G937" s="58"/>
      <c r="H937" s="58"/>
      <c r="I937" s="57">
        <v>350</v>
      </c>
      <c r="J937" s="79">
        <f t="shared" si="32"/>
        <v>273</v>
      </c>
      <c r="K937" s="59"/>
      <c r="L937" s="84">
        <f t="shared" si="33"/>
        <v>0</v>
      </c>
      <c r="M937" s="60" t="s">
        <v>3269</v>
      </c>
      <c r="N937" s="57"/>
      <c r="O937" s="57"/>
      <c r="P937" s="57"/>
      <c r="Q937" s="17" t="s">
        <v>19</v>
      </c>
      <c r="R937" s="70" t="str">
        <f>HYPERLINK("http://search.books.com.tw/search/query/key/9789863774310/cat/all
","
9789863774310")</f>
        <v xml:space="preserve">
9789863774310</v>
      </c>
    </row>
    <row r="938" spans="1:18" ht="33" hidden="1" x14ac:dyDescent="0.25">
      <c r="A938" s="1">
        <v>934</v>
      </c>
      <c r="B938" s="56" t="s">
        <v>3363</v>
      </c>
      <c r="C938" s="57" t="s">
        <v>3364</v>
      </c>
      <c r="D938" s="57" t="s">
        <v>1941</v>
      </c>
      <c r="E938" s="58" t="s">
        <v>363</v>
      </c>
      <c r="F938" s="58" t="s">
        <v>3365</v>
      </c>
      <c r="G938" s="58"/>
      <c r="H938" s="58"/>
      <c r="I938" s="57">
        <v>350</v>
      </c>
      <c r="J938" s="79">
        <f t="shared" si="32"/>
        <v>273</v>
      </c>
      <c r="K938" s="59"/>
      <c r="L938" s="84">
        <f t="shared" si="33"/>
        <v>0</v>
      </c>
      <c r="M938" s="60" t="s">
        <v>3269</v>
      </c>
      <c r="N938" s="57"/>
      <c r="O938" s="57"/>
      <c r="P938" s="57"/>
      <c r="Q938" s="17" t="s">
        <v>19</v>
      </c>
      <c r="R938" s="70" t="str">
        <f>HYPERLINK("http://search.books.com.tw/search/query/key/9789863774228/cat/all
","
9789863774228")</f>
        <v xml:space="preserve">
9789863774228</v>
      </c>
    </row>
    <row r="939" spans="1:18" ht="33" hidden="1" x14ac:dyDescent="0.25">
      <c r="A939" s="1">
        <v>935</v>
      </c>
      <c r="B939" s="56" t="s">
        <v>3366</v>
      </c>
      <c r="C939" s="57" t="s">
        <v>3367</v>
      </c>
      <c r="D939" s="57" t="s">
        <v>1941</v>
      </c>
      <c r="E939" s="58" t="s">
        <v>363</v>
      </c>
      <c r="F939" s="58" t="s">
        <v>3368</v>
      </c>
      <c r="G939" s="58"/>
      <c r="H939" s="58"/>
      <c r="I939" s="57">
        <v>350</v>
      </c>
      <c r="J939" s="79">
        <f t="shared" si="32"/>
        <v>273</v>
      </c>
      <c r="K939" s="59"/>
      <c r="L939" s="84">
        <f t="shared" si="33"/>
        <v>0</v>
      </c>
      <c r="M939" s="60" t="s">
        <v>3269</v>
      </c>
      <c r="N939" s="57"/>
      <c r="O939" s="57"/>
      <c r="P939" s="57"/>
      <c r="Q939" s="17" t="s">
        <v>19</v>
      </c>
      <c r="R939" s="70" t="str">
        <f>HYPERLINK("http://search.books.com.tw/search/query/key/9789863774280/cat/all
","
9789863774280")</f>
        <v xml:space="preserve">
9789863774280</v>
      </c>
    </row>
    <row r="940" spans="1:18" ht="33" hidden="1" x14ac:dyDescent="0.25">
      <c r="A940" s="1">
        <v>936</v>
      </c>
      <c r="B940" s="56" t="s">
        <v>3369</v>
      </c>
      <c r="C940" s="57" t="s">
        <v>3370</v>
      </c>
      <c r="D940" s="57" t="s">
        <v>1941</v>
      </c>
      <c r="E940" s="58" t="s">
        <v>363</v>
      </c>
      <c r="F940" s="58" t="s">
        <v>3371</v>
      </c>
      <c r="G940" s="58"/>
      <c r="H940" s="58"/>
      <c r="I940" s="57">
        <v>320</v>
      </c>
      <c r="J940" s="79">
        <f t="shared" si="32"/>
        <v>249.6</v>
      </c>
      <c r="K940" s="59"/>
      <c r="L940" s="84">
        <f t="shared" si="33"/>
        <v>0</v>
      </c>
      <c r="M940" s="60" t="s">
        <v>3269</v>
      </c>
      <c r="N940" s="57"/>
      <c r="O940" s="57"/>
      <c r="P940" s="57"/>
      <c r="Q940" s="17" t="s">
        <v>19</v>
      </c>
      <c r="R940" s="70" t="str">
        <f>HYPERLINK("http://search.books.com.tw/search/query/key/9789863774266/cat/all
","
9789863774266")</f>
        <v xml:space="preserve">
9789863774266</v>
      </c>
    </row>
    <row r="941" spans="1:18" ht="49.5" hidden="1" x14ac:dyDescent="0.25">
      <c r="A941" s="1">
        <v>937</v>
      </c>
      <c r="B941" s="56" t="s">
        <v>3372</v>
      </c>
      <c r="C941" s="57" t="s">
        <v>3373</v>
      </c>
      <c r="D941" s="57" t="s">
        <v>986</v>
      </c>
      <c r="E941" s="58" t="s">
        <v>363</v>
      </c>
      <c r="F941" s="58" t="s">
        <v>3374</v>
      </c>
      <c r="G941" s="58"/>
      <c r="H941" s="58"/>
      <c r="I941" s="57">
        <v>550</v>
      </c>
      <c r="J941" s="79">
        <f t="shared" si="32"/>
        <v>429</v>
      </c>
      <c r="K941" s="59"/>
      <c r="L941" s="84">
        <f t="shared" si="33"/>
        <v>0</v>
      </c>
      <c r="M941" s="60" t="s">
        <v>3269</v>
      </c>
      <c r="N941" s="56" t="s">
        <v>3375</v>
      </c>
      <c r="O941" s="57"/>
      <c r="P941" s="57"/>
      <c r="Q941" s="17" t="s">
        <v>19</v>
      </c>
      <c r="R941" s="70" t="str">
        <f>HYPERLINK("http://search.books.com.tw/search/query/key/9789869691505/cat/all
","
9789869691505")</f>
        <v xml:space="preserve">
9789869691505</v>
      </c>
    </row>
    <row r="942" spans="1:18" ht="33" hidden="1" x14ac:dyDescent="0.25">
      <c r="A942" s="1">
        <v>938</v>
      </c>
      <c r="B942" s="56" t="s">
        <v>3376</v>
      </c>
      <c r="C942" s="57" t="s">
        <v>3377</v>
      </c>
      <c r="D942" s="57" t="s">
        <v>427</v>
      </c>
      <c r="E942" s="58" t="s">
        <v>363</v>
      </c>
      <c r="F942" s="58" t="s">
        <v>3378</v>
      </c>
      <c r="G942" s="58"/>
      <c r="H942" s="58"/>
      <c r="I942" s="57">
        <v>360</v>
      </c>
      <c r="J942" s="79">
        <f t="shared" si="32"/>
        <v>280.8</v>
      </c>
      <c r="K942" s="59"/>
      <c r="L942" s="84">
        <f t="shared" si="33"/>
        <v>0</v>
      </c>
      <c r="M942" s="60" t="s">
        <v>3276</v>
      </c>
      <c r="N942" s="57"/>
      <c r="O942" s="57"/>
      <c r="P942" s="57"/>
      <c r="Q942" s="17" t="s">
        <v>19</v>
      </c>
      <c r="R942" s="70" t="str">
        <f>HYPERLINK("http://search.books.com.tw/search/query/key/9789571375632/cat/all
","
9789571375632")</f>
        <v xml:space="preserve">
9789571375632</v>
      </c>
    </row>
    <row r="943" spans="1:18" ht="33" hidden="1" x14ac:dyDescent="0.25">
      <c r="A943" s="1">
        <v>939</v>
      </c>
      <c r="B943" s="56" t="s">
        <v>3379</v>
      </c>
      <c r="C943" s="57" t="s">
        <v>3377</v>
      </c>
      <c r="D943" s="57" t="s">
        <v>427</v>
      </c>
      <c r="E943" s="58" t="s">
        <v>363</v>
      </c>
      <c r="F943" s="58" t="s">
        <v>3380</v>
      </c>
      <c r="G943" s="58"/>
      <c r="H943" s="58"/>
      <c r="I943" s="57">
        <v>360</v>
      </c>
      <c r="J943" s="79">
        <f t="shared" si="32"/>
        <v>280.8</v>
      </c>
      <c r="K943" s="59"/>
      <c r="L943" s="84">
        <f t="shared" si="33"/>
        <v>0</v>
      </c>
      <c r="M943" s="60" t="s">
        <v>3276</v>
      </c>
      <c r="N943" s="57"/>
      <c r="O943" s="57"/>
      <c r="P943" s="57"/>
      <c r="Q943" s="17" t="s">
        <v>19</v>
      </c>
      <c r="R943" s="70" t="str">
        <f>HYPERLINK("http://search.books.com.tw/search/query/key/9789571375656/cat/all
","
9789571375656")</f>
        <v xml:space="preserve">
9789571375656</v>
      </c>
    </row>
    <row r="944" spans="1:18" ht="33" hidden="1" x14ac:dyDescent="0.25">
      <c r="A944" s="1">
        <v>940</v>
      </c>
      <c r="B944" s="56" t="s">
        <v>3381</v>
      </c>
      <c r="C944" s="57" t="s">
        <v>3377</v>
      </c>
      <c r="D944" s="57" t="s">
        <v>427</v>
      </c>
      <c r="E944" s="58" t="s">
        <v>363</v>
      </c>
      <c r="F944" s="58" t="s">
        <v>3382</v>
      </c>
      <c r="G944" s="58"/>
      <c r="H944" s="58"/>
      <c r="I944" s="57">
        <v>400</v>
      </c>
      <c r="J944" s="79">
        <f t="shared" si="32"/>
        <v>312</v>
      </c>
      <c r="K944" s="59"/>
      <c r="L944" s="84">
        <f t="shared" si="33"/>
        <v>0</v>
      </c>
      <c r="M944" s="60" t="s">
        <v>3276</v>
      </c>
      <c r="N944" s="57"/>
      <c r="O944" s="57"/>
      <c r="P944" s="57"/>
      <c r="Q944" s="17" t="s">
        <v>19</v>
      </c>
      <c r="R944" s="70" t="str">
        <f>HYPERLINK("http://search.books.com.tw/search/query/key/9789571375649/cat/all
","
9789571375649")</f>
        <v xml:space="preserve">
9789571375649</v>
      </c>
    </row>
    <row r="945" spans="1:18" ht="33" hidden="1" x14ac:dyDescent="0.25">
      <c r="A945" s="1">
        <v>941</v>
      </c>
      <c r="B945" s="56" t="s">
        <v>3383</v>
      </c>
      <c r="C945" s="57" t="s">
        <v>3384</v>
      </c>
      <c r="D945" s="57" t="s">
        <v>427</v>
      </c>
      <c r="E945" s="58" t="s">
        <v>363</v>
      </c>
      <c r="F945" s="58" t="s">
        <v>3385</v>
      </c>
      <c r="G945" s="58"/>
      <c r="H945" s="58"/>
      <c r="I945" s="57">
        <v>450</v>
      </c>
      <c r="J945" s="79">
        <f t="shared" si="32"/>
        <v>351</v>
      </c>
      <c r="K945" s="59"/>
      <c r="L945" s="84">
        <f t="shared" si="33"/>
        <v>0</v>
      </c>
      <c r="M945" s="60" t="s">
        <v>3269</v>
      </c>
      <c r="N945" s="57"/>
      <c r="O945" s="57"/>
      <c r="P945" s="57"/>
      <c r="Q945" s="17" t="s">
        <v>19</v>
      </c>
      <c r="R945" s="70" t="str">
        <f>HYPERLINK("http://search.books.com.tw/search/query/key/9789571375595/cat/all
","
9789571375595")</f>
        <v xml:space="preserve">
9789571375595</v>
      </c>
    </row>
    <row r="946" spans="1:18" hidden="1" x14ac:dyDescent="0.25">
      <c r="A946" s="1">
        <v>942</v>
      </c>
      <c r="B946" s="56" t="s">
        <v>3386</v>
      </c>
      <c r="C946" s="57" t="s">
        <v>3387</v>
      </c>
      <c r="D946" s="57" t="s">
        <v>427</v>
      </c>
      <c r="E946" s="58" t="s">
        <v>363</v>
      </c>
      <c r="F946" s="58" t="s">
        <v>3388</v>
      </c>
      <c r="G946" s="58"/>
      <c r="H946" s="58"/>
      <c r="I946" s="57">
        <v>360</v>
      </c>
      <c r="J946" s="79">
        <f t="shared" si="32"/>
        <v>280.8</v>
      </c>
      <c r="K946" s="59"/>
      <c r="L946" s="84">
        <f t="shared" si="33"/>
        <v>0</v>
      </c>
      <c r="M946" s="60" t="s">
        <v>3269</v>
      </c>
      <c r="N946" s="57"/>
      <c r="O946" s="57"/>
      <c r="P946" s="57"/>
      <c r="Q946" s="17" t="s">
        <v>19</v>
      </c>
      <c r="R946" s="70" t="str">
        <f>HYPERLINK("http://search.books.com.tw/search/query/key/9789571376042/cat/all
","
9789571376042")</f>
        <v xml:space="preserve">
9789571376042</v>
      </c>
    </row>
    <row r="947" spans="1:18" ht="66" hidden="1" x14ac:dyDescent="0.25">
      <c r="A947" s="1">
        <v>943</v>
      </c>
      <c r="B947" s="56" t="s">
        <v>3389</v>
      </c>
      <c r="C947" s="57" t="s">
        <v>3390</v>
      </c>
      <c r="D947" s="57" t="s">
        <v>1252</v>
      </c>
      <c r="E947" s="58" t="s">
        <v>363</v>
      </c>
      <c r="F947" s="58" t="s">
        <v>3391</v>
      </c>
      <c r="G947" s="58"/>
      <c r="H947" s="58"/>
      <c r="I947" s="57">
        <v>499</v>
      </c>
      <c r="J947" s="79">
        <f t="shared" si="32"/>
        <v>389.22</v>
      </c>
      <c r="K947" s="59"/>
      <c r="L947" s="84">
        <f t="shared" si="33"/>
        <v>0</v>
      </c>
      <c r="M947" s="60" t="s">
        <v>3276</v>
      </c>
      <c r="N947" s="57"/>
      <c r="O947" s="57"/>
      <c r="P947" s="57"/>
      <c r="Q947" s="17" t="s">
        <v>19</v>
      </c>
      <c r="R947" s="70" t="str">
        <f>HYPERLINK("http://search.books.com.tw/search/query/key/9789864084418/cat/all
","
9789864084418")</f>
        <v xml:space="preserve">
9789864084418</v>
      </c>
    </row>
    <row r="948" spans="1:18" hidden="1" x14ac:dyDescent="0.25">
      <c r="A948" s="1">
        <v>944</v>
      </c>
      <c r="B948" s="56" t="s">
        <v>3392</v>
      </c>
      <c r="C948" s="57" t="s">
        <v>3393</v>
      </c>
      <c r="D948" s="57" t="s">
        <v>1252</v>
      </c>
      <c r="E948" s="58" t="s">
        <v>363</v>
      </c>
      <c r="F948" s="58" t="s">
        <v>3394</v>
      </c>
      <c r="G948" s="58"/>
      <c r="H948" s="58"/>
      <c r="I948" s="57">
        <v>380</v>
      </c>
      <c r="J948" s="79">
        <f t="shared" si="32"/>
        <v>296.39999999999998</v>
      </c>
      <c r="K948" s="59"/>
      <c r="L948" s="84">
        <f t="shared" si="33"/>
        <v>0</v>
      </c>
      <c r="M948" s="60" t="s">
        <v>3269</v>
      </c>
      <c r="N948" s="57"/>
      <c r="O948" s="57"/>
      <c r="P948" s="57"/>
      <c r="Q948" s="17" t="s">
        <v>19</v>
      </c>
      <c r="R948" s="70" t="str">
        <f>HYPERLINK("http://search.books.com.tw/search/query/key/9789864084265/cat/all
","
9789864084265")</f>
        <v xml:space="preserve">
9789864084265</v>
      </c>
    </row>
    <row r="949" spans="1:18" ht="49.5" hidden="1" x14ac:dyDescent="0.25">
      <c r="A949" s="1">
        <v>945</v>
      </c>
      <c r="B949" s="56" t="s">
        <v>3395</v>
      </c>
      <c r="C949" s="57" t="s">
        <v>3396</v>
      </c>
      <c r="D949" s="57" t="s">
        <v>1957</v>
      </c>
      <c r="E949" s="58" t="s">
        <v>368</v>
      </c>
      <c r="F949" s="58" t="s">
        <v>3397</v>
      </c>
      <c r="G949" s="58"/>
      <c r="H949" s="58"/>
      <c r="I949" s="57">
        <v>599</v>
      </c>
      <c r="J949" s="79">
        <f t="shared" si="32"/>
        <v>467.22</v>
      </c>
      <c r="K949" s="59"/>
      <c r="L949" s="84">
        <f t="shared" si="33"/>
        <v>0</v>
      </c>
      <c r="M949" s="60" t="s">
        <v>3276</v>
      </c>
      <c r="N949" s="57" t="s">
        <v>3398</v>
      </c>
      <c r="O949" s="57"/>
      <c r="P949" s="57"/>
      <c r="Q949" s="17" t="s">
        <v>19</v>
      </c>
      <c r="R949" s="70" t="str">
        <f>HYPERLINK("http://search.books.com.tw/search/query/key/9789864591565/cat/all
","
9789864591565")</f>
        <v xml:space="preserve">
9789864591565</v>
      </c>
    </row>
    <row r="950" spans="1:18" ht="49.5" hidden="1" x14ac:dyDescent="0.25">
      <c r="A950" s="1">
        <v>946</v>
      </c>
      <c r="B950" s="56" t="s">
        <v>3399</v>
      </c>
      <c r="C950" s="57" t="s">
        <v>3400</v>
      </c>
      <c r="D950" s="57" t="s">
        <v>1748</v>
      </c>
      <c r="E950" s="58" t="s">
        <v>363</v>
      </c>
      <c r="F950" s="58" t="s">
        <v>3401</v>
      </c>
      <c r="G950" s="58"/>
      <c r="H950" s="58"/>
      <c r="I950" s="57">
        <v>400</v>
      </c>
      <c r="J950" s="79">
        <f t="shared" si="32"/>
        <v>312</v>
      </c>
      <c r="K950" s="59"/>
      <c r="L950" s="84">
        <f t="shared" si="33"/>
        <v>0</v>
      </c>
      <c r="M950" s="60" t="s">
        <v>3276</v>
      </c>
      <c r="N950" s="57" t="s">
        <v>3402</v>
      </c>
      <c r="O950" s="57"/>
      <c r="P950" s="57"/>
      <c r="Q950" s="17" t="s">
        <v>19</v>
      </c>
      <c r="R950" s="70" t="str">
        <f>HYPERLINK("http://search.books.com.tw/search/query/key/9789862357149/cat/all
","
9789862357149")</f>
        <v xml:space="preserve">
9789862357149</v>
      </c>
    </row>
    <row r="951" spans="1:18" hidden="1" x14ac:dyDescent="0.25">
      <c r="A951" s="1">
        <v>947</v>
      </c>
      <c r="B951" s="56" t="s">
        <v>3403</v>
      </c>
      <c r="C951" s="57" t="s">
        <v>3404</v>
      </c>
      <c r="D951" s="57" t="s">
        <v>2073</v>
      </c>
      <c r="E951" s="58" t="s">
        <v>359</v>
      </c>
      <c r="F951" s="58" t="s">
        <v>3405</v>
      </c>
      <c r="G951" s="58"/>
      <c r="H951" s="58"/>
      <c r="I951" s="57">
        <v>580</v>
      </c>
      <c r="J951" s="79">
        <f t="shared" si="32"/>
        <v>452.4</v>
      </c>
      <c r="K951" s="59"/>
      <c r="L951" s="84">
        <f t="shared" si="33"/>
        <v>0</v>
      </c>
      <c r="M951" s="60" t="s">
        <v>3269</v>
      </c>
      <c r="N951" s="57"/>
      <c r="O951" s="57"/>
      <c r="P951" s="57"/>
      <c r="Q951" s="17" t="s">
        <v>19</v>
      </c>
      <c r="R951" s="70" t="str">
        <f>HYPERLINK("http://search.books.com.tw/search/query/key/9789865002664/cat/all
","
9789865002664")</f>
        <v xml:space="preserve">
9789865002664</v>
      </c>
    </row>
    <row r="952" spans="1:18" ht="33" hidden="1" x14ac:dyDescent="0.25">
      <c r="A952" s="1">
        <v>948</v>
      </c>
      <c r="B952" s="56" t="s">
        <v>3406</v>
      </c>
      <c r="C952" s="57" t="s">
        <v>3407</v>
      </c>
      <c r="D952" s="57" t="s">
        <v>2073</v>
      </c>
      <c r="E952" s="58" t="s">
        <v>368</v>
      </c>
      <c r="F952" s="58" t="s">
        <v>3408</v>
      </c>
      <c r="G952" s="58"/>
      <c r="H952" s="58"/>
      <c r="I952" s="57">
        <v>320</v>
      </c>
      <c r="J952" s="79">
        <f t="shared" si="32"/>
        <v>249.6</v>
      </c>
      <c r="K952" s="59"/>
      <c r="L952" s="84">
        <f t="shared" si="33"/>
        <v>0</v>
      </c>
      <c r="M952" s="60" t="s">
        <v>3276</v>
      </c>
      <c r="N952" s="57"/>
      <c r="O952" s="57"/>
      <c r="P952" s="57"/>
      <c r="Q952" s="17" t="s">
        <v>19</v>
      </c>
      <c r="R952" s="70" t="str">
        <f>HYPERLINK("http://search.books.com.tw/search/query/key/9789865003050/cat/all
","
9789865003050")</f>
        <v xml:space="preserve">
9789865003050</v>
      </c>
    </row>
    <row r="953" spans="1:18" hidden="1" x14ac:dyDescent="0.25">
      <c r="A953" s="1">
        <v>949</v>
      </c>
      <c r="B953" s="56" t="s">
        <v>3409</v>
      </c>
      <c r="C953" s="57" t="s">
        <v>3410</v>
      </c>
      <c r="D953" s="57" t="s">
        <v>1037</v>
      </c>
      <c r="E953" s="58" t="s">
        <v>368</v>
      </c>
      <c r="F953" s="58" t="s">
        <v>3411</v>
      </c>
      <c r="G953" s="58"/>
      <c r="H953" s="58"/>
      <c r="I953" s="57">
        <v>360</v>
      </c>
      <c r="J953" s="79">
        <f t="shared" si="32"/>
        <v>280.8</v>
      </c>
      <c r="K953" s="59"/>
      <c r="L953" s="84">
        <f t="shared" si="33"/>
        <v>0</v>
      </c>
      <c r="M953" s="60" t="s">
        <v>3276</v>
      </c>
      <c r="N953" s="57"/>
      <c r="O953" s="57"/>
      <c r="P953" s="57"/>
      <c r="Q953" s="17" t="s">
        <v>19</v>
      </c>
      <c r="R953" s="70" t="str">
        <f>HYPERLINK("http://search.books.com.tw/search/query/key/9789888490547/cat/all
","
9789888490547")</f>
        <v xml:space="preserve">
9789888490547</v>
      </c>
    </row>
    <row r="954" spans="1:18" ht="33" hidden="1" x14ac:dyDescent="0.25">
      <c r="A954" s="1">
        <v>950</v>
      </c>
      <c r="B954" s="56" t="s">
        <v>3412</v>
      </c>
      <c r="C954" s="57" t="s">
        <v>3413</v>
      </c>
      <c r="D954" s="57" t="s">
        <v>1989</v>
      </c>
      <c r="E954" s="58" t="s">
        <v>368</v>
      </c>
      <c r="F954" s="58" t="s">
        <v>3414</v>
      </c>
      <c r="G954" s="58"/>
      <c r="H954" s="58"/>
      <c r="I954" s="57">
        <v>380</v>
      </c>
      <c r="J954" s="79">
        <f t="shared" si="32"/>
        <v>296.39999999999998</v>
      </c>
      <c r="K954" s="59"/>
      <c r="L954" s="84">
        <f t="shared" si="33"/>
        <v>0</v>
      </c>
      <c r="M954" s="60" t="s">
        <v>3276</v>
      </c>
      <c r="N954" s="57"/>
      <c r="O954" s="57"/>
      <c r="P954" s="57"/>
      <c r="Q954" s="17" t="s">
        <v>19</v>
      </c>
      <c r="R954" s="70" t="str">
        <f>HYPERLINK("http://search.books.com.tw/search/query/key/9789869697712/cat/all
","
9789869697712")</f>
        <v xml:space="preserve">
9789869697712</v>
      </c>
    </row>
    <row r="955" spans="1:18" hidden="1" x14ac:dyDescent="0.25">
      <c r="A955" s="1">
        <v>951</v>
      </c>
      <c r="B955" s="56" t="s">
        <v>3415</v>
      </c>
      <c r="C955" s="57" t="s">
        <v>3416</v>
      </c>
      <c r="D955" s="57" t="s">
        <v>1041</v>
      </c>
      <c r="E955" s="58" t="s">
        <v>363</v>
      </c>
      <c r="F955" s="58" t="s">
        <v>3417</v>
      </c>
      <c r="G955" s="58"/>
      <c r="H955" s="58"/>
      <c r="I955" s="57">
        <v>680</v>
      </c>
      <c r="J955" s="79">
        <f t="shared" si="32"/>
        <v>530.4</v>
      </c>
      <c r="K955" s="59"/>
      <c r="L955" s="84">
        <f t="shared" si="33"/>
        <v>0</v>
      </c>
      <c r="M955" s="60" t="s">
        <v>3269</v>
      </c>
      <c r="N955" s="57"/>
      <c r="O955" s="57"/>
      <c r="P955" s="57"/>
      <c r="Q955" s="17" t="s">
        <v>19</v>
      </c>
      <c r="R955" s="70" t="str">
        <f>HYPERLINK("http://search.books.com.tw/search/query/key/9789570531794/cat/all
","
9789570531794")</f>
        <v xml:space="preserve">
9789570531794</v>
      </c>
    </row>
    <row r="956" spans="1:18" ht="49.5" hidden="1" x14ac:dyDescent="0.25">
      <c r="A956" s="1">
        <v>952</v>
      </c>
      <c r="B956" s="56" t="s">
        <v>3418</v>
      </c>
      <c r="C956" s="57" t="s">
        <v>3419</v>
      </c>
      <c r="D956" s="57" t="s">
        <v>714</v>
      </c>
      <c r="E956" s="58" t="s">
        <v>363</v>
      </c>
      <c r="F956" s="58" t="s">
        <v>3420</v>
      </c>
      <c r="G956" s="58"/>
      <c r="H956" s="58"/>
      <c r="I956" s="57">
        <v>299</v>
      </c>
      <c r="J956" s="79">
        <f t="shared" si="32"/>
        <v>233.22</v>
      </c>
      <c r="K956" s="59"/>
      <c r="L956" s="84">
        <f t="shared" si="33"/>
        <v>0</v>
      </c>
      <c r="M956" s="60" t="s">
        <v>3269</v>
      </c>
      <c r="N956" s="57"/>
      <c r="O956" s="57"/>
      <c r="P956" s="57"/>
      <c r="Q956" s="17" t="s">
        <v>19</v>
      </c>
      <c r="R956" s="70" t="str">
        <f>HYPERLINK("http://search.books.com.tw/search/query/key/9789573282792/cat/all
","
9789573282792")</f>
        <v xml:space="preserve">
9789573282792</v>
      </c>
    </row>
    <row r="957" spans="1:18" ht="33" hidden="1" x14ac:dyDescent="0.25">
      <c r="A957" s="1">
        <v>953</v>
      </c>
      <c r="B957" s="56" t="s">
        <v>3421</v>
      </c>
      <c r="C957" s="57" t="s">
        <v>3422</v>
      </c>
      <c r="D957" s="57" t="s">
        <v>3423</v>
      </c>
      <c r="E957" s="58" t="s">
        <v>359</v>
      </c>
      <c r="F957" s="58" t="s">
        <v>3424</v>
      </c>
      <c r="G957" s="58"/>
      <c r="H957" s="58"/>
      <c r="I957" s="57">
        <v>300</v>
      </c>
      <c r="J957" s="79">
        <f t="shared" si="32"/>
        <v>234</v>
      </c>
      <c r="K957" s="59"/>
      <c r="L957" s="84">
        <f t="shared" si="33"/>
        <v>0</v>
      </c>
      <c r="M957" s="60" t="s">
        <v>3269</v>
      </c>
      <c r="N957" s="57"/>
      <c r="O957" s="57"/>
      <c r="P957" s="57"/>
      <c r="Q957" s="17" t="s">
        <v>19</v>
      </c>
      <c r="R957" s="70" t="str">
        <f>HYPERLINK("http://search.books.com.tw/search/query/key/4712771023015/cat/all
","
4712771023015")</f>
        <v xml:space="preserve">
4712771023015</v>
      </c>
    </row>
    <row r="958" spans="1:18" ht="49.5" hidden="1" x14ac:dyDescent="0.25">
      <c r="A958" s="1">
        <v>954</v>
      </c>
      <c r="B958" s="56" t="s">
        <v>3425</v>
      </c>
      <c r="C958" s="57" t="s">
        <v>3426</v>
      </c>
      <c r="D958" s="57" t="s">
        <v>3423</v>
      </c>
      <c r="E958" s="58" t="s">
        <v>359</v>
      </c>
      <c r="F958" s="58" t="s">
        <v>3427</v>
      </c>
      <c r="G958" s="58"/>
      <c r="H958" s="58"/>
      <c r="I958" s="57">
        <v>300</v>
      </c>
      <c r="J958" s="79">
        <f t="shared" si="32"/>
        <v>234</v>
      </c>
      <c r="K958" s="59"/>
      <c r="L958" s="84">
        <f t="shared" si="33"/>
        <v>0</v>
      </c>
      <c r="M958" s="60" t="s">
        <v>3276</v>
      </c>
      <c r="N958" s="57"/>
      <c r="O958" s="57"/>
      <c r="P958" s="57"/>
      <c r="Q958" s="17" t="s">
        <v>19</v>
      </c>
      <c r="R958" s="70" t="str">
        <f>HYPERLINK("http://search.books.com.tw/search/query/key/4712771022995/cat/all
","
4712771022995")</f>
        <v xml:space="preserve">
4712771022995</v>
      </c>
    </row>
    <row r="959" spans="1:18" ht="33" hidden="1" x14ac:dyDescent="0.25">
      <c r="A959" s="1">
        <v>955</v>
      </c>
      <c r="B959" s="56" t="s">
        <v>3428</v>
      </c>
      <c r="C959" s="57" t="s">
        <v>3429</v>
      </c>
      <c r="D959" s="57" t="s">
        <v>3423</v>
      </c>
      <c r="E959" s="58" t="s">
        <v>359</v>
      </c>
      <c r="F959" s="58" t="s">
        <v>3430</v>
      </c>
      <c r="G959" s="58"/>
      <c r="H959" s="58"/>
      <c r="I959" s="57">
        <v>400</v>
      </c>
      <c r="J959" s="79">
        <f t="shared" si="32"/>
        <v>312</v>
      </c>
      <c r="K959" s="59"/>
      <c r="L959" s="84">
        <f t="shared" si="33"/>
        <v>0</v>
      </c>
      <c r="M959" s="60" t="s">
        <v>3269</v>
      </c>
      <c r="N959" s="57"/>
      <c r="O959" s="57"/>
      <c r="P959" s="57"/>
      <c r="Q959" s="17" t="s">
        <v>19</v>
      </c>
      <c r="R959" s="70" t="str">
        <f>HYPERLINK("http://search.books.com.tw/search/query/key/4712771023008/cat/all
","
4712771023008")</f>
        <v xml:space="preserve">
4712771023008</v>
      </c>
    </row>
    <row r="960" spans="1:18" ht="33" hidden="1" x14ac:dyDescent="0.25">
      <c r="A960" s="1">
        <v>956</v>
      </c>
      <c r="B960" s="56" t="s">
        <v>3431</v>
      </c>
      <c r="C960" s="57" t="s">
        <v>3432</v>
      </c>
      <c r="D960" s="57" t="s">
        <v>3433</v>
      </c>
      <c r="E960" s="58" t="s">
        <v>363</v>
      </c>
      <c r="F960" s="58" t="s">
        <v>3434</v>
      </c>
      <c r="G960" s="58"/>
      <c r="H960" s="58"/>
      <c r="I960" s="57">
        <v>420</v>
      </c>
      <c r="J960" s="79">
        <f t="shared" si="32"/>
        <v>327.60000000000002</v>
      </c>
      <c r="K960" s="59"/>
      <c r="L960" s="84">
        <f t="shared" si="33"/>
        <v>0</v>
      </c>
      <c r="M960" s="60" t="s">
        <v>3269</v>
      </c>
      <c r="N960" s="57"/>
      <c r="O960" s="57"/>
      <c r="P960" s="57"/>
      <c r="Q960" s="17" t="s">
        <v>19</v>
      </c>
      <c r="R960" s="70" t="str">
        <f>HYPERLINK("http://search.books.com.tw/search/query/key/9789869647564/cat/all
","
9789869647564")</f>
        <v xml:space="preserve">
9789869647564</v>
      </c>
    </row>
    <row r="961" spans="1:18" hidden="1" x14ac:dyDescent="0.25">
      <c r="A961" s="1">
        <v>957</v>
      </c>
      <c r="B961" s="56" t="s">
        <v>3435</v>
      </c>
      <c r="C961" s="57" t="s">
        <v>3436</v>
      </c>
      <c r="D961" s="57" t="s">
        <v>3437</v>
      </c>
      <c r="E961" s="58" t="s">
        <v>368</v>
      </c>
      <c r="F961" s="58" t="s">
        <v>3438</v>
      </c>
      <c r="G961" s="58"/>
      <c r="H961" s="58"/>
      <c r="I961" s="57">
        <v>240</v>
      </c>
      <c r="J961" s="79">
        <f t="shared" si="32"/>
        <v>187.2</v>
      </c>
      <c r="K961" s="59"/>
      <c r="L961" s="84">
        <f t="shared" si="33"/>
        <v>0</v>
      </c>
      <c r="M961" s="60" t="s">
        <v>3276</v>
      </c>
      <c r="N961" s="57"/>
      <c r="O961" s="57"/>
      <c r="P961" s="57"/>
      <c r="Q961" s="17" t="s">
        <v>19</v>
      </c>
      <c r="R961" s="70" t="str">
        <f>HYPERLINK("http://search.books.com.tw/search/query/key/4714871060716/cat/all
","
4714871060716")</f>
        <v xml:space="preserve">
4714871060716</v>
      </c>
    </row>
    <row r="962" spans="1:18" ht="49.5" hidden="1" x14ac:dyDescent="0.25">
      <c r="A962" s="1">
        <v>958</v>
      </c>
      <c r="B962" s="56" t="s">
        <v>3439</v>
      </c>
      <c r="C962" s="57" t="s">
        <v>3440</v>
      </c>
      <c r="D962" s="57" t="s">
        <v>732</v>
      </c>
      <c r="E962" s="58" t="s">
        <v>359</v>
      </c>
      <c r="F962" s="58" t="s">
        <v>3441</v>
      </c>
      <c r="G962" s="58"/>
      <c r="H962" s="58"/>
      <c r="I962" s="57">
        <v>1200</v>
      </c>
      <c r="J962" s="79">
        <f t="shared" si="32"/>
        <v>936</v>
      </c>
      <c r="K962" s="59"/>
      <c r="L962" s="84">
        <f t="shared" si="33"/>
        <v>0</v>
      </c>
      <c r="M962" s="60" t="s">
        <v>3276</v>
      </c>
      <c r="N962" s="57"/>
      <c r="O962" s="57"/>
      <c r="P962" s="57"/>
      <c r="Q962" s="17" t="s">
        <v>19</v>
      </c>
      <c r="R962" s="70" t="str">
        <f>HYPERLINK("http://search.books.com.tw/search/query/key/9789868667440/cat/all
","
9789868667440")</f>
        <v xml:space="preserve">
9789868667440</v>
      </c>
    </row>
    <row r="963" spans="1:18" hidden="1" x14ac:dyDescent="0.25">
      <c r="A963" s="72"/>
      <c r="B963" s="73" t="s">
        <v>3442</v>
      </c>
      <c r="C963" s="74"/>
      <c r="D963" s="74"/>
      <c r="E963" s="72"/>
      <c r="F963" s="72"/>
      <c r="G963" s="72"/>
      <c r="H963" s="72"/>
      <c r="I963" s="72"/>
      <c r="J963" s="80"/>
      <c r="K963" s="72"/>
      <c r="L963" s="80">
        <f>ROUND(SUM(L5:L962),0)</f>
        <v>20487</v>
      </c>
      <c r="M963" s="75"/>
      <c r="N963" s="25"/>
      <c r="O963" s="53"/>
      <c r="P963" s="72"/>
      <c r="Q963" s="76"/>
      <c r="R963" s="77"/>
    </row>
  </sheetData>
  <autoFilter ref="A4:R963">
    <filterColumn colId="10">
      <customFilters>
        <customFilter operator="greaterThan" val="0"/>
      </customFilters>
    </filterColumn>
  </autoFilter>
  <mergeCells count="2">
    <mergeCell ref="A1:R1"/>
    <mergeCell ref="A2:R2"/>
  </mergeCells>
  <phoneticPr fontId="3" type="noConversion"/>
  <conditionalFormatting sqref="F7:G8">
    <cfRule type="duplicateValues" dxfId="455" priority="497"/>
    <cfRule type="duplicateValues" dxfId="454" priority="498" stopIfTrue="1"/>
  </conditionalFormatting>
  <conditionalFormatting sqref="F7:G8">
    <cfRule type="duplicateValues" dxfId="453" priority="499"/>
    <cfRule type="duplicateValues" dxfId="452" priority="500"/>
    <cfRule type="duplicateValues" dxfId="451" priority="501"/>
  </conditionalFormatting>
  <conditionalFormatting sqref="F5:G6">
    <cfRule type="duplicateValues" dxfId="450" priority="492"/>
    <cfRule type="duplicateValues" dxfId="449" priority="493" stopIfTrue="1"/>
  </conditionalFormatting>
  <conditionalFormatting sqref="F5:G6">
    <cfRule type="duplicateValues" dxfId="448" priority="494"/>
    <cfRule type="duplicateValues" dxfId="447" priority="495"/>
    <cfRule type="duplicateValues" dxfId="446" priority="496"/>
  </conditionalFormatting>
  <conditionalFormatting sqref="F9:G9">
    <cfRule type="duplicateValues" dxfId="445" priority="487"/>
    <cfRule type="duplicateValues" dxfId="444" priority="488" stopIfTrue="1"/>
  </conditionalFormatting>
  <conditionalFormatting sqref="F9:G9">
    <cfRule type="duplicateValues" dxfId="443" priority="489"/>
    <cfRule type="duplicateValues" dxfId="442" priority="490"/>
    <cfRule type="duplicateValues" dxfId="441" priority="491"/>
  </conditionalFormatting>
  <conditionalFormatting sqref="F11:G11">
    <cfRule type="duplicateValues" dxfId="440" priority="477"/>
    <cfRule type="duplicateValues" dxfId="439" priority="478" stopIfTrue="1"/>
  </conditionalFormatting>
  <conditionalFormatting sqref="F11:G11">
    <cfRule type="duplicateValues" dxfId="438" priority="479"/>
    <cfRule type="duplicateValues" dxfId="437" priority="480"/>
    <cfRule type="duplicateValues" dxfId="436" priority="481"/>
  </conditionalFormatting>
  <conditionalFormatting sqref="F10:G10 F12:G19">
    <cfRule type="duplicateValues" dxfId="435" priority="525"/>
    <cfRule type="duplicateValues" dxfId="434" priority="526" stopIfTrue="1"/>
  </conditionalFormatting>
  <conditionalFormatting sqref="F10:G10 F12:G19">
    <cfRule type="duplicateValues" dxfId="433" priority="531"/>
    <cfRule type="duplicateValues" dxfId="432" priority="532"/>
    <cfRule type="duplicateValues" dxfId="431" priority="533"/>
  </conditionalFormatting>
  <conditionalFormatting sqref="G22:G23">
    <cfRule type="duplicateValues" dxfId="430" priority="467"/>
    <cfRule type="duplicateValues" dxfId="429" priority="468" stopIfTrue="1"/>
  </conditionalFormatting>
  <conditionalFormatting sqref="G22:G23">
    <cfRule type="duplicateValues" dxfId="428" priority="469"/>
    <cfRule type="duplicateValues" dxfId="427" priority="470"/>
    <cfRule type="duplicateValues" dxfId="426" priority="471"/>
  </conditionalFormatting>
  <conditionalFormatting sqref="G20:G21">
    <cfRule type="duplicateValues" dxfId="425" priority="462"/>
    <cfRule type="duplicateValues" dxfId="424" priority="463" stopIfTrue="1"/>
  </conditionalFormatting>
  <conditionalFormatting sqref="G20:G21">
    <cfRule type="duplicateValues" dxfId="423" priority="464"/>
    <cfRule type="duplicateValues" dxfId="422" priority="465"/>
    <cfRule type="duplicateValues" dxfId="421" priority="466"/>
  </conditionalFormatting>
  <conditionalFormatting sqref="G24">
    <cfRule type="duplicateValues" dxfId="420" priority="457"/>
    <cfRule type="duplicateValues" dxfId="419" priority="458" stopIfTrue="1"/>
  </conditionalFormatting>
  <conditionalFormatting sqref="G24">
    <cfRule type="duplicateValues" dxfId="418" priority="459"/>
    <cfRule type="duplicateValues" dxfId="417" priority="460"/>
    <cfRule type="duplicateValues" dxfId="416" priority="461"/>
  </conditionalFormatting>
  <conditionalFormatting sqref="G25 G27 G61:G62">
    <cfRule type="duplicateValues" dxfId="415" priority="452"/>
    <cfRule type="duplicateValues" dxfId="414" priority="453" stopIfTrue="1"/>
  </conditionalFormatting>
  <conditionalFormatting sqref="G25 G27 G61:G62">
    <cfRule type="duplicateValues" dxfId="413" priority="454"/>
    <cfRule type="duplicateValues" dxfId="412" priority="455"/>
    <cfRule type="duplicateValues" dxfId="411" priority="456"/>
  </conditionalFormatting>
  <conditionalFormatting sqref="G26">
    <cfRule type="duplicateValues" dxfId="410" priority="447"/>
    <cfRule type="duplicateValues" dxfId="409" priority="448" stopIfTrue="1"/>
  </conditionalFormatting>
  <conditionalFormatting sqref="G26">
    <cfRule type="duplicateValues" dxfId="408" priority="449"/>
    <cfRule type="duplicateValues" dxfId="407" priority="450"/>
    <cfRule type="duplicateValues" dxfId="406" priority="451"/>
  </conditionalFormatting>
  <conditionalFormatting sqref="F34 F60:F69 F20:F32">
    <cfRule type="duplicateValues" dxfId="405" priority="444"/>
  </conditionalFormatting>
  <conditionalFormatting sqref="F34 F60:F69 F20:F32">
    <cfRule type="duplicateValues" dxfId="404" priority="445"/>
    <cfRule type="duplicateValues" dxfId="403" priority="446"/>
  </conditionalFormatting>
  <conditionalFormatting sqref="F33">
    <cfRule type="duplicateValues" dxfId="402" priority="441"/>
  </conditionalFormatting>
  <conditionalFormatting sqref="F33">
    <cfRule type="duplicateValues" dxfId="401" priority="442"/>
    <cfRule type="duplicateValues" dxfId="400" priority="443"/>
  </conditionalFormatting>
  <conditionalFormatting sqref="G60">
    <cfRule type="duplicateValues" dxfId="399" priority="431"/>
    <cfRule type="duplicateValues" dxfId="398" priority="432" stopIfTrue="1"/>
  </conditionalFormatting>
  <conditionalFormatting sqref="G60">
    <cfRule type="duplicateValues" dxfId="397" priority="433"/>
    <cfRule type="duplicateValues" dxfId="396" priority="434"/>
    <cfRule type="duplicateValues" dxfId="395" priority="435"/>
  </conditionalFormatting>
  <conditionalFormatting sqref="G63">
    <cfRule type="duplicateValues" dxfId="394" priority="421"/>
    <cfRule type="duplicateValues" dxfId="393" priority="422" stopIfTrue="1"/>
  </conditionalFormatting>
  <conditionalFormatting sqref="G63">
    <cfRule type="duplicateValues" dxfId="392" priority="423"/>
    <cfRule type="duplicateValues" dxfId="391" priority="424"/>
    <cfRule type="duplicateValues" dxfId="390" priority="425"/>
  </conditionalFormatting>
  <conditionalFormatting sqref="G65">
    <cfRule type="duplicateValues" dxfId="389" priority="411"/>
    <cfRule type="duplicateValues" dxfId="388" priority="412" stopIfTrue="1"/>
  </conditionalFormatting>
  <conditionalFormatting sqref="G65">
    <cfRule type="duplicateValues" dxfId="387" priority="413"/>
    <cfRule type="duplicateValues" dxfId="386" priority="414"/>
    <cfRule type="duplicateValues" dxfId="385" priority="415"/>
  </conditionalFormatting>
  <conditionalFormatting sqref="G64">
    <cfRule type="duplicateValues" dxfId="384" priority="406"/>
    <cfRule type="duplicateValues" dxfId="383" priority="407" stopIfTrue="1"/>
  </conditionalFormatting>
  <conditionalFormatting sqref="G64">
    <cfRule type="duplicateValues" dxfId="382" priority="408"/>
    <cfRule type="duplicateValues" dxfId="381" priority="409"/>
    <cfRule type="duplicateValues" dxfId="380" priority="410"/>
  </conditionalFormatting>
  <conditionalFormatting sqref="G66">
    <cfRule type="duplicateValues" dxfId="379" priority="401"/>
    <cfRule type="duplicateValues" dxfId="378" priority="402" stopIfTrue="1"/>
  </conditionalFormatting>
  <conditionalFormatting sqref="G66">
    <cfRule type="duplicateValues" dxfId="377" priority="403"/>
    <cfRule type="duplicateValues" dxfId="376" priority="404"/>
    <cfRule type="duplicateValues" dxfId="375" priority="405"/>
  </conditionalFormatting>
  <conditionalFormatting sqref="G67">
    <cfRule type="duplicateValues" dxfId="374" priority="396"/>
    <cfRule type="duplicateValues" dxfId="373" priority="397" stopIfTrue="1"/>
  </conditionalFormatting>
  <conditionalFormatting sqref="G67">
    <cfRule type="duplicateValues" dxfId="372" priority="398"/>
    <cfRule type="duplicateValues" dxfId="371" priority="399"/>
    <cfRule type="duplicateValues" dxfId="370" priority="400"/>
  </conditionalFormatting>
  <conditionalFormatting sqref="G68">
    <cfRule type="duplicateValues" dxfId="369" priority="386"/>
    <cfRule type="duplicateValues" dxfId="368" priority="387" stopIfTrue="1"/>
  </conditionalFormatting>
  <conditionalFormatting sqref="G68">
    <cfRule type="duplicateValues" dxfId="367" priority="388"/>
    <cfRule type="duplicateValues" dxfId="366" priority="389"/>
    <cfRule type="duplicateValues" dxfId="365" priority="390"/>
  </conditionalFormatting>
  <conditionalFormatting sqref="G69">
    <cfRule type="duplicateValues" dxfId="364" priority="381"/>
    <cfRule type="duplicateValues" dxfId="363" priority="382" stopIfTrue="1"/>
  </conditionalFormatting>
  <conditionalFormatting sqref="G69">
    <cfRule type="duplicateValues" dxfId="362" priority="383"/>
    <cfRule type="duplicateValues" dxfId="361" priority="384"/>
    <cfRule type="duplicateValues" dxfId="360" priority="385"/>
  </conditionalFormatting>
  <conditionalFormatting sqref="G70">
    <cfRule type="duplicateValues" dxfId="359" priority="376"/>
    <cfRule type="duplicateValues" dxfId="358" priority="377" stopIfTrue="1"/>
  </conditionalFormatting>
  <conditionalFormatting sqref="G70">
    <cfRule type="duplicateValues" dxfId="357" priority="378"/>
    <cfRule type="duplicateValues" dxfId="356" priority="379"/>
    <cfRule type="duplicateValues" dxfId="355" priority="380"/>
  </conditionalFormatting>
  <conditionalFormatting sqref="G71">
    <cfRule type="duplicateValues" dxfId="354" priority="371"/>
    <cfRule type="duplicateValues" dxfId="353" priority="372" stopIfTrue="1"/>
  </conditionalFormatting>
  <conditionalFormatting sqref="G71">
    <cfRule type="duplicateValues" dxfId="352" priority="373"/>
    <cfRule type="duplicateValues" dxfId="351" priority="374"/>
    <cfRule type="duplicateValues" dxfId="350" priority="375"/>
  </conditionalFormatting>
  <conditionalFormatting sqref="G72">
    <cfRule type="duplicateValues" dxfId="349" priority="366"/>
    <cfRule type="duplicateValues" dxfId="348" priority="367" stopIfTrue="1"/>
  </conditionalFormatting>
  <conditionalFormatting sqref="G72">
    <cfRule type="duplicateValues" dxfId="347" priority="368"/>
    <cfRule type="duplicateValues" dxfId="346" priority="369"/>
    <cfRule type="duplicateValues" dxfId="345" priority="370"/>
  </conditionalFormatting>
  <conditionalFormatting sqref="G74">
    <cfRule type="duplicateValues" dxfId="344" priority="356"/>
    <cfRule type="duplicateValues" dxfId="343" priority="357" stopIfTrue="1"/>
  </conditionalFormatting>
  <conditionalFormatting sqref="G74">
    <cfRule type="duplicateValues" dxfId="342" priority="358"/>
    <cfRule type="duplicateValues" dxfId="341" priority="359"/>
    <cfRule type="duplicateValues" dxfId="340" priority="360"/>
  </conditionalFormatting>
  <conditionalFormatting sqref="G75">
    <cfRule type="duplicateValues" dxfId="339" priority="351"/>
    <cfRule type="duplicateValues" dxfId="338" priority="352" stopIfTrue="1"/>
  </conditionalFormatting>
  <conditionalFormatting sqref="G75">
    <cfRule type="duplicateValues" dxfId="337" priority="353"/>
    <cfRule type="duplicateValues" dxfId="336" priority="354"/>
    <cfRule type="duplicateValues" dxfId="335" priority="355"/>
  </conditionalFormatting>
  <conditionalFormatting sqref="G76">
    <cfRule type="duplicateValues" dxfId="334" priority="346"/>
    <cfRule type="duplicateValues" dxfId="333" priority="347" stopIfTrue="1"/>
  </conditionalFormatting>
  <conditionalFormatting sqref="G76">
    <cfRule type="duplicateValues" dxfId="332" priority="348"/>
    <cfRule type="duplicateValues" dxfId="331" priority="349"/>
    <cfRule type="duplicateValues" dxfId="330" priority="350"/>
  </conditionalFormatting>
  <conditionalFormatting sqref="G77">
    <cfRule type="duplicateValues" dxfId="329" priority="341"/>
    <cfRule type="duplicateValues" dxfId="328" priority="342" stopIfTrue="1"/>
  </conditionalFormatting>
  <conditionalFormatting sqref="G77">
    <cfRule type="duplicateValues" dxfId="327" priority="343"/>
    <cfRule type="duplicateValues" dxfId="326" priority="344"/>
    <cfRule type="duplicateValues" dxfId="325" priority="345"/>
  </conditionalFormatting>
  <conditionalFormatting sqref="G78">
    <cfRule type="duplicateValues" dxfId="324" priority="336"/>
    <cfRule type="duplicateValues" dxfId="323" priority="337" stopIfTrue="1"/>
  </conditionalFormatting>
  <conditionalFormatting sqref="G78">
    <cfRule type="duplicateValues" dxfId="322" priority="338"/>
    <cfRule type="duplicateValues" dxfId="321" priority="339"/>
    <cfRule type="duplicateValues" dxfId="320" priority="340"/>
  </conditionalFormatting>
  <conditionalFormatting sqref="G84">
    <cfRule type="duplicateValues" dxfId="319" priority="331"/>
    <cfRule type="duplicateValues" dxfId="318" priority="332" stopIfTrue="1"/>
  </conditionalFormatting>
  <conditionalFormatting sqref="G84">
    <cfRule type="duplicateValues" dxfId="317" priority="333"/>
    <cfRule type="duplicateValues" dxfId="316" priority="334"/>
    <cfRule type="duplicateValues" dxfId="315" priority="335"/>
  </conditionalFormatting>
  <conditionalFormatting sqref="G85">
    <cfRule type="duplicateValues" dxfId="314" priority="326"/>
    <cfRule type="duplicateValues" dxfId="313" priority="327" stopIfTrue="1"/>
  </conditionalFormatting>
  <conditionalFormatting sqref="G85">
    <cfRule type="duplicateValues" dxfId="312" priority="328"/>
    <cfRule type="duplicateValues" dxfId="311" priority="329"/>
    <cfRule type="duplicateValues" dxfId="310" priority="330"/>
  </conditionalFormatting>
  <conditionalFormatting sqref="G86">
    <cfRule type="duplicateValues" dxfId="309" priority="316"/>
    <cfRule type="duplicateValues" dxfId="308" priority="317" stopIfTrue="1"/>
  </conditionalFormatting>
  <conditionalFormatting sqref="G86">
    <cfRule type="duplicateValues" dxfId="307" priority="318"/>
    <cfRule type="duplicateValues" dxfId="306" priority="319"/>
    <cfRule type="duplicateValues" dxfId="305" priority="320"/>
  </conditionalFormatting>
  <conditionalFormatting sqref="G88">
    <cfRule type="duplicateValues" dxfId="304" priority="311"/>
    <cfRule type="duplicateValues" dxfId="303" priority="312" stopIfTrue="1"/>
  </conditionalFormatting>
  <conditionalFormatting sqref="G88">
    <cfRule type="duplicateValues" dxfId="302" priority="313"/>
    <cfRule type="duplicateValues" dxfId="301" priority="314"/>
    <cfRule type="duplicateValues" dxfId="300" priority="315"/>
  </conditionalFormatting>
  <conditionalFormatting sqref="G87">
    <cfRule type="duplicateValues" dxfId="299" priority="306"/>
    <cfRule type="duplicateValues" dxfId="298" priority="307" stopIfTrue="1"/>
  </conditionalFormatting>
  <conditionalFormatting sqref="G87">
    <cfRule type="duplicateValues" dxfId="297" priority="308"/>
    <cfRule type="duplicateValues" dxfId="296" priority="309"/>
    <cfRule type="duplicateValues" dxfId="295" priority="310"/>
  </conditionalFormatting>
  <conditionalFormatting sqref="G102">
    <cfRule type="duplicateValues" dxfId="294" priority="301"/>
    <cfRule type="duplicateValues" dxfId="293" priority="302" stopIfTrue="1"/>
  </conditionalFormatting>
  <conditionalFormatting sqref="G102">
    <cfRule type="duplicateValues" dxfId="292" priority="303"/>
    <cfRule type="duplicateValues" dxfId="291" priority="304"/>
    <cfRule type="duplicateValues" dxfId="290" priority="305"/>
  </conditionalFormatting>
  <conditionalFormatting sqref="G104">
    <cfRule type="duplicateValues" dxfId="289" priority="296"/>
    <cfRule type="duplicateValues" dxfId="288" priority="297" stopIfTrue="1"/>
  </conditionalFormatting>
  <conditionalFormatting sqref="G104">
    <cfRule type="duplicateValues" dxfId="287" priority="298"/>
    <cfRule type="duplicateValues" dxfId="286" priority="299"/>
    <cfRule type="duplicateValues" dxfId="285" priority="300"/>
  </conditionalFormatting>
  <conditionalFormatting sqref="G105">
    <cfRule type="duplicateValues" dxfId="284" priority="291"/>
    <cfRule type="duplicateValues" dxfId="283" priority="292" stopIfTrue="1"/>
  </conditionalFormatting>
  <conditionalFormatting sqref="G105">
    <cfRule type="duplicateValues" dxfId="282" priority="293"/>
    <cfRule type="duplicateValues" dxfId="281" priority="294"/>
    <cfRule type="duplicateValues" dxfId="280" priority="295"/>
  </conditionalFormatting>
  <conditionalFormatting sqref="G106">
    <cfRule type="duplicateValues" dxfId="279" priority="286"/>
    <cfRule type="duplicateValues" dxfId="278" priority="287" stopIfTrue="1"/>
  </conditionalFormatting>
  <conditionalFormatting sqref="G106">
    <cfRule type="duplicateValues" dxfId="277" priority="288"/>
    <cfRule type="duplicateValues" dxfId="276" priority="289"/>
    <cfRule type="duplicateValues" dxfId="275" priority="290"/>
  </conditionalFormatting>
  <conditionalFormatting sqref="G108">
    <cfRule type="duplicateValues" dxfId="274" priority="281"/>
    <cfRule type="duplicateValues" dxfId="273" priority="282" stopIfTrue="1"/>
  </conditionalFormatting>
  <conditionalFormatting sqref="G108">
    <cfRule type="duplicateValues" dxfId="272" priority="283"/>
    <cfRule type="duplicateValues" dxfId="271" priority="284"/>
    <cfRule type="duplicateValues" dxfId="270" priority="285"/>
  </conditionalFormatting>
  <conditionalFormatting sqref="G111">
    <cfRule type="duplicateValues" dxfId="269" priority="276"/>
    <cfRule type="duplicateValues" dxfId="268" priority="277" stopIfTrue="1"/>
  </conditionalFormatting>
  <conditionalFormatting sqref="G111">
    <cfRule type="duplicateValues" dxfId="267" priority="278"/>
    <cfRule type="duplicateValues" dxfId="266" priority="279"/>
    <cfRule type="duplicateValues" dxfId="265" priority="280"/>
  </conditionalFormatting>
  <conditionalFormatting sqref="G112">
    <cfRule type="duplicateValues" dxfId="264" priority="271"/>
    <cfRule type="duplicateValues" dxfId="263" priority="272" stopIfTrue="1"/>
  </conditionalFormatting>
  <conditionalFormatting sqref="G112">
    <cfRule type="duplicateValues" dxfId="262" priority="273"/>
    <cfRule type="duplicateValues" dxfId="261" priority="274"/>
    <cfRule type="duplicateValues" dxfId="260" priority="275"/>
  </conditionalFormatting>
  <conditionalFormatting sqref="G113">
    <cfRule type="duplicateValues" dxfId="259" priority="266"/>
    <cfRule type="duplicateValues" dxfId="258" priority="267" stopIfTrue="1"/>
  </conditionalFormatting>
  <conditionalFormatting sqref="G113">
    <cfRule type="duplicateValues" dxfId="257" priority="268"/>
    <cfRule type="duplicateValues" dxfId="256" priority="269"/>
    <cfRule type="duplicateValues" dxfId="255" priority="270"/>
  </conditionalFormatting>
  <conditionalFormatting sqref="G114">
    <cfRule type="duplicateValues" dxfId="254" priority="261"/>
    <cfRule type="duplicateValues" dxfId="253" priority="262" stopIfTrue="1"/>
  </conditionalFormatting>
  <conditionalFormatting sqref="G114">
    <cfRule type="duplicateValues" dxfId="252" priority="263"/>
    <cfRule type="duplicateValues" dxfId="251" priority="264"/>
    <cfRule type="duplicateValues" dxfId="250" priority="265"/>
  </conditionalFormatting>
  <conditionalFormatting sqref="G116">
    <cfRule type="duplicateValues" dxfId="249" priority="256"/>
    <cfRule type="duplicateValues" dxfId="248" priority="257" stopIfTrue="1"/>
  </conditionalFormatting>
  <conditionalFormatting sqref="G116">
    <cfRule type="duplicateValues" dxfId="247" priority="258"/>
    <cfRule type="duplicateValues" dxfId="246" priority="259"/>
    <cfRule type="duplicateValues" dxfId="245" priority="260"/>
  </conditionalFormatting>
  <conditionalFormatting sqref="G120">
    <cfRule type="duplicateValues" dxfId="244" priority="251"/>
    <cfRule type="duplicateValues" dxfId="243" priority="252" stopIfTrue="1"/>
  </conditionalFormatting>
  <conditionalFormatting sqref="G120">
    <cfRule type="duplicateValues" dxfId="242" priority="253"/>
    <cfRule type="duplicateValues" dxfId="241" priority="254"/>
    <cfRule type="duplicateValues" dxfId="240" priority="255"/>
  </conditionalFormatting>
  <conditionalFormatting sqref="G121">
    <cfRule type="duplicateValues" dxfId="239" priority="246"/>
    <cfRule type="duplicateValues" dxfId="238" priority="247" stopIfTrue="1"/>
  </conditionalFormatting>
  <conditionalFormatting sqref="G121">
    <cfRule type="duplicateValues" dxfId="237" priority="248"/>
    <cfRule type="duplicateValues" dxfId="236" priority="249"/>
    <cfRule type="duplicateValues" dxfId="235" priority="250"/>
  </conditionalFormatting>
  <conditionalFormatting sqref="G122">
    <cfRule type="duplicateValues" dxfId="234" priority="241"/>
    <cfRule type="duplicateValues" dxfId="233" priority="242" stopIfTrue="1"/>
  </conditionalFormatting>
  <conditionalFormatting sqref="G122">
    <cfRule type="duplicateValues" dxfId="232" priority="243"/>
    <cfRule type="duplicateValues" dxfId="231" priority="244"/>
    <cfRule type="duplicateValues" dxfId="230" priority="245"/>
  </conditionalFormatting>
  <conditionalFormatting sqref="G123">
    <cfRule type="duplicateValues" dxfId="229" priority="236"/>
    <cfRule type="duplicateValues" dxfId="228" priority="237" stopIfTrue="1"/>
  </conditionalFormatting>
  <conditionalFormatting sqref="G123">
    <cfRule type="duplicateValues" dxfId="227" priority="238"/>
    <cfRule type="duplicateValues" dxfId="226" priority="239"/>
    <cfRule type="duplicateValues" dxfId="225" priority="240"/>
  </conditionalFormatting>
  <conditionalFormatting sqref="G125">
    <cfRule type="duplicateValues" dxfId="224" priority="226"/>
    <cfRule type="duplicateValues" dxfId="223" priority="227" stopIfTrue="1"/>
  </conditionalFormatting>
  <conditionalFormatting sqref="G125">
    <cfRule type="duplicateValues" dxfId="222" priority="228"/>
    <cfRule type="duplicateValues" dxfId="221" priority="229"/>
    <cfRule type="duplicateValues" dxfId="220" priority="230"/>
  </conditionalFormatting>
  <conditionalFormatting sqref="G127">
    <cfRule type="duplicateValues" dxfId="219" priority="221"/>
    <cfRule type="duplicateValues" dxfId="218" priority="222" stopIfTrue="1"/>
  </conditionalFormatting>
  <conditionalFormatting sqref="G127">
    <cfRule type="duplicateValues" dxfId="217" priority="223"/>
    <cfRule type="duplicateValues" dxfId="216" priority="224"/>
    <cfRule type="duplicateValues" dxfId="215" priority="225"/>
  </conditionalFormatting>
  <conditionalFormatting sqref="G129">
    <cfRule type="duplicateValues" dxfId="214" priority="216"/>
    <cfRule type="duplicateValues" dxfId="213" priority="217" stopIfTrue="1"/>
  </conditionalFormatting>
  <conditionalFormatting sqref="G129">
    <cfRule type="duplicateValues" dxfId="212" priority="218"/>
    <cfRule type="duplicateValues" dxfId="211" priority="219"/>
    <cfRule type="duplicateValues" dxfId="210" priority="220"/>
  </conditionalFormatting>
  <conditionalFormatting sqref="G130">
    <cfRule type="duplicateValues" dxfId="209" priority="206"/>
    <cfRule type="duplicateValues" dxfId="208" priority="207" stopIfTrue="1"/>
  </conditionalFormatting>
  <conditionalFormatting sqref="G130">
    <cfRule type="duplicateValues" dxfId="207" priority="208"/>
    <cfRule type="duplicateValues" dxfId="206" priority="209"/>
    <cfRule type="duplicateValues" dxfId="205" priority="210"/>
  </conditionalFormatting>
  <conditionalFormatting sqref="G132">
    <cfRule type="duplicateValues" dxfId="204" priority="201"/>
    <cfRule type="duplicateValues" dxfId="203" priority="202" stopIfTrue="1"/>
  </conditionalFormatting>
  <conditionalFormatting sqref="G132">
    <cfRule type="duplicateValues" dxfId="202" priority="203"/>
    <cfRule type="duplicateValues" dxfId="201" priority="204"/>
    <cfRule type="duplicateValues" dxfId="200" priority="205"/>
  </conditionalFormatting>
  <conditionalFormatting sqref="G133">
    <cfRule type="duplicateValues" dxfId="199" priority="196"/>
    <cfRule type="duplicateValues" dxfId="198" priority="197" stopIfTrue="1"/>
  </conditionalFormatting>
  <conditionalFormatting sqref="G133">
    <cfRule type="duplicateValues" dxfId="197" priority="198"/>
    <cfRule type="duplicateValues" dxfId="196" priority="199"/>
    <cfRule type="duplicateValues" dxfId="195" priority="200"/>
  </conditionalFormatting>
  <conditionalFormatting sqref="G134">
    <cfRule type="duplicateValues" dxfId="194" priority="191"/>
    <cfRule type="duplicateValues" dxfId="193" priority="192" stopIfTrue="1"/>
  </conditionalFormatting>
  <conditionalFormatting sqref="G134">
    <cfRule type="duplicateValues" dxfId="192" priority="193"/>
    <cfRule type="duplicateValues" dxfId="191" priority="194"/>
    <cfRule type="duplicateValues" dxfId="190" priority="195"/>
  </conditionalFormatting>
  <conditionalFormatting sqref="G136">
    <cfRule type="duplicateValues" dxfId="189" priority="186"/>
    <cfRule type="duplicateValues" dxfId="188" priority="187" stopIfTrue="1"/>
  </conditionalFormatting>
  <conditionalFormatting sqref="G136">
    <cfRule type="duplicateValues" dxfId="187" priority="188"/>
    <cfRule type="duplicateValues" dxfId="186" priority="189"/>
    <cfRule type="duplicateValues" dxfId="185" priority="190"/>
  </conditionalFormatting>
  <conditionalFormatting sqref="G138">
    <cfRule type="duplicateValues" dxfId="184" priority="181"/>
    <cfRule type="duplicateValues" dxfId="183" priority="182" stopIfTrue="1"/>
  </conditionalFormatting>
  <conditionalFormatting sqref="G138">
    <cfRule type="duplicateValues" dxfId="182" priority="183"/>
    <cfRule type="duplicateValues" dxfId="181" priority="184"/>
    <cfRule type="duplicateValues" dxfId="180" priority="185"/>
  </conditionalFormatting>
  <conditionalFormatting sqref="G139">
    <cfRule type="duplicateValues" dxfId="179" priority="176"/>
    <cfRule type="duplicateValues" dxfId="178" priority="177" stopIfTrue="1"/>
  </conditionalFormatting>
  <conditionalFormatting sqref="G139">
    <cfRule type="duplicateValues" dxfId="177" priority="178"/>
    <cfRule type="duplicateValues" dxfId="176" priority="179"/>
    <cfRule type="duplicateValues" dxfId="175" priority="180"/>
  </conditionalFormatting>
  <conditionalFormatting sqref="G140">
    <cfRule type="duplicateValues" dxfId="174" priority="171"/>
    <cfRule type="duplicateValues" dxfId="173" priority="172" stopIfTrue="1"/>
  </conditionalFormatting>
  <conditionalFormatting sqref="G140">
    <cfRule type="duplicateValues" dxfId="172" priority="173"/>
    <cfRule type="duplicateValues" dxfId="171" priority="174"/>
    <cfRule type="duplicateValues" dxfId="170" priority="175"/>
  </conditionalFormatting>
  <conditionalFormatting sqref="G141">
    <cfRule type="duplicateValues" dxfId="169" priority="166"/>
    <cfRule type="duplicateValues" dxfId="168" priority="167" stopIfTrue="1"/>
  </conditionalFormatting>
  <conditionalFormatting sqref="G141">
    <cfRule type="duplicateValues" dxfId="167" priority="168"/>
    <cfRule type="duplicateValues" dxfId="166" priority="169"/>
    <cfRule type="duplicateValues" dxfId="165" priority="170"/>
  </conditionalFormatting>
  <conditionalFormatting sqref="G142">
    <cfRule type="duplicateValues" dxfId="164" priority="161"/>
    <cfRule type="duplicateValues" dxfId="163" priority="162" stopIfTrue="1"/>
  </conditionalFormatting>
  <conditionalFormatting sqref="G142">
    <cfRule type="duplicateValues" dxfId="162" priority="163"/>
    <cfRule type="duplicateValues" dxfId="161" priority="164"/>
    <cfRule type="duplicateValues" dxfId="160" priority="165"/>
  </conditionalFormatting>
  <conditionalFormatting sqref="G143">
    <cfRule type="duplicateValues" dxfId="159" priority="156"/>
    <cfRule type="duplicateValues" dxfId="158" priority="157" stopIfTrue="1"/>
  </conditionalFormatting>
  <conditionalFormatting sqref="G143">
    <cfRule type="duplicateValues" dxfId="157" priority="158"/>
    <cfRule type="duplicateValues" dxfId="156" priority="159"/>
    <cfRule type="duplicateValues" dxfId="155" priority="160"/>
  </conditionalFormatting>
  <conditionalFormatting sqref="G145">
    <cfRule type="duplicateValues" dxfId="154" priority="151"/>
    <cfRule type="duplicateValues" dxfId="153" priority="152" stopIfTrue="1"/>
  </conditionalFormatting>
  <conditionalFormatting sqref="G145">
    <cfRule type="duplicateValues" dxfId="152" priority="153"/>
    <cfRule type="duplicateValues" dxfId="151" priority="154"/>
    <cfRule type="duplicateValues" dxfId="150" priority="155"/>
  </conditionalFormatting>
  <conditionalFormatting sqref="G148">
    <cfRule type="duplicateValues" dxfId="149" priority="146"/>
    <cfRule type="duplicateValues" dxfId="148" priority="147" stopIfTrue="1"/>
  </conditionalFormatting>
  <conditionalFormatting sqref="G148">
    <cfRule type="duplicateValues" dxfId="147" priority="148"/>
    <cfRule type="duplicateValues" dxfId="146" priority="149"/>
    <cfRule type="duplicateValues" dxfId="145" priority="150"/>
  </conditionalFormatting>
  <conditionalFormatting sqref="G149">
    <cfRule type="duplicateValues" dxfId="144" priority="141"/>
    <cfRule type="duplicateValues" dxfId="143" priority="142" stopIfTrue="1"/>
  </conditionalFormatting>
  <conditionalFormatting sqref="G149">
    <cfRule type="duplicateValues" dxfId="142" priority="143"/>
    <cfRule type="duplicateValues" dxfId="141" priority="144"/>
    <cfRule type="duplicateValues" dxfId="140" priority="145"/>
  </conditionalFormatting>
  <conditionalFormatting sqref="G150">
    <cfRule type="duplicateValues" dxfId="139" priority="136"/>
    <cfRule type="duplicateValues" dxfId="138" priority="137" stopIfTrue="1"/>
  </conditionalFormatting>
  <conditionalFormatting sqref="G150">
    <cfRule type="duplicateValues" dxfId="137" priority="138"/>
    <cfRule type="duplicateValues" dxfId="136" priority="139"/>
    <cfRule type="duplicateValues" dxfId="135" priority="140"/>
  </conditionalFormatting>
  <conditionalFormatting sqref="G151">
    <cfRule type="duplicateValues" dxfId="134" priority="131"/>
    <cfRule type="duplicateValues" dxfId="133" priority="132" stopIfTrue="1"/>
  </conditionalFormatting>
  <conditionalFormatting sqref="G151">
    <cfRule type="duplicateValues" dxfId="132" priority="133"/>
    <cfRule type="duplicateValues" dxfId="131" priority="134"/>
    <cfRule type="duplicateValues" dxfId="130" priority="135"/>
  </conditionalFormatting>
  <conditionalFormatting sqref="G153">
    <cfRule type="duplicateValues" dxfId="129" priority="126"/>
    <cfRule type="duplicateValues" dxfId="128" priority="127" stopIfTrue="1"/>
  </conditionalFormatting>
  <conditionalFormatting sqref="G153">
    <cfRule type="duplicateValues" dxfId="127" priority="128"/>
    <cfRule type="duplicateValues" dxfId="126" priority="129"/>
    <cfRule type="duplicateValues" dxfId="125" priority="130"/>
  </conditionalFormatting>
  <conditionalFormatting sqref="G156">
    <cfRule type="duplicateValues" dxfId="124" priority="121"/>
    <cfRule type="duplicateValues" dxfId="123" priority="122" stopIfTrue="1"/>
  </conditionalFormatting>
  <conditionalFormatting sqref="G156">
    <cfRule type="duplicateValues" dxfId="122" priority="123"/>
    <cfRule type="duplicateValues" dxfId="121" priority="124"/>
    <cfRule type="duplicateValues" dxfId="120" priority="125"/>
  </conditionalFormatting>
  <conditionalFormatting sqref="G157">
    <cfRule type="duplicateValues" dxfId="119" priority="116"/>
    <cfRule type="duplicateValues" dxfId="118" priority="117" stopIfTrue="1"/>
  </conditionalFormatting>
  <conditionalFormatting sqref="G157">
    <cfRule type="duplicateValues" dxfId="117" priority="118"/>
    <cfRule type="duplicateValues" dxfId="116" priority="119"/>
    <cfRule type="duplicateValues" dxfId="115" priority="120"/>
  </conditionalFormatting>
  <conditionalFormatting sqref="G159">
    <cfRule type="duplicateValues" dxfId="114" priority="111"/>
    <cfRule type="duplicateValues" dxfId="113" priority="112" stopIfTrue="1"/>
  </conditionalFormatting>
  <conditionalFormatting sqref="G159">
    <cfRule type="duplicateValues" dxfId="112" priority="113"/>
    <cfRule type="duplicateValues" dxfId="111" priority="114"/>
    <cfRule type="duplicateValues" dxfId="110" priority="115"/>
  </conditionalFormatting>
  <conditionalFormatting sqref="G161">
    <cfRule type="duplicateValues" dxfId="109" priority="106"/>
    <cfRule type="duplicateValues" dxfId="108" priority="107" stopIfTrue="1"/>
  </conditionalFormatting>
  <conditionalFormatting sqref="G161">
    <cfRule type="duplicateValues" dxfId="107" priority="108"/>
    <cfRule type="duplicateValues" dxfId="106" priority="109"/>
    <cfRule type="duplicateValues" dxfId="105" priority="110"/>
  </conditionalFormatting>
  <conditionalFormatting sqref="G162">
    <cfRule type="duplicateValues" dxfId="104" priority="101"/>
    <cfRule type="duplicateValues" dxfId="103" priority="102" stopIfTrue="1"/>
  </conditionalFormatting>
  <conditionalFormatting sqref="G162">
    <cfRule type="duplicateValues" dxfId="102" priority="103"/>
    <cfRule type="duplicateValues" dxfId="101" priority="104"/>
    <cfRule type="duplicateValues" dxfId="100" priority="105"/>
  </conditionalFormatting>
  <conditionalFormatting sqref="G163">
    <cfRule type="duplicateValues" dxfId="99" priority="96"/>
    <cfRule type="duplicateValues" dxfId="98" priority="97" stopIfTrue="1"/>
  </conditionalFormatting>
  <conditionalFormatting sqref="G163">
    <cfRule type="duplicateValues" dxfId="97" priority="98"/>
    <cfRule type="duplicateValues" dxfId="96" priority="99"/>
    <cfRule type="duplicateValues" dxfId="95" priority="100"/>
  </conditionalFormatting>
  <conditionalFormatting sqref="G171">
    <cfRule type="duplicateValues" dxfId="94" priority="91"/>
    <cfRule type="duplicateValues" dxfId="93" priority="92" stopIfTrue="1"/>
  </conditionalFormatting>
  <conditionalFormatting sqref="G171">
    <cfRule type="duplicateValues" dxfId="92" priority="93"/>
    <cfRule type="duplicateValues" dxfId="91" priority="94"/>
    <cfRule type="duplicateValues" dxfId="90" priority="95"/>
  </conditionalFormatting>
  <conditionalFormatting sqref="G174">
    <cfRule type="duplicateValues" dxfId="89" priority="86"/>
    <cfRule type="duplicateValues" dxfId="88" priority="87" stopIfTrue="1"/>
  </conditionalFormatting>
  <conditionalFormatting sqref="G174">
    <cfRule type="duplicateValues" dxfId="87" priority="88"/>
    <cfRule type="duplicateValues" dxfId="86" priority="89"/>
    <cfRule type="duplicateValues" dxfId="85" priority="90"/>
  </conditionalFormatting>
  <conditionalFormatting sqref="G181">
    <cfRule type="duplicateValues" dxfId="84" priority="81"/>
    <cfRule type="duplicateValues" dxfId="83" priority="82" stopIfTrue="1"/>
  </conditionalFormatting>
  <conditionalFormatting sqref="G181">
    <cfRule type="duplicateValues" dxfId="82" priority="83"/>
    <cfRule type="duplicateValues" dxfId="81" priority="84"/>
    <cfRule type="duplicateValues" dxfId="80" priority="85"/>
  </conditionalFormatting>
  <conditionalFormatting sqref="H183">
    <cfRule type="duplicateValues" dxfId="79" priority="76"/>
    <cfRule type="duplicateValues" dxfId="78" priority="77" stopIfTrue="1"/>
  </conditionalFormatting>
  <conditionalFormatting sqref="H183">
    <cfRule type="duplicateValues" dxfId="77" priority="78"/>
    <cfRule type="duplicateValues" dxfId="76" priority="79"/>
    <cfRule type="duplicateValues" dxfId="75" priority="80"/>
  </conditionalFormatting>
  <conditionalFormatting sqref="H185">
    <cfRule type="duplicateValues" dxfId="74" priority="71"/>
    <cfRule type="duplicateValues" dxfId="73" priority="72" stopIfTrue="1"/>
  </conditionalFormatting>
  <conditionalFormatting sqref="H185">
    <cfRule type="duplicateValues" dxfId="72" priority="73"/>
    <cfRule type="duplicateValues" dxfId="71" priority="74"/>
    <cfRule type="duplicateValues" dxfId="70" priority="75"/>
  </conditionalFormatting>
  <conditionalFormatting sqref="G183">
    <cfRule type="duplicateValues" dxfId="69" priority="66"/>
    <cfRule type="duplicateValues" dxfId="68" priority="67" stopIfTrue="1"/>
  </conditionalFormatting>
  <conditionalFormatting sqref="G183">
    <cfRule type="duplicateValues" dxfId="67" priority="68"/>
    <cfRule type="duplicateValues" dxfId="66" priority="69"/>
    <cfRule type="duplicateValues" dxfId="65" priority="70"/>
  </conditionalFormatting>
  <conditionalFormatting sqref="G185">
    <cfRule type="duplicateValues" dxfId="64" priority="61"/>
    <cfRule type="duplicateValues" dxfId="63" priority="62" stopIfTrue="1"/>
  </conditionalFormatting>
  <conditionalFormatting sqref="G185">
    <cfRule type="duplicateValues" dxfId="62" priority="63"/>
    <cfRule type="duplicateValues" dxfId="61" priority="64"/>
    <cfRule type="duplicateValues" dxfId="60" priority="65"/>
  </conditionalFormatting>
  <conditionalFormatting sqref="G198">
    <cfRule type="duplicateValues" dxfId="59" priority="56"/>
    <cfRule type="duplicateValues" dxfId="58" priority="57" stopIfTrue="1"/>
  </conditionalFormatting>
  <conditionalFormatting sqref="G198">
    <cfRule type="duplicateValues" dxfId="57" priority="58"/>
    <cfRule type="duplicateValues" dxfId="56" priority="59"/>
    <cfRule type="duplicateValues" dxfId="55" priority="60"/>
  </conditionalFormatting>
  <conditionalFormatting sqref="G199">
    <cfRule type="duplicateValues" dxfId="54" priority="51"/>
    <cfRule type="duplicateValues" dxfId="53" priority="52" stopIfTrue="1"/>
  </conditionalFormatting>
  <conditionalFormatting sqref="G199">
    <cfRule type="duplicateValues" dxfId="52" priority="53"/>
    <cfRule type="duplicateValues" dxfId="51" priority="54"/>
    <cfRule type="duplicateValues" dxfId="50" priority="55"/>
  </conditionalFormatting>
  <conditionalFormatting sqref="G200">
    <cfRule type="duplicateValues" dxfId="49" priority="46"/>
    <cfRule type="duplicateValues" dxfId="48" priority="47" stopIfTrue="1"/>
  </conditionalFormatting>
  <conditionalFormatting sqref="G200">
    <cfRule type="duplicateValues" dxfId="47" priority="48"/>
    <cfRule type="duplicateValues" dxfId="46" priority="49"/>
    <cfRule type="duplicateValues" dxfId="45" priority="50"/>
  </conditionalFormatting>
  <conditionalFormatting sqref="G201">
    <cfRule type="duplicateValues" dxfId="44" priority="41"/>
    <cfRule type="duplicateValues" dxfId="43" priority="42" stopIfTrue="1"/>
  </conditionalFormatting>
  <conditionalFormatting sqref="G201">
    <cfRule type="duplicateValues" dxfId="42" priority="43"/>
    <cfRule type="duplicateValues" dxfId="41" priority="44"/>
    <cfRule type="duplicateValues" dxfId="40" priority="45"/>
  </conditionalFormatting>
  <conditionalFormatting sqref="G202">
    <cfRule type="duplicateValues" dxfId="39" priority="36"/>
    <cfRule type="duplicateValues" dxfId="38" priority="37" stopIfTrue="1"/>
  </conditionalFormatting>
  <conditionalFormatting sqref="G202">
    <cfRule type="duplicateValues" dxfId="37" priority="38"/>
    <cfRule type="duplicateValues" dxfId="36" priority="39"/>
    <cfRule type="duplicateValues" dxfId="35" priority="40"/>
  </conditionalFormatting>
  <conditionalFormatting sqref="G203">
    <cfRule type="duplicateValues" dxfId="34" priority="31"/>
    <cfRule type="duplicateValues" dxfId="33" priority="32" stopIfTrue="1"/>
  </conditionalFormatting>
  <conditionalFormatting sqref="G203">
    <cfRule type="duplicateValues" dxfId="32" priority="33"/>
    <cfRule type="duplicateValues" dxfId="31" priority="34"/>
    <cfRule type="duplicateValues" dxfId="30" priority="35"/>
  </conditionalFormatting>
  <conditionalFormatting sqref="G204">
    <cfRule type="duplicateValues" dxfId="29" priority="26"/>
    <cfRule type="duplicateValues" dxfId="28" priority="27" stopIfTrue="1"/>
  </conditionalFormatting>
  <conditionalFormatting sqref="G204">
    <cfRule type="duplicateValues" dxfId="27" priority="28"/>
    <cfRule type="duplicateValues" dxfId="26" priority="29"/>
    <cfRule type="duplicateValues" dxfId="25" priority="30"/>
  </conditionalFormatting>
  <conditionalFormatting sqref="G208">
    <cfRule type="duplicateValues" dxfId="24" priority="21"/>
    <cfRule type="duplicateValues" dxfId="23" priority="22" stopIfTrue="1"/>
  </conditionalFormatting>
  <conditionalFormatting sqref="G208">
    <cfRule type="duplicateValues" dxfId="22" priority="23"/>
    <cfRule type="duplicateValues" dxfId="21" priority="24"/>
    <cfRule type="duplicateValues" dxfId="20" priority="25"/>
  </conditionalFormatting>
  <conditionalFormatting sqref="G211">
    <cfRule type="duplicateValues" dxfId="19" priority="16"/>
    <cfRule type="duplicateValues" dxfId="18" priority="17" stopIfTrue="1"/>
  </conditionalFormatting>
  <conditionalFormatting sqref="G211">
    <cfRule type="duplicateValues" dxfId="17" priority="18"/>
    <cfRule type="duplicateValues" dxfId="16" priority="19"/>
    <cfRule type="duplicateValues" dxfId="15" priority="20"/>
  </conditionalFormatting>
  <conditionalFormatting sqref="G212">
    <cfRule type="duplicateValues" dxfId="14" priority="11"/>
    <cfRule type="duplicateValues" dxfId="13" priority="12" stopIfTrue="1"/>
  </conditionalFormatting>
  <conditionalFormatting sqref="G212">
    <cfRule type="duplicateValues" dxfId="12" priority="13"/>
    <cfRule type="duplicateValues" dxfId="11" priority="14"/>
    <cfRule type="duplicateValues" dxfId="10" priority="15"/>
  </conditionalFormatting>
  <conditionalFormatting sqref="G213">
    <cfRule type="duplicateValues" dxfId="9" priority="6"/>
    <cfRule type="duplicateValues" dxfId="8" priority="7" stopIfTrue="1"/>
  </conditionalFormatting>
  <conditionalFormatting sqref="G213">
    <cfRule type="duplicateValues" dxfId="7" priority="8"/>
    <cfRule type="duplicateValues" dxfId="6" priority="9"/>
    <cfRule type="duplicateValues" dxfId="5" priority="10"/>
  </conditionalFormatting>
  <conditionalFormatting sqref="G214">
    <cfRule type="duplicateValues" dxfId="4" priority="1"/>
    <cfRule type="duplicateValues" dxfId="3" priority="2" stopIfTrue="1"/>
  </conditionalFormatting>
  <conditionalFormatting sqref="G214">
    <cfRule type="duplicateValues" dxfId="2" priority="3"/>
    <cfRule type="duplicateValues" dxfId="1" priority="4"/>
    <cfRule type="duplicateValues" dxfId="0" priority="5"/>
  </conditionalFormatting>
  <hyperlinks>
    <hyperlink ref="R5" r:id="rId1"/>
    <hyperlink ref="R6" r:id="rId2"/>
    <hyperlink ref="R7" r:id="rId3"/>
    <hyperlink ref="R8" r:id="rId4"/>
    <hyperlink ref="R11" r:id="rId5"/>
    <hyperlink ref="R10" r:id="rId6"/>
    <hyperlink ref="R9" r:id="rId7"/>
    <hyperlink ref="R12" r:id="rId8"/>
    <hyperlink ref="R14" r:id="rId9"/>
    <hyperlink ref="R13" r:id="rId10"/>
    <hyperlink ref="R15" r:id="rId11"/>
    <hyperlink ref="R16" r:id="rId12"/>
    <hyperlink ref="R17" r:id="rId13"/>
    <hyperlink ref="R18" r:id="rId14"/>
    <hyperlink ref="R19" r:id="rId15"/>
    <hyperlink ref="T20" r:id="rId16"/>
    <hyperlink ref="S20" r:id="rId17"/>
    <hyperlink ref="S21" r:id="rId18"/>
    <hyperlink ref="S22" r:id="rId19"/>
    <hyperlink ref="S27" r:id="rId20"/>
    <hyperlink ref="R376" r:id="rId21"/>
    <hyperlink ref="R380" r:id="rId22"/>
    <hyperlink ref="R400" r:id="rId23"/>
  </hyperlinks>
  <pageMargins left="0.70866141732283472" right="0.70866141732283472" top="0.74803149606299213" bottom="0.74803149606299213" header="0.31496062992125984" footer="0.31496062992125984"/>
  <pageSetup paperSize="9" scale="75"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選書書單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2018-11-20T01:21:43Z</cp:lastPrinted>
  <dcterms:created xsi:type="dcterms:W3CDTF">2016-07-20T02:51:24Z</dcterms:created>
  <dcterms:modified xsi:type="dcterms:W3CDTF">2019-01-16T07:14:26Z</dcterms:modified>
</cp:coreProperties>
</file>