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rea/Documents/Work/SAE/EUBEGP/WP06 - Remote Labs/calculations/"/>
    </mc:Choice>
  </mc:AlternateContent>
  <xr:revisionPtr revIDLastSave="0" documentId="13_ncr:1_{14015DAD-379B-4648-B7DC-172437A932BD}" xr6:coauthVersionLast="47" xr6:coauthVersionMax="47" xr10:uidLastSave="{00000000-0000-0000-0000-000000000000}"/>
  <bookViews>
    <workbookView xWindow="160" yWindow="660" windowWidth="33280" windowHeight="20180" activeTab="2" xr2:uid="{04654423-0472-DB4A-99CE-1F39AE9A5B00}"/>
  </bookViews>
  <sheets>
    <sheet name="Circuito" sheetId="1" r:id="rId1"/>
    <sheet name="Inyección de CO2" sheetId="3" r:id="rId2"/>
    <sheet name="ASHRAE Ventilació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E3" i="3"/>
  <c r="C3" i="3"/>
  <c r="B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B10" i="3"/>
  <c r="I2" i="3"/>
  <c r="B8" i="3"/>
  <c r="R4" i="1"/>
  <c r="G3" i="3" l="1"/>
  <c r="F3" i="3"/>
  <c r="B2" i="3"/>
  <c r="C2" i="3"/>
  <c r="O28" i="1"/>
  <c r="F9" i="2"/>
  <c r="G9" i="2" s="1"/>
  <c r="H9" i="2" s="1"/>
  <c r="I9" i="2" s="1"/>
  <c r="J9" i="2" s="1"/>
  <c r="K9" i="2" s="1"/>
  <c r="L9" i="2" s="1"/>
  <c r="M9" i="2" s="1"/>
  <c r="N9" i="2" s="1"/>
  <c r="O9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R5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K23" i="1"/>
  <c r="D13" i="1" s="1"/>
  <c r="K19" i="1"/>
  <c r="C12" i="1" s="1"/>
  <c r="J2" i="3" l="1"/>
  <c r="G2" i="3"/>
  <c r="F2" i="3"/>
  <c r="F3" i="2"/>
  <c r="G3" i="2" s="1"/>
  <c r="H3" i="2" s="1"/>
  <c r="I3" i="2" s="1"/>
  <c r="J3" i="2" s="1"/>
  <c r="K3" i="2" s="1"/>
  <c r="L3" i="2" s="1"/>
  <c r="M3" i="2" s="1"/>
  <c r="N3" i="2" s="1"/>
  <c r="O3" i="2" s="1"/>
  <c r="F11" i="2"/>
  <c r="G11" i="2" s="1"/>
  <c r="H11" i="2" s="1"/>
  <c r="I11" i="2" s="1"/>
  <c r="J11" i="2" s="1"/>
  <c r="K11" i="2" s="1"/>
  <c r="L11" i="2" s="1"/>
  <c r="F5" i="2"/>
  <c r="G5" i="2" s="1"/>
  <c r="H5" i="2" s="1"/>
  <c r="I5" i="2" s="1"/>
  <c r="J5" i="2" s="1"/>
  <c r="K5" i="2" s="1"/>
  <c r="L5" i="2" s="1"/>
  <c r="M5" i="2" s="1"/>
  <c r="N5" i="2" s="1"/>
  <c r="O5" i="2" s="1"/>
  <c r="F13" i="2"/>
  <c r="G13" i="2" s="1"/>
  <c r="H13" i="2" s="1"/>
  <c r="I13" i="2" s="1"/>
  <c r="J13" i="2" s="1"/>
  <c r="K13" i="2" s="1"/>
  <c r="L13" i="2" s="1"/>
  <c r="F14" i="2"/>
  <c r="G14" i="2" s="1"/>
  <c r="H14" i="2" s="1"/>
  <c r="I14" i="2" s="1"/>
  <c r="J14" i="2" s="1"/>
  <c r="K14" i="2" s="1"/>
  <c r="L14" i="2" s="1"/>
  <c r="F8" i="2"/>
  <c r="G8" i="2" s="1"/>
  <c r="H8" i="2" s="1"/>
  <c r="I8" i="2" s="1"/>
  <c r="J8" i="2" s="1"/>
  <c r="K8" i="2" s="1"/>
  <c r="L8" i="2" s="1"/>
  <c r="M8" i="2" s="1"/>
  <c r="N8" i="2" s="1"/>
  <c r="O8" i="2" s="1"/>
  <c r="F16" i="2"/>
  <c r="G16" i="2" s="1"/>
  <c r="F6" i="2"/>
  <c r="G6" i="2" s="1"/>
  <c r="H6" i="2" s="1"/>
  <c r="I6" i="2" s="1"/>
  <c r="J6" i="2" s="1"/>
  <c r="K6" i="2" s="1"/>
  <c r="L6" i="2" s="1"/>
  <c r="F7" i="2"/>
  <c r="G7" i="2" s="1"/>
  <c r="H7" i="2" s="1"/>
  <c r="I7" i="2" s="1"/>
  <c r="J7" i="2" s="1"/>
  <c r="K7" i="2" s="1"/>
  <c r="L7" i="2" s="1"/>
  <c r="F15" i="2"/>
  <c r="G15" i="2" s="1"/>
  <c r="H15" i="2" s="1"/>
  <c r="I15" i="2" s="1"/>
  <c r="J15" i="2" s="1"/>
  <c r="K15" i="2" s="1"/>
  <c r="L15" i="2" s="1"/>
  <c r="F2" i="2"/>
  <c r="G2" i="2" s="1"/>
  <c r="H2" i="2" s="1"/>
  <c r="I2" i="2" s="1"/>
  <c r="J2" i="2" s="1"/>
  <c r="K2" i="2" s="1"/>
  <c r="L2" i="2" s="1"/>
  <c r="M2" i="2" s="1"/>
  <c r="N2" i="2" s="1"/>
  <c r="O2" i="2" s="1"/>
  <c r="F10" i="2"/>
  <c r="G10" i="2" s="1"/>
  <c r="H10" i="2" s="1"/>
  <c r="I10" i="2" s="1"/>
  <c r="J10" i="2" s="1"/>
  <c r="K10" i="2" s="1"/>
  <c r="L10" i="2" s="1"/>
  <c r="F4" i="2"/>
  <c r="G4" i="2" s="1"/>
  <c r="H4" i="2" s="1"/>
  <c r="I4" i="2" s="1"/>
  <c r="J4" i="2" s="1"/>
  <c r="K4" i="2" s="1"/>
  <c r="L4" i="2" s="1"/>
  <c r="M4" i="2" s="1"/>
  <c r="N4" i="2" s="1"/>
  <c r="O4" i="2" s="1"/>
  <c r="F12" i="2"/>
  <c r="G12" i="2" s="1"/>
  <c r="H12" i="2" s="1"/>
  <c r="I12" i="2" s="1"/>
  <c r="J12" i="2" s="1"/>
  <c r="K12" i="2" s="1"/>
  <c r="L12" i="2" s="1"/>
  <c r="G8" i="1"/>
  <c r="G5" i="1"/>
  <c r="C13" i="1"/>
  <c r="G13" i="1" s="1"/>
  <c r="I13" i="1" s="1"/>
  <c r="G4" i="1"/>
  <c r="I4" i="1" s="1"/>
  <c r="G7" i="1"/>
  <c r="I7" i="1" s="1"/>
  <c r="G6" i="1"/>
  <c r="I6" i="1" s="1"/>
  <c r="G2" i="1"/>
  <c r="G3" i="1"/>
  <c r="I3" i="1" s="1"/>
  <c r="C11" i="1"/>
  <c r="G9" i="1"/>
  <c r="I9" i="1" s="1"/>
  <c r="G10" i="1"/>
  <c r="I10" i="1" s="1"/>
  <c r="D11" i="1"/>
  <c r="G11" i="1" s="1"/>
  <c r="I11" i="1" s="1"/>
  <c r="D12" i="1"/>
  <c r="G12" i="1" s="1"/>
  <c r="I12" i="1" s="1"/>
  <c r="L2" i="3" l="1"/>
  <c r="K2" i="3"/>
  <c r="H16" i="2"/>
  <c r="I16" i="2" s="1"/>
  <c r="J16" i="2" s="1"/>
  <c r="K16" i="2" s="1"/>
  <c r="L16" i="2" s="1"/>
  <c r="M16" i="2" s="1"/>
  <c r="N16" i="2" s="1"/>
  <c r="O16" i="2" s="1"/>
  <c r="M12" i="2"/>
  <c r="N12" i="2" s="1"/>
  <c r="O12" i="2" s="1"/>
  <c r="M14" i="2"/>
  <c r="N14" i="2" s="1"/>
  <c r="O14" i="2" s="1"/>
  <c r="M15" i="2"/>
  <c r="N15" i="2" s="1"/>
  <c r="O15" i="2" s="1"/>
  <c r="M7" i="2"/>
  <c r="N7" i="2" s="1"/>
  <c r="O7" i="2" s="1"/>
  <c r="M11" i="2"/>
  <c r="N11" i="2" s="1"/>
  <c r="O11" i="2" s="1"/>
  <c r="M10" i="2"/>
  <c r="N10" i="2" s="1"/>
  <c r="O10" i="2" s="1"/>
  <c r="M13" i="2"/>
  <c r="N13" i="2" s="1"/>
  <c r="O13" i="2" s="1"/>
  <c r="M6" i="2"/>
  <c r="N6" i="2" s="1"/>
  <c r="O6" i="2" s="1"/>
  <c r="J6" i="1"/>
  <c r="K6" i="1" s="1"/>
  <c r="J11" i="1"/>
  <c r="K11" i="1" s="1"/>
  <c r="J10" i="1"/>
  <c r="K10" i="1" s="1"/>
  <c r="J9" i="1"/>
  <c r="K9" i="1" s="1"/>
  <c r="J12" i="1"/>
  <c r="K12" i="1" s="1"/>
  <c r="J7" i="1"/>
  <c r="K7" i="1" s="1"/>
  <c r="J4" i="1"/>
  <c r="K4" i="1" s="1"/>
  <c r="J13" i="1"/>
  <c r="K13" i="1" s="1"/>
  <c r="J3" i="1"/>
  <c r="K3" i="1" s="1"/>
  <c r="I2" i="1"/>
  <c r="H5" i="1"/>
  <c r="I5" i="1"/>
  <c r="H8" i="1"/>
  <c r="I8" i="1"/>
  <c r="H6" i="1"/>
  <c r="H12" i="1"/>
  <c r="H7" i="1"/>
  <c r="H11" i="1"/>
  <c r="H10" i="1"/>
  <c r="H9" i="1"/>
  <c r="H4" i="1"/>
  <c r="H13" i="1"/>
  <c r="H3" i="1"/>
  <c r="H2" i="1"/>
  <c r="M13" i="1" l="1"/>
  <c r="N13" i="1" s="1"/>
  <c r="O13" i="1" s="1"/>
  <c r="L13" i="1"/>
  <c r="M12" i="1"/>
  <c r="N12" i="1" s="1"/>
  <c r="O12" i="1" s="1"/>
  <c r="L12" i="1"/>
  <c r="L4" i="1"/>
  <c r="M4" i="1"/>
  <c r="N4" i="1" s="1"/>
  <c r="O4" i="1" s="1"/>
  <c r="M7" i="1"/>
  <c r="N7" i="1" s="1"/>
  <c r="O7" i="1" s="1"/>
  <c r="L7" i="1"/>
  <c r="L9" i="1"/>
  <c r="M9" i="1"/>
  <c r="N9" i="1" s="1"/>
  <c r="O9" i="1" s="1"/>
  <c r="L10" i="1"/>
  <c r="M10" i="1"/>
  <c r="N10" i="1" s="1"/>
  <c r="O10" i="1" s="1"/>
  <c r="M11" i="1"/>
  <c r="N11" i="1" s="1"/>
  <c r="O11" i="1" s="1"/>
  <c r="L11" i="1"/>
  <c r="M3" i="1"/>
  <c r="N3" i="1" s="1"/>
  <c r="O3" i="1" s="1"/>
  <c r="L3" i="1"/>
  <c r="M6" i="1"/>
  <c r="N6" i="1" s="1"/>
  <c r="O6" i="1" s="1"/>
  <c r="L6" i="1"/>
  <c r="J5" i="1"/>
  <c r="K5" i="1" s="1"/>
  <c r="J2" i="1"/>
  <c r="K2" i="1" s="1"/>
  <c r="J8" i="1"/>
  <c r="K8" i="1" s="1"/>
  <c r="M8" i="1" l="1"/>
  <c r="N8" i="1" s="1"/>
  <c r="O8" i="1" s="1"/>
  <c r="L8" i="1"/>
  <c r="L2" i="1"/>
  <c r="M2" i="1"/>
  <c r="N2" i="1" s="1"/>
  <c r="O2" i="1" s="1"/>
  <c r="R9" i="1"/>
  <c r="R10" i="1" s="1"/>
  <c r="M5" i="1"/>
  <c r="N5" i="1" s="1"/>
  <c r="O5" i="1" s="1"/>
  <c r="L5" i="1"/>
  <c r="J3" i="3"/>
  <c r="I3" i="3" s="1"/>
  <c r="H3" i="3" s="1"/>
  <c r="L3" i="3" l="1"/>
</calcChain>
</file>

<file path=xl/sharedStrings.xml><?xml version="1.0" encoding="utf-8"?>
<sst xmlns="http://schemas.openxmlformats.org/spreadsheetml/2006/main" count="122" uniqueCount="89">
  <si>
    <t>Tasa MET</t>
  </si>
  <si>
    <t>M6-11</t>
  </si>
  <si>
    <t>Tasas MET</t>
  </si>
  <si>
    <t>Actividad</t>
  </si>
  <si>
    <t>Sentado leyendo, escribiendo, tipeando</t>
  </si>
  <si>
    <t>Parado en trabajo ligero</t>
  </si>
  <si>
    <t>Bailando. Aeróbicos, general</t>
  </si>
  <si>
    <t>Grupo Etario</t>
  </si>
  <si>
    <t>BRM (Tasa Metabólica Basal)</t>
  </si>
  <si>
    <t>M11-16</t>
  </si>
  <si>
    <t>M16-21</t>
  </si>
  <si>
    <t>M21-60</t>
  </si>
  <si>
    <t>F6-11</t>
  </si>
  <si>
    <t>F11-16</t>
  </si>
  <si>
    <t>F16-21</t>
  </si>
  <si>
    <t>F21-60</t>
  </si>
  <si>
    <t>Cantidad M</t>
  </si>
  <si>
    <t>Cantidad F</t>
  </si>
  <si>
    <t>Flujo M CO2 (l/s)</t>
  </si>
  <si>
    <t>Flujo F CO2 (l/s)</t>
  </si>
  <si>
    <t>Presión (kPA)</t>
  </si>
  <si>
    <t>Temperatura (K)</t>
  </si>
  <si>
    <t>6-11</t>
  </si>
  <si>
    <t>11-16</t>
  </si>
  <si>
    <t>16-21</t>
  </si>
  <si>
    <t>21-60</t>
  </si>
  <si>
    <t>Presión Total (kPa)</t>
  </si>
  <si>
    <t>Flujo Total (l/s)</t>
  </si>
  <si>
    <t>Diámetro manguera (m)</t>
  </si>
  <si>
    <t>Área manguera (m2)</t>
  </si>
  <si>
    <t>Densidad CO2(kg/m3)</t>
  </si>
  <si>
    <t>Velocidad CO2 (m/s)</t>
  </si>
  <si>
    <t>Presión Total (MPa)</t>
  </si>
  <si>
    <t>Flujo Total (lpm)</t>
  </si>
  <si>
    <t>Aforo</t>
  </si>
  <si>
    <t>Area (m2)</t>
  </si>
  <si>
    <t>Tipo de Ambiente</t>
  </si>
  <si>
    <t>Laboratorio</t>
  </si>
  <si>
    <t>Ejercicio</t>
  </si>
  <si>
    <t>Oficina / Clase / Auditorio</t>
  </si>
  <si>
    <t>Tasa persona (l/s)</t>
  </si>
  <si>
    <t>Flujo total ASHRAE (l/s)</t>
  </si>
  <si>
    <t>Flujo ASHRAE ocupantes (l/s)</t>
  </si>
  <si>
    <t>Flujo ASHRAE ambiente (l/s)</t>
  </si>
  <si>
    <t>Tasa Ambiente (l/(s•m2))</t>
  </si>
  <si>
    <t>Nivel de Actividad</t>
  </si>
  <si>
    <t>Ventilación</t>
  </si>
  <si>
    <t>Extractor</t>
  </si>
  <si>
    <t>Ventanas + Extractor</t>
  </si>
  <si>
    <t>Total</t>
  </si>
  <si>
    <t>Tiempor de llenado (h)</t>
  </si>
  <si>
    <t>Cantidad de CO2 (kg/llenado)</t>
  </si>
  <si>
    <t>Cantidad de CO2 (kg/experimento)</t>
  </si>
  <si>
    <t>Ventanas 2 lados</t>
  </si>
  <si>
    <t>Ventanas 1 lado</t>
  </si>
  <si>
    <t>Flujo Total (m3/h)</t>
  </si>
  <si>
    <t>Flujo Corregido (m3/h)</t>
  </si>
  <si>
    <t>Flujo Corregido (l/s)</t>
  </si>
  <si>
    <t>Flujo Corregido (lpm)</t>
  </si>
  <si>
    <t>Largo (m)</t>
  </si>
  <si>
    <t>Alto (m)</t>
  </si>
  <si>
    <t>Ancho (m)</t>
  </si>
  <si>
    <t>Volumen (m3)</t>
  </si>
  <si>
    <t>Longitud Característica (m)</t>
  </si>
  <si>
    <t>Column1</t>
  </si>
  <si>
    <t>Real</t>
  </si>
  <si>
    <t>Modelo</t>
  </si>
  <si>
    <t>Flujo máx (m3/s)</t>
  </si>
  <si>
    <t>Velocidad (m/s)</t>
  </si>
  <si>
    <t>Número de Peclet (-)</t>
  </si>
  <si>
    <t>Flujo máx (m3/h)</t>
  </si>
  <si>
    <t>Número de Reynolds (-)</t>
  </si>
  <si>
    <t>Densidad (kg/m3)</t>
  </si>
  <si>
    <t>Coeficiende Difusión (m^2/s)</t>
  </si>
  <si>
    <t>Datos del CO2</t>
  </si>
  <si>
    <t>Viscocidad dinámica (N s/m2)</t>
  </si>
  <si>
    <t>Reynolds (-)</t>
  </si>
  <si>
    <t>Velocidad en el ducto (m/s)</t>
  </si>
  <si>
    <t>Area del ducto (m2)</t>
  </si>
  <si>
    <t>Viscocidad del aire a 20ºC (m2/s)</t>
  </si>
  <si>
    <t>Lado de Ducto (m)</t>
  </si>
  <si>
    <t>Velocidad de aire en modelo (m/s)</t>
  </si>
  <si>
    <t>Lado de modelo (m)</t>
  </si>
  <si>
    <t>Flujo real ASHRAE (m3/s)</t>
  </si>
  <si>
    <t>Flujo real ASHRAE (m3/h)</t>
  </si>
  <si>
    <t>Flujo modelo ASHRAE (m3/s)</t>
  </si>
  <si>
    <t>Flujo modelo ASHRAE (m3/h)</t>
  </si>
  <si>
    <t>Flujo modelo ASHRAE (cfm)</t>
  </si>
  <si>
    <t>Area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</si>
</sst>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E+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2" fillId="0" borderId="1" xfId="1"/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center" vertical="center" wrapText="1"/>
    </xf>
    <xf numFmtId="167" fontId="0" fillId="0" borderId="0" xfId="0" applyNumberFormat="1"/>
  </cellXfs>
  <cellStyles count="2">
    <cellStyle name="Heading 2" xfId="1" builtinId="17"/>
    <cellStyle name="Normal" xfId="0" builtinId="0"/>
  </cellStyles>
  <dxfs count="61">
    <dxf>
      <fill>
        <patternFill patternType="none">
          <fgColor indexed="64"/>
          <bgColor indexed="65"/>
        </patternFill>
      </fill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1" indent="0" justifyLastLine="0" shrinkToFit="0" readingOrder="0"/>
    </dxf>
    <dxf>
      <numFmt numFmtId="15" formatCode="0.00E+0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"/>
    </dxf>
    <dxf>
      <numFmt numFmtId="165" formatCode="0.0000"/>
    </dxf>
    <dxf>
      <numFmt numFmtId="30" formatCode="@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Flujo de CO</a:t>
            </a:r>
            <a:r>
              <a:rPr lang="en-US" baseline="-25000"/>
              <a:t>2</a:t>
            </a:r>
            <a:r>
              <a:rPr lang="en-US"/>
              <a:t> (l/s) vs MET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6-11 años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Circuito!$A$2:$A$4</c:f>
              <c:numCache>
                <c:formatCode>0.0</c:formatCode>
                <c:ptCount val="3"/>
                <c:pt idx="0">
                  <c:v>1.4</c:v>
                </c:pt>
                <c:pt idx="1">
                  <c:v>3</c:v>
                </c:pt>
                <c:pt idx="2">
                  <c:v>7.3</c:v>
                </c:pt>
              </c:numCache>
            </c:numRef>
          </c:xVal>
          <c:yVal>
            <c:numRef>
              <c:f>Circuito!$K$2:$K$4</c:f>
              <c:numCache>
                <c:formatCode>0.0000</c:formatCode>
                <c:ptCount val="3"/>
                <c:pt idx="0">
                  <c:v>3.0753887527639598E-3</c:v>
                </c:pt>
                <c:pt idx="1">
                  <c:v>6.5901187559227713E-3</c:v>
                </c:pt>
                <c:pt idx="2">
                  <c:v>8.0179778197060399E-3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E-0A4A-BB15-4EBDD4A7D6D0}"/>
            </c:ext>
          </c:extLst>
        </c:ser>
        <c:ser>
          <c:idx val="1"/>
          <c:order val="1"/>
          <c:tx>
            <c:v>11-16 años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Circuito!$A$5:$A$7</c:f>
              <c:numCache>
                <c:formatCode>0.0</c:formatCode>
                <c:ptCount val="3"/>
                <c:pt idx="0">
                  <c:v>1.4</c:v>
                </c:pt>
                <c:pt idx="1">
                  <c:v>3</c:v>
                </c:pt>
                <c:pt idx="2">
                  <c:v>7.3</c:v>
                </c:pt>
              </c:numCache>
            </c:numRef>
          </c:xVal>
          <c:yVal>
            <c:numRef>
              <c:f>Circuito!$K$5:$K$7</c:f>
              <c:numCache>
                <c:formatCode>0.0000</c:formatCode>
                <c:ptCount val="3"/>
                <c:pt idx="0">
                  <c:v>4.0662434876970292E-3</c:v>
                </c:pt>
                <c:pt idx="1">
                  <c:v>8.7133789022079185E-3</c:v>
                </c:pt>
                <c:pt idx="2">
                  <c:v>1.0601277664352968E-2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3E-0A4A-BB15-4EBDD4A7D6D0}"/>
            </c:ext>
          </c:extLst>
        </c:ser>
        <c:ser>
          <c:idx val="2"/>
          <c:order val="2"/>
          <c:tx>
            <c:v>16-21 años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Circuito!$A$8:$A$10</c:f>
              <c:numCache>
                <c:formatCode>0.0</c:formatCode>
                <c:ptCount val="3"/>
                <c:pt idx="0">
                  <c:v>1.4</c:v>
                </c:pt>
                <c:pt idx="1">
                  <c:v>3</c:v>
                </c:pt>
                <c:pt idx="2">
                  <c:v>7.3</c:v>
                </c:pt>
              </c:numCache>
            </c:numRef>
          </c:xVal>
          <c:yVal>
            <c:numRef>
              <c:f>Circuito!$K$8:$K$10</c:f>
              <c:numCache>
                <c:formatCode>0.0000</c:formatCode>
                <c:ptCount val="3"/>
                <c:pt idx="0">
                  <c:v>4.3279787006982161E-3</c:v>
                </c:pt>
                <c:pt idx="1">
                  <c:v>9.2742400729247491E-3</c:v>
                </c:pt>
                <c:pt idx="2">
                  <c:v>1.1283658755391781E-2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E-0A4A-BB15-4EBDD4A7D6D0}"/>
            </c:ext>
          </c:extLst>
        </c:ser>
        <c:ser>
          <c:idx val="3"/>
          <c:order val="3"/>
          <c:tx>
            <c:v>21-60 anños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Circuito!$A$11:$A$13</c:f>
              <c:numCache>
                <c:formatCode>0.0</c:formatCode>
                <c:ptCount val="3"/>
                <c:pt idx="0">
                  <c:v>1.4</c:v>
                </c:pt>
                <c:pt idx="1">
                  <c:v>3</c:v>
                </c:pt>
                <c:pt idx="2">
                  <c:v>7.3</c:v>
                </c:pt>
              </c:numCache>
            </c:numRef>
          </c:xVal>
          <c:yVal>
            <c:numRef>
              <c:f>Circuito!$K$11:$K$13</c:f>
              <c:numCache>
                <c:formatCode>0.0000</c:formatCode>
                <c:ptCount val="3"/>
                <c:pt idx="0">
                  <c:v>4.4339191440558399E-3</c:v>
                </c:pt>
                <c:pt idx="1">
                  <c:v>9.5012553086910867E-3</c:v>
                </c:pt>
                <c:pt idx="2">
                  <c:v>1.1559860625574157E-2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3E-0A4A-BB15-4EBDD4A7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57856"/>
        <c:axId val="1486330160"/>
      </c:scatterChart>
      <c:valAx>
        <c:axId val="17959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486330160"/>
        <c:crosses val="autoZero"/>
        <c:crossBetween val="midCat"/>
      </c:valAx>
      <c:valAx>
        <c:axId val="1486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Flujo</a:t>
                </a:r>
                <a:r>
                  <a:rPr lang="en-US" baseline="0"/>
                  <a:t> de CO</a:t>
                </a:r>
                <a:r>
                  <a:rPr lang="en-US" baseline="-25000"/>
                  <a:t>2</a:t>
                </a:r>
                <a:r>
                  <a:rPr lang="en-US" baseline="0"/>
                  <a:t>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7959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14</xdr:row>
      <xdr:rowOff>12700</xdr:rowOff>
    </xdr:from>
    <xdr:to>
      <xdr:col>8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37BFA-428F-3315-3E27-774C3FA5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4AA12-2B51-1048-AA58-C894C6F8AF11}" name="Table1" displayName="Table1" ref="J30:K33" totalsRowShown="0" headerRowDxfId="60" dataDxfId="59">
  <autoFilter ref="J30:K33" xr:uid="{8EC4AA12-2B51-1048-AA58-C894C6F8AF11}"/>
  <tableColumns count="2">
    <tableColumn id="1" xr3:uid="{38DCE700-3CCB-344A-9236-89DA66043A60}" name="Tasas MET" dataDxfId="58"/>
    <tableColumn id="2" xr3:uid="{F9DAF800-E550-7340-ACA5-758C065C22AB}" name="Actividad" dataDxfId="57"/>
  </tableColumns>
  <tableStyleInfo name="TableStyleLight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3205D6-2529-9C47-97E9-F61E1ABA7D19}" name="Table6" displayName="Table6" ref="Q1:S4" totalsRowShown="0" headerRowDxfId="2">
  <autoFilter ref="Q1:S4" xr:uid="{FC3205D6-2529-9C47-97E9-F61E1ABA7D19}"/>
  <tableColumns count="3">
    <tableColumn id="1" xr3:uid="{4C68DB5D-0E15-BD43-BFC2-24194E7F6D23}" name="Tipo de Ambiente" dataDxfId="1"/>
    <tableColumn id="2" xr3:uid="{C88528FE-4E75-C84E-83AD-A1605272467D}" name="Tasa persona (l/s)" dataDxfId="0"/>
    <tableColumn id="3" xr3:uid="{77D36127-7666-3745-A60D-907BA99E23BE}" name="Tasa Ambiente (l/(s•m2))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EE062C-59AD-4543-BFAC-1DFE1E4E3C1F}" name="Table9" displayName="Table9" ref="Q8:R10" headerRowCount="0" totalsRowShown="0">
  <tableColumns count="2">
    <tableColumn id="1" xr3:uid="{7C90F95D-57AA-114A-99B6-4F88D5DEBCA0}" name="Column1"/>
    <tableColumn id="2" xr3:uid="{A21D1745-3E55-B247-B7F1-4F8524D35687}" name="Column2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E6929-8075-A145-969D-03F31C148194}" name="CO2_flow" displayName="CO2_flow" ref="A1:O13" totalsRowShown="0" headerRowDxfId="56">
  <autoFilter ref="A1:O13" xr:uid="{2F2E6929-8075-A145-969D-03F31C148194}"/>
  <tableColumns count="15">
    <tableColumn id="2" xr3:uid="{34DBFF77-6626-B740-A144-964316105582}" name="Tasa MET" dataDxfId="55"/>
    <tableColumn id="8" xr3:uid="{541541B9-6BFF-4643-829E-E347FF8FD23D}" name="Grupo Etario" dataDxfId="54"/>
    <tableColumn id="7" xr3:uid="{8E884760-64D2-9246-8776-A7369B7A7578}" name="Flujo M CO2 (l/s)" dataDxfId="53">
      <calculatedColumnFormula>K16*CO2_flow[[#This Row],[Tasa MET]]*($R$3/$R$2)*0.000179</calculatedColumnFormula>
    </tableColumn>
    <tableColumn id="3" xr3:uid="{9CE2F7C0-D133-074C-A4A2-0F65774D159C}" name="Flujo F CO2 (l/s)" dataDxfId="52"/>
    <tableColumn id="4" xr3:uid="{6FE5C472-C00E-9E46-85F5-C2AA5C3ED937}" name="Cantidad M" dataDxfId="51"/>
    <tableColumn id="6" xr3:uid="{1574523B-2007-5C4C-AB0A-8FC2E254437B}" name="Cantidad F" dataDxfId="50"/>
    <tableColumn id="5" xr3:uid="{2D4CE778-AD3D-BE42-8DFC-18F010D93C2F}" name="Flujo Total (l/s)" dataDxfId="49">
      <calculatedColumnFormula>(CO2_flow[[#This Row],[Flujo M CO2 (l/s)]]*CO2_flow[[#This Row],[Cantidad M]])+(CO2_flow[[#This Row],[Flujo F CO2 (l/s)]]*CO2_flow[[#This Row],[Cantidad F]])</calculatedColumnFormula>
    </tableColumn>
    <tableColumn id="15" xr3:uid="{7AD8152D-729C-6543-BCF0-880E743C772E}" name="Flujo Total (lpm)" dataDxfId="48">
      <calculatedColumnFormula>CO2_flow[[#This Row],[Flujo Total (l/s)]]*60</calculatedColumnFormula>
    </tableColumn>
    <tableColumn id="1" xr3:uid="{B4D43F22-8D53-FC4B-89A6-610B8DD622D1}" name="Flujo Total (m3/h)" dataDxfId="47">
      <calculatedColumnFormula>CO2_flow[[#This Row],[Flujo Total (l/s)]]*3.6</calculatedColumnFormula>
    </tableColumn>
    <tableColumn id="11" xr3:uid="{BF2B36A3-C306-004F-BB49-E90AEE8D912D}" name="Flujo Corregido (m3/h)" dataDxfId="46">
      <calculatedColumnFormula>0.04212*CO2_flow[[#This Row],[Flujo Total (m3/h)]]</calculatedColumnFormula>
    </tableColumn>
    <tableColumn id="13" xr3:uid="{8EF9F382-AEC2-0C43-8412-23AE9D41AD69}" name="Flujo Corregido (l/s)" dataDxfId="45">
      <calculatedColumnFormula>CO2_flow[[#This Row],[Flujo Corregido (m3/h)]]/3.6</calculatedColumnFormula>
    </tableColumn>
    <tableColumn id="14" xr3:uid="{B8A54AD9-4901-E84C-BCE2-DC8BB3B02C2D}" name="Flujo Corregido (lpm)" dataDxfId="44">
      <calculatedColumnFormula>CO2_flow[[#This Row],[Flujo Corregido (l/s)]]*60</calculatedColumnFormula>
    </tableColumn>
    <tableColumn id="10" xr3:uid="{CF8A22ED-C2C7-514C-A7B6-CD73E862B77E}" name="Velocidad CO2 (m/s)" dataDxfId="43">
      <calculatedColumnFormula>0.001*CO2_flow[[#This Row],[Flujo Corregido (l/s)]]/$R$5</calculatedColumnFormula>
    </tableColumn>
    <tableColumn id="9" xr3:uid="{B2A41B9A-25E9-294D-B2E5-293BA8C213FD}" name="Presión Total (kPa)" dataDxfId="42">
      <calculatedColumnFormula>((((CO2_flow[[#This Row],[Velocidad CO2 (m/s)]]^2)*$R$6)/2)+($R$2*0.000102))*9806.65</calculatedColumnFormula>
    </tableColumn>
    <tableColumn id="12" xr3:uid="{0A82CB72-5C8F-B84C-BA7F-CD6F496FD05C}" name="Presión Total (MPa)" dataDxfId="41">
      <calculatedColumnFormula>CO2_flow[[#This Row],[Presión Total (kPa)]]/1000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3B0F3E-E852-454C-AC11-38F577CE8B99}" name="Table3" displayName="Table3" ref="J15:K23" totalsRowShown="0" headerRowDxfId="40">
  <autoFilter ref="J15:K23" xr:uid="{073B0F3E-E852-454C-AC11-38F577CE8B99}"/>
  <tableColumns count="2">
    <tableColumn id="1" xr3:uid="{E0E19197-5573-AE4D-A44C-634AA9C48853}" name="Grupo Etario"/>
    <tableColumn id="2" xr3:uid="{43BA6697-5DF4-1F4A-8D46-8A9AC0380BFE}" name="BRM (Tasa Metabólica Basal)" dataDxfId="3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4F21AF-EF51-8B48-BD82-760CBFE16F26}" name="Constants" displayName="Constants" ref="Q2:R6" headerRowCount="0" totalsRowShown="0">
  <tableColumns count="2">
    <tableColumn id="1" xr3:uid="{68CC8E44-05C9-0243-8AA0-A5246A79BDE6}" name="Temperatura"/>
    <tableColumn id="2" xr3:uid="{DA27A73C-5D34-014C-9FD4-8325AD05714B}" name="Column1" dataDxfId="38"/>
  </tableColumns>
  <tableStyleInfo name="TableStyleLight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544A3-0FB7-934C-9BF2-6A5D26E8DB69}" name="Table7" displayName="Table7" ref="Q8:R10" headerRowCount="0" totalsRowShown="0">
  <tableColumns count="2">
    <tableColumn id="1" xr3:uid="{93B9D3AA-676B-B441-8088-038345F61389}" name="Column1"/>
    <tableColumn id="2" xr3:uid="{05A114B0-6246-6048-93DF-8B5C0A2BBA75}" name="Column2" headerRowDxfId="37" dataDxfId="36"/>
  </tableColumns>
  <tableStyleInfo name="TableStyleLight20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395B21-B27C-8848-8207-4A009762CF80}" name="Table8" displayName="Table8" ref="N15:O28" totalsRowCount="1" headerRowDxfId="35">
  <autoFilter ref="N15:O27" xr:uid="{3F395B21-B27C-8848-8207-4A009762CF80}"/>
  <tableColumns count="2">
    <tableColumn id="1" xr3:uid="{1504A87E-824C-7F47-B3A6-BBE45B7E3833}" name="Nivel de Actividad" totalsRowLabel="Total" dataDxfId="34" totalsRowDxfId="33"/>
    <tableColumn id="2" xr3:uid="{CA5762AE-7245-984A-9803-152ECF97D3C9}" name="Ventilación" totalsRowFunction="count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FADB1F-0BEA-B947-A4B6-A0121B9416BE}" name="Table10" displayName="Table10" ref="A1:L3" totalsRowShown="0" headerRowDxfId="32">
  <autoFilter ref="A1:L3" xr:uid="{55FADB1F-0BEA-B947-A4B6-A0121B9416BE}"/>
  <tableColumns count="12">
    <tableColumn id="1" xr3:uid="{2A7A80B3-251F-B74B-87C8-C2832790DB44}" name="Column1"/>
    <tableColumn id="2" xr3:uid="{BFC26AE7-2EC8-674B-B7F7-5D6A5AD23C79}" name="Largo (m)" dataDxfId="31"/>
    <tableColumn id="3" xr3:uid="{672AC7EB-8431-A04C-859A-58AB62971B1B}" name="Ancho (m)" dataDxfId="30"/>
    <tableColumn id="6" xr3:uid="{2B0DC90D-FCC8-0647-B45C-FB1D5B02D883}" name="Area (m)" dataDxfId="29">
      <calculatedColumnFormula>Table10[[#This Row],[Ancho (m)]]*Table10[[#This Row],[Largo (m)]]</calculatedColumnFormula>
    </tableColumn>
    <tableColumn id="4" xr3:uid="{E431963F-4F42-F142-BB29-9DCC7B066F24}" name="Alto (m)" dataDxfId="28"/>
    <tableColumn id="5" xr3:uid="{682C6687-DBA9-EC44-9321-003A65966A46}" name="Volumen (m3)" dataDxfId="27"/>
    <tableColumn id="7" xr3:uid="{438CFB08-61A2-F347-8FAA-559EB644D753}" name="Longitud Característica (m)" dataDxfId="26">
      <calculatedColumnFormula>2*Table10[[#This Row],[Ancho (m)]]*Table10[[#This Row],[Largo (m)]]/(Table10[[#This Row],[Ancho (m)]]+Table10[[#This Row],[Largo (m)]])</calculatedColumnFormula>
    </tableColumn>
    <tableColumn id="12" xr3:uid="{E56F6158-018B-2944-AD6C-B4317C7CF662}" name="Flujo máx (m3/h)" dataDxfId="25"/>
    <tableColumn id="9" xr3:uid="{3877B792-C5A6-E74C-9265-9EB83C93BA46}" name="Flujo máx (m3/s)" dataDxfId="24"/>
    <tableColumn id="10" xr3:uid="{84A18644-ABB4-104D-8AFD-59A6C902391A}" name="Velocidad (m/s)" dataDxfId="23"/>
    <tableColumn id="11" xr3:uid="{2F129921-94C8-C74B-BC01-91258263C165}" name="Número de Peclet (-)" dataDxfId="22"/>
    <tableColumn id="13" xr3:uid="{BD5FBA3A-DD6E-3045-B611-55A875855024}" name="Número de Reynolds (-)" dataDxfId="21"/>
  </tableColumns>
  <tableStyleInfo name="TableStyleLight1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6C48C5-0478-D044-8E47-8F29525AB9BB}" name="Table11" displayName="Table11" ref="A8:B10" headerRowCount="0" totalsRowShown="0" headerRowDxfId="20" dataDxfId="19">
  <tableColumns count="2">
    <tableColumn id="1" xr3:uid="{B337359E-B1EA-7A45-B853-DBBEC9D41B4C}" name="Column1" dataDxfId="18"/>
    <tableColumn id="2" xr3:uid="{B57B1373-9A51-C34F-85A9-1159C305F16C}" name="Column2" headerRowDxfId="17" dataDxfId="16">
      <calculatedColumnFormula>16/(1000^2)</calculatedColumnFormula>
    </tableColumn>
  </tableColumns>
  <tableStyleInfo name="TableStyleLight18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A370BA-2699-5C42-9ACB-1986B73D2062}" name="Table5" displayName="Table5" ref="A1:O16" totalsRowShown="0" headerRowDxfId="15">
  <autoFilter ref="A1:O16" xr:uid="{81A370BA-2699-5C42-9ACB-1986B73D2062}"/>
  <tableColumns count="15">
    <tableColumn id="6" xr3:uid="{710B521D-775C-B947-9233-6DAD293E7BAE}" name="Tipo de Ambiente" dataDxfId="14"/>
    <tableColumn id="1" xr3:uid="{35DED198-8875-1048-8A1C-6AD3D08C0007}" name="Area (m2)">
      <calculatedColumnFormula>3.6*2.4</calculatedColumnFormula>
    </tableColumn>
    <tableColumn id="3" xr3:uid="{44C02D63-604E-9248-9F53-5CD95D6B3584}" name="Aforo"/>
    <tableColumn id="5" xr3:uid="{E7A3186F-CFC6-F04B-9B4B-BD0CA4CEB669}" name="Flujo ASHRAE ocupantes (l/s)"/>
    <tableColumn id="4" xr3:uid="{E7874DCA-2F97-EA4C-8140-BE4FF4C6D796}" name="Flujo ASHRAE ambiente (l/s)" dataDxfId="13">
      <calculatedColumnFormula>Table5[[#This Row],[Area (m2)]]*S$2</calculatedColumnFormula>
    </tableColumn>
    <tableColumn id="7" xr3:uid="{D77512E9-5D6C-4A44-A327-CF34B9B08273}" name="Flujo total ASHRAE (l/s)" dataDxfId="12">
      <calculatedColumnFormula>Table5[[#This Row],[Flujo ASHRAE ambiente (l/s)]]+Table5[[#This Row],[Flujo ASHRAE ocupantes (l/s)]]</calculatedColumnFormula>
    </tableColumn>
    <tableColumn id="8" xr3:uid="{6479F568-73F3-D846-8DE5-568FF97B7B89}" name="Flujo real ASHRAE (m3/h)" dataDxfId="11">
      <calculatedColumnFormula>3.6*Table5[[#This Row],[Flujo total ASHRAE (l/s)]]</calculatedColumnFormula>
    </tableColumn>
    <tableColumn id="2" xr3:uid="{4E6F4C00-DE72-F546-BDFE-5A59E267332F}" name="Flujo real ASHRAE (m3/s)" dataDxfId="10">
      <calculatedColumnFormula>Table5[[#This Row],[Flujo real ASHRAE (m3/h)]]/3600</calculatedColumnFormula>
    </tableColumn>
    <tableColumn id="9" xr3:uid="{698BB195-7E79-DD47-888D-8DF4902F890E}" name="Area del ducto (m2)" dataDxfId="9">
      <calculatedColumnFormula>Table5[[#This Row],[Flujo real ASHRAE (m3/s)]]/$R$8</calculatedColumnFormula>
    </tableColumn>
    <tableColumn id="12" xr3:uid="{0D913F90-5C54-AF42-B612-A21E4F1E57D7}" name="Lado de Ducto (m)" dataDxfId="8">
      <calculatedColumnFormula>SQRT(Table5[[#This Row],[Area del ducto (m2)]])</calculatedColumnFormula>
    </tableColumn>
    <tableColumn id="11" xr3:uid="{51AA24D5-3759-3B4D-B4F4-261CE8475F18}" name="Reynolds (-)" dataDxfId="7">
      <calculatedColumnFormula>$R$8*Table5[[#This Row],[Lado de Ducto (m)]]/$R$9</calculatedColumnFormula>
    </tableColumn>
    <tableColumn id="13" xr3:uid="{155D63E1-D6E1-644B-9490-D9633710070F}" name="Velocidad de aire en modelo (m/s)" dataDxfId="6">
      <calculatedColumnFormula>Table5[[#This Row],[Reynolds (-)]]*$R$9/$R$10</calculatedColumnFormula>
    </tableColumn>
    <tableColumn id="14" xr3:uid="{10E2222A-4C5D-984C-9D05-4E64CDF2D431}" name="Flujo modelo ASHRAE (m3/s)" dataDxfId="5">
      <calculatedColumnFormula>Table5[[#This Row],[Velocidad de aire en modelo (m/s)]]*$R$10^2</calculatedColumnFormula>
    </tableColumn>
    <tableColumn id="15" xr3:uid="{97C8C4AB-6B5E-5345-BD4A-63D02070188D}" name="Flujo modelo ASHRAE (m3/h)" dataDxfId="4">
      <calculatedColumnFormula>Table5[[#This Row],[Flujo modelo ASHRAE (m3/s)]]*3600</calculatedColumnFormula>
    </tableColumn>
    <tableColumn id="16" xr3:uid="{80E77A58-EF4A-E143-8E3A-6D548C43D9C8}" name="Flujo modelo ASHRAE (cfm)" dataDxfId="3">
      <calculatedColumnFormula>Table5[[#This Row],[Flujo modelo ASHRAE (m3/h)]]*0.58857777021102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uvbox">
      <a:dk1>
        <a:srgbClr val="282828"/>
      </a:dk1>
      <a:lt1>
        <a:srgbClr val="FCFCFC"/>
      </a:lt1>
      <a:dk2>
        <a:srgbClr val="282828"/>
      </a:dk2>
      <a:lt2>
        <a:srgbClr val="FCFCFC"/>
      </a:lt2>
      <a:accent1>
        <a:srgbClr val="458588"/>
      </a:accent1>
      <a:accent2>
        <a:srgbClr val="FB4934"/>
      </a:accent2>
      <a:accent3>
        <a:srgbClr val="B8BB26"/>
      </a:accent3>
      <a:accent4>
        <a:srgbClr val="B16186"/>
      </a:accent4>
      <a:accent5>
        <a:srgbClr val="FABD2F"/>
      </a:accent5>
      <a:accent6>
        <a:srgbClr val="FE8019"/>
      </a:accent6>
      <a:hlink>
        <a:srgbClr val="8EC07C"/>
      </a:hlink>
      <a:folHlink>
        <a:srgbClr val="A89983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45D3-17BD-3648-809D-789E78776138}">
  <dimension ref="A1:R33"/>
  <sheetViews>
    <sheetView workbookViewId="0">
      <selection activeCell="R4" sqref="R4"/>
    </sheetView>
  </sheetViews>
  <sheetFormatPr baseColWidth="10" defaultRowHeight="16" x14ac:dyDescent="0.2"/>
  <cols>
    <col min="2" max="2" width="13.83203125" style="2" bestFit="1" customWidth="1"/>
    <col min="3" max="3" width="10.6640625" customWidth="1"/>
    <col min="4" max="4" width="11.6640625" customWidth="1"/>
    <col min="5" max="5" width="11" customWidth="1"/>
    <col min="6" max="6" width="12.5" bestFit="1" customWidth="1"/>
    <col min="7" max="9" width="10.1640625" customWidth="1"/>
    <col min="10" max="10" width="12.5" customWidth="1"/>
    <col min="11" max="12" width="16.33203125" customWidth="1"/>
    <col min="13" max="13" width="15.5" customWidth="1"/>
    <col min="14" max="14" width="12.6640625" customWidth="1"/>
    <col min="15" max="15" width="17.6640625" customWidth="1"/>
    <col min="16" max="16" width="8" customWidth="1"/>
    <col min="17" max="17" width="30.1640625" bestFit="1" customWidth="1"/>
    <col min="18" max="18" width="10.5" customWidth="1"/>
    <col min="21" max="21" width="18" bestFit="1" customWidth="1"/>
  </cols>
  <sheetData>
    <row r="1" spans="1:18" s="7" customFormat="1" ht="51" x14ac:dyDescent="0.2">
      <c r="A1" s="7" t="s">
        <v>0</v>
      </c>
      <c r="B1" s="8" t="s">
        <v>7</v>
      </c>
      <c r="C1" s="7" t="s">
        <v>18</v>
      </c>
      <c r="D1" s="7" t="s">
        <v>19</v>
      </c>
      <c r="E1" s="7" t="s">
        <v>16</v>
      </c>
      <c r="F1" s="7" t="s">
        <v>17</v>
      </c>
      <c r="G1" s="7" t="s">
        <v>27</v>
      </c>
      <c r="H1" s="7" t="s">
        <v>33</v>
      </c>
      <c r="I1" s="7" t="s">
        <v>55</v>
      </c>
      <c r="J1" s="7" t="s">
        <v>56</v>
      </c>
      <c r="K1" s="7" t="s">
        <v>57</v>
      </c>
      <c r="L1" s="7" t="s">
        <v>58</v>
      </c>
      <c r="M1" s="7" t="s">
        <v>31</v>
      </c>
      <c r="N1" s="7" t="s">
        <v>26</v>
      </c>
      <c r="O1" s="7" t="s">
        <v>32</v>
      </c>
    </row>
    <row r="2" spans="1:18" x14ac:dyDescent="0.2">
      <c r="A2" s="5">
        <v>1.4</v>
      </c>
      <c r="B2" s="4" t="s">
        <v>22</v>
      </c>
      <c r="C2" s="3">
        <f>$K$16*CO2_flow[[#This Row],[Tasa MET]]*($R$3/$R$2)*0.000179</f>
        <v>3.8023984613861374E-3</v>
      </c>
      <c r="D2" s="3">
        <f>$K$20*CO2_flow[[#This Row],[Tasa MET]]*($R$3/$R$2)*0.000179</f>
        <v>3.4990943039603958E-3</v>
      </c>
      <c r="E2" s="6">
        <v>10</v>
      </c>
      <c r="F2" s="6">
        <v>10</v>
      </c>
      <c r="G2" s="3">
        <f>(CO2_flow[[#This Row],[Flujo M CO2 (l/s)]]*CO2_flow[[#This Row],[Cantidad M]])+(CO2_flow[[#This Row],[Flujo F CO2 (l/s)]]*CO2_flow[[#This Row],[Cantidad F]])</f>
        <v>7.3014927653465331E-2</v>
      </c>
      <c r="H2" s="3">
        <f>CO2_flow[[#This Row],[Flujo Total (l/s)]]*60</f>
        <v>4.38089565920792</v>
      </c>
      <c r="I2" s="3">
        <f>CO2_flow[[#This Row],[Flujo Total (l/s)]]*3.6</f>
        <v>0.26285373955247521</v>
      </c>
      <c r="J2" s="3">
        <f>0.04212*CO2_flow[[#This Row],[Flujo Total (m3/h)]]</f>
        <v>1.1071399509950255E-2</v>
      </c>
      <c r="K2" s="3">
        <f>CO2_flow[[#This Row],[Flujo Corregido (m3/h)]]/3.6</f>
        <v>3.0753887527639598E-3</v>
      </c>
      <c r="L2" s="3">
        <f>CO2_flow[[#This Row],[Flujo Corregido (l/s)]]*60</f>
        <v>0.18452332516583758</v>
      </c>
      <c r="M2" s="3">
        <f>0.001*CO2_flow[[#This Row],[Flujo Corregido (l/s)]]/$R$5</f>
        <v>0.24473166096580154</v>
      </c>
      <c r="N2" s="9">
        <f>((((CO2_flow[[#This Row],[Velocidad CO2 (m/s)]]^2)*$R$6)/2)+($R$2*0.000102))*9806.65</f>
        <v>682.50998792146925</v>
      </c>
      <c r="O2" s="1">
        <f>CO2_flow[[#This Row],[Presión Total (kPa)]]/1000</f>
        <v>0.68250998792146922</v>
      </c>
      <c r="Q2" t="s">
        <v>20</v>
      </c>
      <c r="R2">
        <v>101</v>
      </c>
    </row>
    <row r="3" spans="1:18" x14ac:dyDescent="0.2">
      <c r="A3" s="5">
        <v>3</v>
      </c>
      <c r="B3" s="4" t="s">
        <v>22</v>
      </c>
      <c r="C3" s="3">
        <f>$K$16*CO2_flow[[#This Row],[Tasa MET]]*($R$3/$R$2)*0.000179</f>
        <v>8.1479967029702942E-3</v>
      </c>
      <c r="D3" s="3">
        <f>$K$20*CO2_flow[[#This Row],[Tasa MET]]*($R$3/$R$2)*0.000179</f>
        <v>7.4980592227722768E-3</v>
      </c>
      <c r="E3" s="6">
        <v>10</v>
      </c>
      <c r="F3" s="6">
        <v>10</v>
      </c>
      <c r="G3" s="3">
        <f>(CO2_flow[[#This Row],[Flujo M CO2 (l/s)]]*CO2_flow[[#This Row],[Cantidad M]])+(CO2_flow[[#This Row],[Flujo F CO2 (l/s)]]*CO2_flow[[#This Row],[Cantidad F]])</f>
        <v>0.15646055925742572</v>
      </c>
      <c r="H3" s="3">
        <f>CO2_flow[[#This Row],[Flujo Total (l/s)]]*60</f>
        <v>9.387633555445543</v>
      </c>
      <c r="I3" s="3">
        <f>CO2_flow[[#This Row],[Flujo Total (l/s)]]*3.6</f>
        <v>0.56325801332673264</v>
      </c>
      <c r="J3" s="3">
        <f>0.04212*CO2_flow[[#This Row],[Flujo Total (m3/h)]]</f>
        <v>2.3724427521321978E-2</v>
      </c>
      <c r="K3" s="3">
        <f>CO2_flow[[#This Row],[Flujo Corregido (m3/h)]]/3.6</f>
        <v>6.5901187559227713E-3</v>
      </c>
      <c r="L3" s="3">
        <f>CO2_flow[[#This Row],[Flujo Corregido (l/s)]]*60</f>
        <v>0.39540712535536626</v>
      </c>
      <c r="M3" s="3">
        <f>0.001*CO2_flow[[#This Row],[Flujo Corregido (l/s)]]/$R$5</f>
        <v>0.52442498778386049</v>
      </c>
      <c r="N3" s="9">
        <f>((((CO2_flow[[#This Row],[Velocidad CO2 (m/s)]]^2)*$R$6)/2)+($R$2*0.000102))*9806.65</f>
        <v>2771.0979637047067</v>
      </c>
      <c r="O3" s="1">
        <f>CO2_flow[[#This Row],[Presión Total (kPa)]]/1000</f>
        <v>2.7710979637047068</v>
      </c>
      <c r="Q3" t="s">
        <v>21</v>
      </c>
      <c r="R3">
        <v>298.14999999999998</v>
      </c>
    </row>
    <row r="4" spans="1:18" x14ac:dyDescent="0.2">
      <c r="A4" s="5">
        <v>7.3</v>
      </c>
      <c r="B4" s="4" t="s">
        <v>22</v>
      </c>
      <c r="C4" s="3">
        <f>$K$16*CO2_flow[[#This Row],[Tasa MET]]*($R$3/$R$2)*0.000179</f>
        <v>1.9826791977227719E-2</v>
      </c>
      <c r="D4" s="3">
        <f>$K$20*CO2_flow[[#This Row],[Tasa MET]]*($R$3/$R$2)*0.000179</f>
        <v>1.8245277442079207E-2</v>
      </c>
      <c r="E4" s="6">
        <v>5</v>
      </c>
      <c r="F4" s="6">
        <v>5</v>
      </c>
      <c r="G4" s="3">
        <f>(CO2_flow[[#This Row],[Flujo M CO2 (l/s)]]*CO2_flow[[#This Row],[Cantidad M]])+(CO2_flow[[#This Row],[Flujo F CO2 (l/s)]]*CO2_flow[[#This Row],[Cantidad F]])</f>
        <v>0.19036034709653465</v>
      </c>
      <c r="H4" s="3">
        <f>CO2_flow[[#This Row],[Flujo Total (l/s)]]*60</f>
        <v>11.421620825792079</v>
      </c>
      <c r="I4" s="3">
        <f>CO2_flow[[#This Row],[Flujo Total (l/s)]]*3.6</f>
        <v>0.6852972495475248</v>
      </c>
      <c r="J4" s="3">
        <f>0.04212*CO2_flow[[#This Row],[Flujo Total (m3/h)]]</f>
        <v>2.8864720150941742E-2</v>
      </c>
      <c r="K4" s="3">
        <f>CO2_flow[[#This Row],[Flujo Corregido (m3/h)]]/3.6</f>
        <v>8.0179778197060399E-3</v>
      </c>
      <c r="L4" s="3">
        <f>CO2_flow[[#This Row],[Flujo Corregido (l/s)]]*60</f>
        <v>0.48107866918236242</v>
      </c>
      <c r="M4" s="3">
        <f>0.001*CO2_flow[[#This Row],[Flujo Corregido (l/s)]]/$R$5</f>
        <v>0.63805040180369699</v>
      </c>
      <c r="N4" s="9">
        <f>((((CO2_flow[[#This Row],[Velocidad CO2 (m/s)]]^2)*$R$6)/2)+($R$2*0.000102))*9806.65</f>
        <v>4053.4731803699124</v>
      </c>
      <c r="O4" s="1">
        <f>CO2_flow[[#This Row],[Presión Total (kPa)]]/1000</f>
        <v>4.0534731803699122</v>
      </c>
      <c r="Q4" t="s">
        <v>28</v>
      </c>
      <c r="R4">
        <f>0.004</f>
        <v>4.0000000000000001E-3</v>
      </c>
    </row>
    <row r="5" spans="1:18" x14ac:dyDescent="0.2">
      <c r="A5" s="5">
        <v>1.4</v>
      </c>
      <c r="B5" s="4" t="s">
        <v>23</v>
      </c>
      <c r="C5" s="3">
        <f>$K$17*CO2_flow[[#This Row],[Tasa MET]]*($R$3/$R$2)*0.000179</f>
        <v>5.1931589881188105E-3</v>
      </c>
      <c r="D5" s="3">
        <f>$K$21*CO2_flow[[#This Row],[Tasa MET]]*($R$3/$R$2)*0.000179</f>
        <v>4.4607904128712867E-3</v>
      </c>
      <c r="E5" s="6">
        <v>10</v>
      </c>
      <c r="F5" s="6">
        <v>10</v>
      </c>
      <c r="G5" s="3">
        <f>(CO2_flow[[#This Row],[Flujo M CO2 (l/s)]]*CO2_flow[[#This Row],[Cantidad M]])+(CO2_flow[[#This Row],[Flujo F CO2 (l/s)]]*CO2_flow[[#This Row],[Cantidad F]])</f>
        <v>9.6539494009900972E-2</v>
      </c>
      <c r="H5" s="3">
        <f>CO2_flow[[#This Row],[Flujo Total (l/s)]]*60</f>
        <v>5.7923696405940586</v>
      </c>
      <c r="I5" s="3">
        <f>CO2_flow[[#This Row],[Flujo Total (l/s)]]*3.6</f>
        <v>0.3475421784356435</v>
      </c>
      <c r="J5" s="3">
        <f>0.04212*CO2_flow[[#This Row],[Flujo Total (m3/h)]]</f>
        <v>1.4638476555709304E-2</v>
      </c>
      <c r="K5" s="3">
        <f>CO2_flow[[#This Row],[Flujo Corregido (m3/h)]]/3.6</f>
        <v>4.0662434876970292E-3</v>
      </c>
      <c r="L5" s="3">
        <f>CO2_flow[[#This Row],[Flujo Corregido (l/s)]]*60</f>
        <v>0.24397460926182174</v>
      </c>
      <c r="M5" s="3">
        <f>0.001*CO2_flow[[#This Row],[Flujo Corregido (l/s)]]/$R$5</f>
        <v>0.32358137544110538</v>
      </c>
      <c r="N5" s="9">
        <f>((((CO2_flow[[#This Row],[Velocidad CO2 (m/s)]]^2)*$R$6)/2)+($R$2*0.000102))*9806.65</f>
        <v>1117.5644362290891</v>
      </c>
      <c r="O5" s="1">
        <f>CO2_flow[[#This Row],[Presión Total (kPa)]]/1000</f>
        <v>1.1175644362290891</v>
      </c>
      <c r="Q5" t="s">
        <v>29</v>
      </c>
      <c r="R5">
        <f>PI()*(R4/2)^2</f>
        <v>1.2566370614359172E-5</v>
      </c>
    </row>
    <row r="6" spans="1:18" x14ac:dyDescent="0.2">
      <c r="A6" s="5">
        <v>3</v>
      </c>
      <c r="B6" s="4" t="s">
        <v>23</v>
      </c>
      <c r="C6" s="3">
        <f>$K$17*CO2_flow[[#This Row],[Tasa MET]]*($R$3/$R$2)*0.000179</f>
        <v>1.1128197831683166E-2</v>
      </c>
      <c r="D6" s="3">
        <f>$K$21*CO2_flow[[#This Row],[Tasa MET]]*($R$3/$R$2)*0.000179</f>
        <v>9.5588365990099001E-3</v>
      </c>
      <c r="E6" s="6">
        <v>10</v>
      </c>
      <c r="F6" s="6">
        <v>10</v>
      </c>
      <c r="G6" s="3">
        <f>(CO2_flow[[#This Row],[Flujo M CO2 (l/s)]]*CO2_flow[[#This Row],[Cantidad M]])+(CO2_flow[[#This Row],[Flujo F CO2 (l/s)]]*CO2_flow[[#This Row],[Cantidad F]])</f>
        <v>0.20687034430693066</v>
      </c>
      <c r="H6" s="3">
        <f>CO2_flow[[#This Row],[Flujo Total (l/s)]]*60</f>
        <v>12.412220658415839</v>
      </c>
      <c r="I6" s="3">
        <f>CO2_flow[[#This Row],[Flujo Total (l/s)]]*3.6</f>
        <v>0.74473323950495041</v>
      </c>
      <c r="J6" s="3">
        <f>0.04212*CO2_flow[[#This Row],[Flujo Total (m3/h)]]</f>
        <v>3.136816404794851E-2</v>
      </c>
      <c r="K6" s="3">
        <f>CO2_flow[[#This Row],[Flujo Corregido (m3/h)]]/3.6</f>
        <v>8.7133789022079185E-3</v>
      </c>
      <c r="L6" s="3">
        <f>CO2_flow[[#This Row],[Flujo Corregido (l/s)]]*60</f>
        <v>0.52280273413247513</v>
      </c>
      <c r="M6" s="3">
        <f>0.001*CO2_flow[[#This Row],[Flujo Corregido (l/s)]]/$R$5</f>
        <v>0.69338866165951141</v>
      </c>
      <c r="N6" s="9">
        <f>((((CO2_flow[[#This Row],[Velocidad CO2 (m/s)]]^2)*$R$6)/2)+($R$2*0.000102))*9806.65</f>
        <v>4768.7969610356113</v>
      </c>
      <c r="O6" s="1">
        <f>CO2_flow[[#This Row],[Presión Total (kPa)]]/1000</f>
        <v>4.7687969610356111</v>
      </c>
      <c r="Q6" t="s">
        <v>30</v>
      </c>
      <c r="R6">
        <v>1.98</v>
      </c>
    </row>
    <row r="7" spans="1:18" x14ac:dyDescent="0.2">
      <c r="A7" s="5">
        <v>7.3</v>
      </c>
      <c r="B7" s="4" t="s">
        <v>23</v>
      </c>
      <c r="C7" s="3">
        <f>$K$17*CO2_flow[[#This Row],[Tasa MET]]*($R$3/$R$2)*0.000179</f>
        <v>2.707861472376237E-2</v>
      </c>
      <c r="D7" s="3">
        <f>$K$21*CO2_flow[[#This Row],[Tasa MET]]*($R$3/$R$2)*0.000179</f>
        <v>2.3259835724257421E-2</v>
      </c>
      <c r="E7" s="6">
        <v>5</v>
      </c>
      <c r="F7" s="6">
        <v>5</v>
      </c>
      <c r="G7" s="3">
        <f>(CO2_flow[[#This Row],[Flujo M CO2 (l/s)]]*CO2_flow[[#This Row],[Cantidad M]])+(CO2_flow[[#This Row],[Flujo F CO2 (l/s)]]*CO2_flow[[#This Row],[Cantidad F]])</f>
        <v>0.25169225224009895</v>
      </c>
      <c r="H7" s="3">
        <f>CO2_flow[[#This Row],[Flujo Total (l/s)]]*60</f>
        <v>15.101535134405937</v>
      </c>
      <c r="I7" s="3">
        <f>CO2_flow[[#This Row],[Flujo Total (l/s)]]*3.6</f>
        <v>0.90609210806435625</v>
      </c>
      <c r="J7" s="3">
        <f>0.04212*CO2_flow[[#This Row],[Flujo Total (m3/h)]]</f>
        <v>3.8164599591670685E-2</v>
      </c>
      <c r="K7" s="3">
        <f>CO2_flow[[#This Row],[Flujo Corregido (m3/h)]]/3.6</f>
        <v>1.0601277664352968E-2</v>
      </c>
      <c r="L7" s="3">
        <f>CO2_flow[[#This Row],[Flujo Corregido (l/s)]]*60</f>
        <v>0.63607665986117801</v>
      </c>
      <c r="M7" s="3">
        <f>0.001*CO2_flow[[#This Row],[Flujo Corregido (l/s)]]/$R$5</f>
        <v>0.84362287168573902</v>
      </c>
      <c r="N7" s="9">
        <f>((((CO2_flow[[#This Row],[Velocidad CO2 (m/s)]]^2)*$R$6)/2)+($R$2*0.000102))*9806.65</f>
        <v>7010.6226128078015</v>
      </c>
      <c r="O7" s="1">
        <f>CO2_flow[[#This Row],[Presión Total (kPa)]]/1000</f>
        <v>7.0106226128078015</v>
      </c>
    </row>
    <row r="8" spans="1:18" x14ac:dyDescent="0.2">
      <c r="A8" s="5">
        <v>1.4</v>
      </c>
      <c r="B8" s="4" t="s">
        <v>24</v>
      </c>
      <c r="C8" s="3">
        <f>$K$18*CO2_flow[[#This Row],[Tasa MET]]*($R$3/$R$2)*0.000179</f>
        <v>5.7479836663366316E-3</v>
      </c>
      <c r="D8" s="3">
        <f>$K$22*CO2_flow[[#This Row],[Tasa MET]]*($R$3/$R$2)*0.000179</f>
        <v>4.5273693742574244E-3</v>
      </c>
      <c r="E8" s="6">
        <v>10</v>
      </c>
      <c r="F8" s="6">
        <v>10</v>
      </c>
      <c r="G8" s="3">
        <f>(CO2_flow[[#This Row],[Flujo M CO2 (l/s)]]*CO2_flow[[#This Row],[Cantidad M]])+(CO2_flow[[#This Row],[Flujo F CO2 (l/s)]]*CO2_flow[[#This Row],[Cantidad F]])</f>
        <v>0.10275353040594055</v>
      </c>
      <c r="H8" s="3">
        <f>CO2_flow[[#This Row],[Flujo Total (l/s)]]*60</f>
        <v>6.1652118243564331</v>
      </c>
      <c r="I8" s="3">
        <f>CO2_flow[[#This Row],[Flujo Total (l/s)]]*3.6</f>
        <v>0.36991270946138599</v>
      </c>
      <c r="J8" s="3">
        <f>0.04212*CO2_flow[[#This Row],[Flujo Total (m3/h)]]</f>
        <v>1.5580723322513578E-2</v>
      </c>
      <c r="K8" s="3">
        <f>CO2_flow[[#This Row],[Flujo Corregido (m3/h)]]/3.6</f>
        <v>4.3279787006982161E-3</v>
      </c>
      <c r="L8" s="3">
        <f>CO2_flow[[#This Row],[Flujo Corregido (l/s)]]*60</f>
        <v>0.25967872204189296</v>
      </c>
      <c r="M8" s="3">
        <f>0.001*CO2_flow[[#This Row],[Flujo Corregido (l/s)]]/$R$5</f>
        <v>0.34440960190627989</v>
      </c>
      <c r="N8" s="9">
        <f>((((CO2_flow[[#This Row],[Velocidad CO2 (m/s)]]^2)*$R$6)/2)+($R$2*0.000102))*9806.65</f>
        <v>1252.6406123656932</v>
      </c>
      <c r="O8" s="1">
        <f>CO2_flow[[#This Row],[Presión Total (kPa)]]/1000</f>
        <v>1.2526406123656932</v>
      </c>
      <c r="Q8" t="s">
        <v>50</v>
      </c>
      <c r="R8" s="1">
        <v>3</v>
      </c>
    </row>
    <row r="9" spans="1:18" x14ac:dyDescent="0.2">
      <c r="A9" s="5">
        <v>3</v>
      </c>
      <c r="B9" s="4" t="s">
        <v>24</v>
      </c>
      <c r="C9" s="3">
        <f>$K$18*CO2_flow[[#This Row],[Tasa MET]]*($R$3/$R$2)*0.000179</f>
        <v>1.231710785643564E-2</v>
      </c>
      <c r="D9" s="3">
        <f>$K$22*CO2_flow[[#This Row],[Tasa MET]]*($R$3/$R$2)*0.000179</f>
        <v>9.7015058019801967E-3</v>
      </c>
      <c r="E9" s="6">
        <v>10</v>
      </c>
      <c r="F9" s="6">
        <v>10</v>
      </c>
      <c r="G9" s="3">
        <f>(CO2_flow[[#This Row],[Flujo M CO2 (l/s)]]*CO2_flow[[#This Row],[Cantidad M]])+(CO2_flow[[#This Row],[Flujo F CO2 (l/s)]]*CO2_flow[[#This Row],[Cantidad F]])</f>
        <v>0.22018613658415837</v>
      </c>
      <c r="H9" s="3">
        <f>CO2_flow[[#This Row],[Flujo Total (l/s)]]*60</f>
        <v>13.211168195049503</v>
      </c>
      <c r="I9" s="3">
        <f>CO2_flow[[#This Row],[Flujo Total (l/s)]]*3.6</f>
        <v>0.79267009170297009</v>
      </c>
      <c r="J9" s="3">
        <f>0.04212*CO2_flow[[#This Row],[Flujo Total (m3/h)]]</f>
        <v>3.3387264262529096E-2</v>
      </c>
      <c r="K9" s="3">
        <f>CO2_flow[[#This Row],[Flujo Corregido (m3/h)]]/3.6</f>
        <v>9.2742400729247491E-3</v>
      </c>
      <c r="L9" s="3">
        <f>CO2_flow[[#This Row],[Flujo Corregido (l/s)]]*60</f>
        <v>0.55645440437548499</v>
      </c>
      <c r="M9" s="3">
        <f>0.001*CO2_flow[[#This Row],[Flujo Corregido (l/s)]]/$R$5</f>
        <v>0.7380205755134569</v>
      </c>
      <c r="N9" s="9">
        <f>((((CO2_flow[[#This Row],[Velocidad CO2 (m/s)]]^2)*$R$6)/2)+($R$2*0.000102))*9806.65</f>
        <v>5389.044708601652</v>
      </c>
      <c r="O9" s="1">
        <f>CO2_flow[[#This Row],[Presión Total (kPa)]]/1000</f>
        <v>5.3890447086016522</v>
      </c>
      <c r="Q9" t="s">
        <v>51</v>
      </c>
      <c r="R9" s="1">
        <f>0.001*MAX(CO2_flow[Flujo Corregido (l/s)])*3600*R8*R6</f>
        <v>0.24719605961727778</v>
      </c>
    </row>
    <row r="10" spans="1:18" x14ac:dyDescent="0.2">
      <c r="A10" s="5">
        <v>7.3</v>
      </c>
      <c r="B10" s="4" t="s">
        <v>24</v>
      </c>
      <c r="C10" s="3">
        <f>$K$18*CO2_flow[[#This Row],[Tasa MET]]*($R$3/$R$2)*0.000179</f>
        <v>2.9971629117326724E-2</v>
      </c>
      <c r="D10" s="3">
        <f>$K$22*CO2_flow[[#This Row],[Tasa MET]]*($R$3/$R$2)*0.000179</f>
        <v>2.3606997451485146E-2</v>
      </c>
      <c r="E10" s="6">
        <v>5</v>
      </c>
      <c r="F10" s="6">
        <v>5</v>
      </c>
      <c r="G10" s="3">
        <f>(CO2_flow[[#This Row],[Flujo M CO2 (l/s)]]*CO2_flow[[#This Row],[Cantidad M]])+(CO2_flow[[#This Row],[Flujo F CO2 (l/s)]]*CO2_flow[[#This Row],[Cantidad F]])</f>
        <v>0.26789313284405936</v>
      </c>
      <c r="H10" s="3">
        <f>CO2_flow[[#This Row],[Flujo Total (l/s)]]*60</f>
        <v>16.073587970643562</v>
      </c>
      <c r="I10" s="3">
        <f>CO2_flow[[#This Row],[Flujo Total (l/s)]]*3.6</f>
        <v>0.96441527823861373</v>
      </c>
      <c r="J10" s="3">
        <f>0.04212*CO2_flow[[#This Row],[Flujo Total (m3/h)]]</f>
        <v>4.0621171519410408E-2</v>
      </c>
      <c r="K10" s="3">
        <f>CO2_flow[[#This Row],[Flujo Corregido (m3/h)]]/3.6</f>
        <v>1.1283658755391781E-2</v>
      </c>
      <c r="L10" s="3">
        <f>CO2_flow[[#This Row],[Flujo Corregido (l/s)]]*60</f>
        <v>0.67701952532350684</v>
      </c>
      <c r="M10" s="3">
        <f>0.001*CO2_flow[[#This Row],[Flujo Corregido (l/s)]]/$R$5</f>
        <v>0.89792503354137276</v>
      </c>
      <c r="N10" s="9">
        <f>((((CO2_flow[[#This Row],[Velocidad CO2 (m/s)]]^2)*$R$6)/2)+($R$2*0.000102))*9806.65</f>
        <v>7928.7615702465328</v>
      </c>
      <c r="O10" s="1">
        <f>CO2_flow[[#This Row],[Presión Total (kPa)]]/1000</f>
        <v>7.9287615702465324</v>
      </c>
      <c r="Q10" t="s">
        <v>52</v>
      </c>
      <c r="R10" s="1">
        <f>R9*Table8[[#Totals],[Ventilación]]</f>
        <v>2.9663527154073335</v>
      </c>
    </row>
    <row r="11" spans="1:18" x14ac:dyDescent="0.2">
      <c r="A11" s="5">
        <v>1.4</v>
      </c>
      <c r="B11" s="4" t="s">
        <v>25</v>
      </c>
      <c r="C11" s="3">
        <f>$K$19*CO2_flow[[#This Row],[Tasa MET]]*($R$3/$R$2)*0.000179</f>
        <v>5.9218287321782179E-3</v>
      </c>
      <c r="D11" s="3">
        <f>$K$23*CO2_flow[[#This Row],[Tasa MET]]*($R$3/$R$2)*0.000179</f>
        <v>4.6050448292079185E-3</v>
      </c>
      <c r="E11" s="6">
        <v>10</v>
      </c>
      <c r="F11" s="6">
        <v>10</v>
      </c>
      <c r="G11" s="3">
        <f>(CO2_flow[[#This Row],[Flujo M CO2 (l/s)]]*CO2_flow[[#This Row],[Cantidad M]])+(CO2_flow[[#This Row],[Flujo F CO2 (l/s)]]*CO2_flow[[#This Row],[Cantidad F]])</f>
        <v>0.10526873561386137</v>
      </c>
      <c r="H11" s="3">
        <f>CO2_flow[[#This Row],[Flujo Total (l/s)]]*60</f>
        <v>6.3161241368316823</v>
      </c>
      <c r="I11" s="3">
        <f>CO2_flow[[#This Row],[Flujo Total (l/s)]]*3.6</f>
        <v>0.37896744820990091</v>
      </c>
      <c r="J11" s="3">
        <f>0.04212*CO2_flow[[#This Row],[Flujo Total (m3/h)]]</f>
        <v>1.5962108918601024E-2</v>
      </c>
      <c r="K11" s="3">
        <f>CO2_flow[[#This Row],[Flujo Corregido (m3/h)]]/3.6</f>
        <v>4.4339191440558399E-3</v>
      </c>
      <c r="L11" s="3">
        <f>CO2_flow[[#This Row],[Flujo Corregido (l/s)]]*60</f>
        <v>0.26603514864335037</v>
      </c>
      <c r="M11" s="3">
        <f>0.001*CO2_flow[[#This Row],[Flujo Corregido (l/s)]]/$R$5</f>
        <v>0.35284007452313626</v>
      </c>
      <c r="N11" s="9">
        <f>((((CO2_flow[[#This Row],[Velocidad CO2 (m/s)]]^2)*$R$6)/2)+($R$2*0.000102))*9806.65</f>
        <v>1309.7090671685553</v>
      </c>
      <c r="O11" s="1">
        <f>CO2_flow[[#This Row],[Presión Total (kPa)]]/1000</f>
        <v>1.3097090671685554</v>
      </c>
    </row>
    <row r="12" spans="1:18" x14ac:dyDescent="0.2">
      <c r="A12" s="5">
        <v>3</v>
      </c>
      <c r="B12" s="4" t="s">
        <v>25</v>
      </c>
      <c r="C12" s="3">
        <f>$K$19*CO2_flow[[#This Row],[Tasa MET]]*($R$3/$R$2)*0.000179</f>
        <v>1.268963299752475E-2</v>
      </c>
      <c r="D12" s="3">
        <f>$K$23*CO2_flow[[#This Row],[Tasa MET]]*($R$3/$R$2)*0.000179</f>
        <v>9.8679532054455413E-3</v>
      </c>
      <c r="E12" s="6">
        <v>10</v>
      </c>
      <c r="F12" s="6">
        <v>10</v>
      </c>
      <c r="G12" s="3">
        <f>(CO2_flow[[#This Row],[Flujo M CO2 (l/s)]]*CO2_flow[[#This Row],[Cantidad M]])+(CO2_flow[[#This Row],[Flujo F CO2 (l/s)]]*CO2_flow[[#This Row],[Cantidad F]])</f>
        <v>0.22557586202970292</v>
      </c>
      <c r="H12" s="3">
        <f>CO2_flow[[#This Row],[Flujo Total (l/s)]]*60</f>
        <v>13.534551721782176</v>
      </c>
      <c r="I12" s="3">
        <f>CO2_flow[[#This Row],[Flujo Total (l/s)]]*3.6</f>
        <v>0.8120731033069305</v>
      </c>
      <c r="J12" s="3">
        <f>0.04212*CO2_flow[[#This Row],[Flujo Total (m3/h)]]</f>
        <v>3.4204519111287912E-2</v>
      </c>
      <c r="K12" s="3">
        <f>CO2_flow[[#This Row],[Flujo Corregido (m3/h)]]/3.6</f>
        <v>9.5012553086910867E-3</v>
      </c>
      <c r="L12" s="3">
        <f>CO2_flow[[#This Row],[Flujo Corregido (l/s)]]*60</f>
        <v>0.5700753185214652</v>
      </c>
      <c r="M12" s="3">
        <f>0.001*CO2_flow[[#This Row],[Flujo Corregido (l/s)]]/$R$5</f>
        <v>0.7560858739781493</v>
      </c>
      <c r="N12" s="9">
        <f>((((CO2_flow[[#This Row],[Velocidad CO2 (m/s)]]^2)*$R$6)/2)+($R$2*0.000102))*9806.65</f>
        <v>5651.093735757654</v>
      </c>
      <c r="O12" s="1">
        <f>CO2_flow[[#This Row],[Presión Total (kPa)]]/1000</f>
        <v>5.6510937357576543</v>
      </c>
    </row>
    <row r="13" spans="1:18" x14ac:dyDescent="0.2">
      <c r="A13" s="5">
        <v>7.3</v>
      </c>
      <c r="B13" s="4" t="s">
        <v>25</v>
      </c>
      <c r="C13" s="3">
        <f>$K$19*CO2_flow[[#This Row],[Tasa MET]]*($R$3/$R$2)*0.000179</f>
        <v>3.087810696064356E-2</v>
      </c>
      <c r="D13" s="3">
        <f>$K$23*CO2_flow[[#This Row],[Tasa MET]]*($R$3/$R$2)*0.000179</f>
        <v>2.4012019466584156E-2</v>
      </c>
      <c r="E13" s="6">
        <v>5</v>
      </c>
      <c r="F13" s="6">
        <v>5</v>
      </c>
      <c r="G13" s="3">
        <f>(CO2_flow[[#This Row],[Flujo M CO2 (l/s)]]*CO2_flow[[#This Row],[Cantidad M]])+(CO2_flow[[#This Row],[Flujo F CO2 (l/s)]]*CO2_flow[[#This Row],[Cantidad F]])</f>
        <v>0.27445063213613857</v>
      </c>
      <c r="H13" s="3">
        <f>CO2_flow[[#This Row],[Flujo Total (l/s)]]*60</f>
        <v>16.467037928168313</v>
      </c>
      <c r="I13" s="3">
        <f>CO2_flow[[#This Row],[Flujo Total (l/s)]]*3.6</f>
        <v>0.98802227569009893</v>
      </c>
      <c r="J13" s="3">
        <f>0.04212*CO2_flow[[#This Row],[Flujo Total (m3/h)]]</f>
        <v>4.1615498252066965E-2</v>
      </c>
      <c r="K13" s="3">
        <f>CO2_flow[[#This Row],[Flujo Corregido (m3/h)]]/3.6</f>
        <v>1.1559860625574157E-2</v>
      </c>
      <c r="L13" s="3">
        <f>CO2_flow[[#This Row],[Flujo Corregido (l/s)]]*60</f>
        <v>0.69359163753444941</v>
      </c>
      <c r="M13" s="3">
        <f>0.001*CO2_flow[[#This Row],[Flujo Corregido (l/s)]]/$R$5</f>
        <v>0.9199044800067484</v>
      </c>
      <c r="N13" s="9">
        <f>((((CO2_flow[[#This Row],[Velocidad CO2 (m/s)]]^2)*$R$6)/2)+($R$2*0.000102))*9806.65</f>
        <v>8316.6669218338448</v>
      </c>
      <c r="O13" s="1">
        <f>CO2_flow[[#This Row],[Presión Total (kPa)]]/1000</f>
        <v>8.3166669218338445</v>
      </c>
    </row>
    <row r="15" spans="1:18" ht="34" x14ac:dyDescent="0.2">
      <c r="J15" s="7" t="s">
        <v>7</v>
      </c>
      <c r="K15" s="7" t="s">
        <v>8</v>
      </c>
      <c r="L15" s="12"/>
      <c r="N15" s="7" t="s">
        <v>45</v>
      </c>
      <c r="O15" s="7" t="s">
        <v>46</v>
      </c>
    </row>
    <row r="16" spans="1:18" x14ac:dyDescent="0.2">
      <c r="J16" t="s">
        <v>1</v>
      </c>
      <c r="K16" s="1">
        <v>5.14</v>
      </c>
      <c r="L16" s="1"/>
      <c r="N16" s="10">
        <v>1</v>
      </c>
      <c r="O16" t="s">
        <v>54</v>
      </c>
    </row>
    <row r="17" spans="10:15" x14ac:dyDescent="0.2">
      <c r="J17" t="s">
        <v>9</v>
      </c>
      <c r="K17" s="1">
        <v>7.02</v>
      </c>
      <c r="L17" s="1"/>
      <c r="N17" s="10">
        <v>1</v>
      </c>
      <c r="O17" t="s">
        <v>53</v>
      </c>
    </row>
    <row r="18" spans="10:15" x14ac:dyDescent="0.2">
      <c r="J18" t="s">
        <v>10</v>
      </c>
      <c r="K18" s="1">
        <v>7.77</v>
      </c>
      <c r="L18" s="1"/>
      <c r="N18" s="10">
        <v>1</v>
      </c>
      <c r="O18" t="s">
        <v>47</v>
      </c>
    </row>
    <row r="19" spans="10:15" x14ac:dyDescent="0.2">
      <c r="J19" t="s">
        <v>11</v>
      </c>
      <c r="K19" s="1">
        <f>AVERAGE(8.24, 7.83, 8, 7.95)</f>
        <v>8.0050000000000008</v>
      </c>
      <c r="L19" s="1"/>
      <c r="N19" s="10">
        <v>1</v>
      </c>
      <c r="O19" t="s">
        <v>48</v>
      </c>
    </row>
    <row r="20" spans="10:15" x14ac:dyDescent="0.2">
      <c r="J20" t="s">
        <v>12</v>
      </c>
      <c r="K20" s="1">
        <v>4.7300000000000004</v>
      </c>
      <c r="L20" s="1"/>
      <c r="N20" s="10">
        <v>2</v>
      </c>
      <c r="O20" t="s">
        <v>54</v>
      </c>
    </row>
    <row r="21" spans="10:15" x14ac:dyDescent="0.2">
      <c r="J21" t="s">
        <v>13</v>
      </c>
      <c r="K21" s="1">
        <v>6.03</v>
      </c>
      <c r="L21" s="1"/>
      <c r="N21" s="10">
        <v>2</v>
      </c>
      <c r="O21" t="s">
        <v>53</v>
      </c>
    </row>
    <row r="22" spans="10:15" x14ac:dyDescent="0.2">
      <c r="J22" t="s">
        <v>14</v>
      </c>
      <c r="K22" s="1">
        <v>6.12</v>
      </c>
      <c r="L22" s="1"/>
      <c r="N22" s="10">
        <v>2</v>
      </c>
      <c r="O22" t="s">
        <v>47</v>
      </c>
    </row>
    <row r="23" spans="10:15" x14ac:dyDescent="0.2">
      <c r="J23" t="s">
        <v>15</v>
      </c>
      <c r="K23" s="1">
        <f>AVERAGE(6.49, 6.08, 6.16, 6.17)</f>
        <v>6.2249999999999996</v>
      </c>
      <c r="L23" s="1"/>
      <c r="N23" s="10">
        <v>2</v>
      </c>
      <c r="O23" t="s">
        <v>48</v>
      </c>
    </row>
    <row r="24" spans="10:15" x14ac:dyDescent="0.2">
      <c r="N24" s="10">
        <v>3</v>
      </c>
      <c r="O24" t="s">
        <v>54</v>
      </c>
    </row>
    <row r="25" spans="10:15" x14ac:dyDescent="0.2">
      <c r="N25" s="10">
        <v>3</v>
      </c>
      <c r="O25" t="s">
        <v>53</v>
      </c>
    </row>
    <row r="26" spans="10:15" x14ac:dyDescent="0.2">
      <c r="N26" s="10">
        <v>3</v>
      </c>
      <c r="O26" t="s">
        <v>47</v>
      </c>
    </row>
    <row r="27" spans="10:15" x14ac:dyDescent="0.2">
      <c r="N27" s="10">
        <v>3</v>
      </c>
      <c r="O27" t="s">
        <v>48</v>
      </c>
    </row>
    <row r="28" spans="10:15" x14ac:dyDescent="0.2">
      <c r="N28" s="10" t="s">
        <v>49</v>
      </c>
      <c r="O28">
        <f>SUBTOTAL(103,Table8[Ventilación])</f>
        <v>12</v>
      </c>
    </row>
    <row r="30" spans="10:15" ht="17" x14ac:dyDescent="0.2">
      <c r="J30" s="7" t="s">
        <v>2</v>
      </c>
      <c r="K30" s="6" t="s">
        <v>3</v>
      </c>
      <c r="L30" s="6"/>
    </row>
    <row r="31" spans="10:15" ht="51" x14ac:dyDescent="0.2">
      <c r="J31" s="13">
        <v>1.4</v>
      </c>
      <c r="K31" s="14" t="s">
        <v>4</v>
      </c>
      <c r="L31" s="14"/>
    </row>
    <row r="32" spans="10:15" ht="34" x14ac:dyDescent="0.2">
      <c r="J32" s="13">
        <v>3</v>
      </c>
      <c r="K32" s="14" t="s">
        <v>5</v>
      </c>
      <c r="L32" s="14"/>
    </row>
    <row r="33" spans="10:12" ht="34" x14ac:dyDescent="0.2">
      <c r="J33" s="13">
        <v>7.3</v>
      </c>
      <c r="K33" s="14" t="s">
        <v>6</v>
      </c>
      <c r="L33" s="14"/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B5:B7" twoDigitTextYear="1"/>
    <ignoredError sqref="C2:C13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FC8B-3077-B848-BD61-17AD9590815F}">
  <dimension ref="A1:L10"/>
  <sheetViews>
    <sheetView workbookViewId="0">
      <selection activeCell="D2" sqref="D2"/>
    </sheetView>
  </sheetViews>
  <sheetFormatPr baseColWidth="10" defaultRowHeight="16" x14ac:dyDescent="0.2"/>
  <cols>
    <col min="1" max="1" width="18.6640625" customWidth="1"/>
    <col min="2" max="2" width="11.6640625" style="1" bestFit="1" customWidth="1"/>
    <col min="3" max="3" width="10.33203125" style="1" bestFit="1" customWidth="1"/>
    <col min="4" max="4" width="10.33203125" style="1" customWidth="1"/>
    <col min="5" max="5" width="12.1640625" style="1" bestFit="1" customWidth="1"/>
    <col min="6" max="6" width="15.33203125" style="1" bestFit="1" customWidth="1"/>
    <col min="7" max="7" width="16.5" style="1" customWidth="1"/>
    <col min="8" max="8" width="17.6640625" style="1" bestFit="1" customWidth="1"/>
    <col min="9" max="9" width="16.5" customWidth="1"/>
    <col min="10" max="10" width="16" customWidth="1"/>
    <col min="11" max="11" width="13.33203125" customWidth="1"/>
    <col min="12" max="12" width="15.1640625" customWidth="1"/>
  </cols>
  <sheetData>
    <row r="1" spans="1:12" s="7" customFormat="1" ht="34" x14ac:dyDescent="0.2">
      <c r="A1" s="7" t="s">
        <v>64</v>
      </c>
      <c r="B1" s="17" t="s">
        <v>59</v>
      </c>
      <c r="C1" s="17" t="s">
        <v>61</v>
      </c>
      <c r="D1" s="17" t="s">
        <v>88</v>
      </c>
      <c r="E1" s="17" t="s">
        <v>60</v>
      </c>
      <c r="F1" s="17" t="s">
        <v>62</v>
      </c>
      <c r="G1" s="17" t="s">
        <v>63</v>
      </c>
      <c r="H1" s="17" t="s">
        <v>70</v>
      </c>
      <c r="I1" s="7" t="s">
        <v>67</v>
      </c>
      <c r="J1" s="7" t="s">
        <v>68</v>
      </c>
      <c r="K1" s="7" t="s">
        <v>69</v>
      </c>
      <c r="L1" s="7" t="s">
        <v>71</v>
      </c>
    </row>
    <row r="2" spans="1:12" x14ac:dyDescent="0.2">
      <c r="A2" t="s">
        <v>65</v>
      </c>
      <c r="B2" s="1">
        <f>B3*($E$2/$E$3)</f>
        <v>9.6</v>
      </c>
      <c r="C2" s="1">
        <f>C3*($E$2/$E$3)</f>
        <v>4.8</v>
      </c>
      <c r="D2" s="1">
        <f>Table10[[#This Row],[Ancho (m)]]*Table10[[#This Row],[Largo (m)]]</f>
        <v>46.08</v>
      </c>
      <c r="E2" s="1">
        <v>3.2</v>
      </c>
      <c r="F2" s="1">
        <f>Table10[[#This Row],[Alto (m)]]*Table10[[#This Row],[Ancho (m)]]*Table10[[#This Row],[Largo (m)]]</f>
        <v>147.45599999999999</v>
      </c>
      <c r="G2" s="1">
        <f>2*Table10[[#This Row],[Ancho (m)]]*Table10[[#This Row],[Largo (m)]]/(Table10[[#This Row],[Ancho (m)]]+Table10[[#This Row],[Largo (m)]])</f>
        <v>6.4</v>
      </c>
      <c r="H2" s="15">
        <v>1.976</v>
      </c>
      <c r="I2" s="16">
        <f>1.976/3600</f>
        <v>5.4888888888888891E-4</v>
      </c>
      <c r="J2" s="16">
        <f>Table10[[#This Row],[Flujo máx (m3/s)]]/(Table10[[#This Row],[Ancho (m)]]*Table10[[#This Row],[Alto (m)]])</f>
        <v>3.5734953703703704E-5</v>
      </c>
      <c r="K2" s="1">
        <f>Table10[[#This Row],[Longitud Característica (m)]]*Table10[[#This Row],[Velocidad (m/s)]]/$B$8</f>
        <v>14.293981481481485</v>
      </c>
      <c r="L2" s="1">
        <f>$B$9*Table10[[#This Row],[Velocidad (m/s)]]*Table10[[#This Row],[Longitud Característica (m)]]/$B$10</f>
        <v>31.015981735159816</v>
      </c>
    </row>
    <row r="3" spans="1:12" x14ac:dyDescent="0.2">
      <c r="A3" t="s">
        <v>66</v>
      </c>
      <c r="B3" s="1">
        <f>2.4</f>
        <v>2.4</v>
      </c>
      <c r="C3" s="1">
        <f>1.2</f>
        <v>1.2</v>
      </c>
      <c r="D3" s="1">
        <f>Table10[[#This Row],[Ancho (m)]]*Table10[[#This Row],[Largo (m)]]</f>
        <v>2.88</v>
      </c>
      <c r="E3" s="1">
        <f>0.8</f>
        <v>0.8</v>
      </c>
      <c r="F3" s="1">
        <f>Table10[[#This Row],[Alto (m)]]*Table10[[#This Row],[Ancho (m)]]*Table10[[#This Row],[Largo (m)]]</f>
        <v>2.3039999999999998</v>
      </c>
      <c r="G3" s="1">
        <f>2*Table10[[#This Row],[Ancho (m)]]*Table10[[#This Row],[Largo (m)]]/(Table10[[#This Row],[Ancho (m)]]+Table10[[#This Row],[Largo (m)]])</f>
        <v>1.6</v>
      </c>
      <c r="H3" s="15">
        <f>Table10[[#This Row],[Flujo máx (m3/s)]]*3600</f>
        <v>0.49386239999999998</v>
      </c>
      <c r="I3" s="16">
        <f>Table10[[#This Row],[Velocidad (m/s)]]*Table10[[#This Row],[Ancho (m)]]*Table10[[#This Row],[Alto (m)]]</f>
        <v>1.3718399999999999E-4</v>
      </c>
      <c r="J3" s="16">
        <f>Table10[[#This Row],[Número de Peclet (-)]]*$B$8/Table10[[#This Row],[Longitud Característica (m)]]</f>
        <v>1.4289999999999998E-4</v>
      </c>
      <c r="K3" s="1">
        <v>14.29</v>
      </c>
      <c r="L3" s="1">
        <f>$B$9*Table10[[#This Row],[Velocidad (m/s)]]*Table10[[#This Row],[Longitud Característica (m)]]/$B$10</f>
        <v>31.007342465753425</v>
      </c>
    </row>
    <row r="6" spans="1:12" ht="19" thickBot="1" x14ac:dyDescent="0.3">
      <c r="A6" s="18" t="s">
        <v>74</v>
      </c>
      <c r="B6"/>
    </row>
    <row r="7" spans="1:12" ht="11" customHeight="1" thickTop="1" x14ac:dyDescent="0.2">
      <c r="B7"/>
    </row>
    <row r="8" spans="1:12" ht="34" x14ac:dyDescent="0.2">
      <c r="A8" s="19" t="s">
        <v>73</v>
      </c>
      <c r="B8" s="20">
        <f>16/(1000^2)</f>
        <v>1.5999999999999999E-5</v>
      </c>
    </row>
    <row r="9" spans="1:12" ht="17" x14ac:dyDescent="0.2">
      <c r="A9" s="19" t="s">
        <v>72</v>
      </c>
      <c r="B9" s="20">
        <v>1.98</v>
      </c>
    </row>
    <row r="10" spans="1:12" ht="34" x14ac:dyDescent="0.2">
      <c r="A10" s="19" t="s">
        <v>75</v>
      </c>
      <c r="B10" s="20">
        <f>14.6*10^(-6)</f>
        <v>1.4599999999999999E-5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4A81-094F-E045-A05F-C479C7F7BD3B}">
  <dimension ref="A1:S16"/>
  <sheetViews>
    <sheetView tabSelected="1" zoomScale="92" workbookViewId="0">
      <selection activeCell="C11" sqref="C11"/>
    </sheetView>
  </sheetViews>
  <sheetFormatPr baseColWidth="10" defaultRowHeight="16" x14ac:dyDescent="0.2"/>
  <cols>
    <col min="1" max="1" width="23.1640625" customWidth="1"/>
    <col min="2" max="2" width="11.33203125" customWidth="1"/>
    <col min="4" max="4" width="17.5" customWidth="1"/>
    <col min="5" max="5" width="16.6640625" customWidth="1"/>
    <col min="6" max="7" width="14.83203125" customWidth="1"/>
    <col min="8" max="9" width="18.6640625" customWidth="1"/>
    <col min="10" max="10" width="17.5" customWidth="1"/>
    <col min="11" max="11" width="14.6640625" customWidth="1"/>
    <col min="12" max="15" width="15.33203125" customWidth="1"/>
    <col min="17" max="17" width="29" style="10" customWidth="1"/>
    <col min="18" max="18" width="13.5" customWidth="1"/>
    <col min="19" max="19" width="14.5" customWidth="1"/>
    <col min="20" max="20" width="13.33203125" customWidth="1"/>
    <col min="21" max="21" width="13.1640625" customWidth="1"/>
  </cols>
  <sheetData>
    <row r="1" spans="1:19" s="7" customFormat="1" ht="34" x14ac:dyDescent="0.2">
      <c r="A1" s="7" t="s">
        <v>36</v>
      </c>
      <c r="B1" s="7" t="s">
        <v>35</v>
      </c>
      <c r="C1" s="7" t="s">
        <v>34</v>
      </c>
      <c r="D1" s="7" t="s">
        <v>42</v>
      </c>
      <c r="E1" s="7" t="s">
        <v>43</v>
      </c>
      <c r="F1" s="7" t="s">
        <v>41</v>
      </c>
      <c r="G1" s="7" t="s">
        <v>84</v>
      </c>
      <c r="H1" s="7" t="s">
        <v>83</v>
      </c>
      <c r="I1" s="7" t="s">
        <v>78</v>
      </c>
      <c r="J1" s="7" t="s">
        <v>80</v>
      </c>
      <c r="K1" s="7" t="s">
        <v>76</v>
      </c>
      <c r="L1" s="7" t="s">
        <v>81</v>
      </c>
      <c r="M1" s="7" t="s">
        <v>85</v>
      </c>
      <c r="N1" s="7" t="s">
        <v>86</v>
      </c>
      <c r="O1" s="7" t="s">
        <v>87</v>
      </c>
      <c r="Q1" s="7" t="s">
        <v>36</v>
      </c>
      <c r="R1" s="7" t="s">
        <v>40</v>
      </c>
      <c r="S1" s="7" t="s">
        <v>44</v>
      </c>
    </row>
    <row r="2" spans="1:19" x14ac:dyDescent="0.2">
      <c r="A2" s="10" t="s">
        <v>39</v>
      </c>
      <c r="B2">
        <v>60</v>
      </c>
      <c r="C2">
        <v>4</v>
      </c>
      <c r="D2">
        <f>Table5[[#This Row],[Aforo]]*R$2</f>
        <v>15.2</v>
      </c>
      <c r="E2">
        <f>Table5[[#This Row],[Area (m2)]]*S$2</f>
        <v>18</v>
      </c>
      <c r="F2">
        <f>Table5[[#This Row],[Flujo ASHRAE ambiente (l/s)]]+Table5[[#This Row],[Flujo ASHRAE ocupantes (l/s)]]</f>
        <v>33.200000000000003</v>
      </c>
      <c r="G2">
        <f>3.6*Table5[[#This Row],[Flujo total ASHRAE (l/s)]]</f>
        <v>119.52000000000001</v>
      </c>
      <c r="H2" s="3">
        <f>Table5[[#This Row],[Flujo real ASHRAE (m3/h)]]/3600</f>
        <v>3.32E-2</v>
      </c>
      <c r="I2" s="3">
        <f>Table5[[#This Row],[Flujo real ASHRAE (m3/s)]]/$R$8</f>
        <v>1.66E-2</v>
      </c>
      <c r="J2" s="3">
        <f>SQRT(Table5[[#This Row],[Area del ducto (m2)]])</f>
        <v>0.12884098726725127</v>
      </c>
      <c r="K2" s="1">
        <f>$R$8*Table5[[#This Row],[Lado de Ducto (m)]]/$R$9</f>
        <v>17008.711190396207</v>
      </c>
      <c r="L2" s="1">
        <f>Table5[[#This Row],[Reynolds (-)]]*$R$9/$R$10</f>
        <v>2.1473497877875212</v>
      </c>
      <c r="M2" s="3">
        <f>Table5[[#This Row],[Velocidad de aire en modelo (m/s)]]*$R$10^2</f>
        <v>3.0921836944140305E-2</v>
      </c>
      <c r="N2" s="1">
        <f>Table5[[#This Row],[Flujo modelo ASHRAE (m3/s)]]*3600</f>
        <v>111.3186129989051</v>
      </c>
      <c r="O2" s="1">
        <f>Table5[[#This Row],[Flujo modelo ASHRAE (m3/h)]]*0.58857777021102</f>
        <v>65.519661021879031</v>
      </c>
      <c r="Q2" s="11" t="s">
        <v>39</v>
      </c>
      <c r="R2">
        <v>3.8</v>
      </c>
      <c r="S2">
        <v>0.3</v>
      </c>
    </row>
    <row r="3" spans="1:19" x14ac:dyDescent="0.2">
      <c r="A3" s="10" t="s">
        <v>39</v>
      </c>
      <c r="B3">
        <v>60</v>
      </c>
      <c r="C3">
        <v>8</v>
      </c>
      <c r="D3">
        <f>Table5[[#This Row],[Aforo]]*R$2</f>
        <v>30.4</v>
      </c>
      <c r="E3">
        <f>Table5[[#This Row],[Area (m2)]]*S$2</f>
        <v>18</v>
      </c>
      <c r="F3">
        <f>Table5[[#This Row],[Flujo ASHRAE ambiente (l/s)]]+Table5[[#This Row],[Flujo ASHRAE ocupantes (l/s)]]</f>
        <v>48.4</v>
      </c>
      <c r="G3">
        <f>3.6*Table5[[#This Row],[Flujo total ASHRAE (l/s)]]</f>
        <v>174.24</v>
      </c>
      <c r="H3" s="3">
        <f>Table5[[#This Row],[Flujo real ASHRAE (m3/h)]]/3600</f>
        <v>4.8400000000000006E-2</v>
      </c>
      <c r="I3" s="3">
        <f>Table5[[#This Row],[Flujo real ASHRAE (m3/s)]]/$R$8</f>
        <v>2.4200000000000003E-2</v>
      </c>
      <c r="J3" s="3">
        <f>SQRT(Table5[[#This Row],[Area del ducto (m2)]])</f>
        <v>0.15556349186104046</v>
      </c>
      <c r="K3" s="1">
        <f>$R$8*Table5[[#This Row],[Lado de Ducto (m)]]/$R$9</f>
        <v>20536.434569114252</v>
      </c>
      <c r="L3" s="1">
        <f>Table5[[#This Row],[Reynolds (-)]]*$R$9/$R$10</f>
        <v>2.5927248643506746</v>
      </c>
      <c r="M3" s="3">
        <f>Table5[[#This Row],[Velocidad de aire en modelo (m/s)]]*$R$10^2</f>
        <v>3.7335238046649712E-2</v>
      </c>
      <c r="N3" s="1">
        <f>Table5[[#This Row],[Flujo modelo ASHRAE (m3/s)]]*3600</f>
        <v>134.40685696793895</v>
      </c>
      <c r="O3" s="1">
        <f>Table5[[#This Row],[Flujo modelo ASHRAE (m3/h)]]*0.58857777021102</f>
        <v>79.108888175261001</v>
      </c>
      <c r="Q3" s="11" t="s">
        <v>37</v>
      </c>
      <c r="R3">
        <v>5</v>
      </c>
      <c r="S3">
        <v>0.9</v>
      </c>
    </row>
    <row r="4" spans="1:19" x14ac:dyDescent="0.2">
      <c r="A4" s="10" t="s">
        <v>39</v>
      </c>
      <c r="B4">
        <v>60</v>
      </c>
      <c r="C4">
        <v>12</v>
      </c>
      <c r="D4">
        <f>Table5[[#This Row],[Aforo]]*R$2</f>
        <v>45.599999999999994</v>
      </c>
      <c r="E4">
        <f>Table5[[#This Row],[Area (m2)]]*S$2</f>
        <v>18</v>
      </c>
      <c r="F4">
        <f>Table5[[#This Row],[Flujo ASHRAE ambiente (l/s)]]+Table5[[#This Row],[Flujo ASHRAE ocupantes (l/s)]]</f>
        <v>63.599999999999994</v>
      </c>
      <c r="G4">
        <f>3.6*Table5[[#This Row],[Flujo total ASHRAE (l/s)]]</f>
        <v>228.95999999999998</v>
      </c>
      <c r="H4" s="3">
        <f>Table5[[#This Row],[Flujo real ASHRAE (m3/h)]]/3600</f>
        <v>6.359999999999999E-2</v>
      </c>
      <c r="I4" s="3">
        <f>Table5[[#This Row],[Flujo real ASHRAE (m3/s)]]/$R$8</f>
        <v>3.1799999999999995E-2</v>
      </c>
      <c r="J4" s="3">
        <f>SQRT(Table5[[#This Row],[Area del ducto (m2)]])</f>
        <v>0.17832554500127007</v>
      </c>
      <c r="K4" s="1">
        <f>$R$8*Table5[[#This Row],[Lado de Ducto (m)]]/$R$9</f>
        <v>23541.326072774926</v>
      </c>
      <c r="L4" s="1">
        <f>Table5[[#This Row],[Reynolds (-)]]*$R$9/$R$10</f>
        <v>2.9720924166878344</v>
      </c>
      <c r="M4" s="3">
        <f>Table5[[#This Row],[Velocidad de aire en modelo (m/s)]]*$R$10^2</f>
        <v>4.2798130800304812E-2</v>
      </c>
      <c r="N4" s="1">
        <f>Table5[[#This Row],[Flujo modelo ASHRAE (m3/s)]]*3600</f>
        <v>154.07327088109733</v>
      </c>
      <c r="O4" s="1">
        <f>Table5[[#This Row],[Flujo modelo ASHRAE (m3/h)]]*0.58857777021102</f>
        <v>90.684102224314742</v>
      </c>
      <c r="Q4" s="11" t="s">
        <v>38</v>
      </c>
      <c r="R4">
        <v>10</v>
      </c>
      <c r="S4">
        <v>0.9</v>
      </c>
    </row>
    <row r="5" spans="1:19" x14ac:dyDescent="0.2">
      <c r="A5" s="10" t="s">
        <v>39</v>
      </c>
      <c r="B5">
        <v>60</v>
      </c>
      <c r="C5">
        <v>16</v>
      </c>
      <c r="D5">
        <f>Table5[[#This Row],[Aforo]]*R$2</f>
        <v>60.8</v>
      </c>
      <c r="E5">
        <f>Table5[[#This Row],[Area (m2)]]*S$2</f>
        <v>18</v>
      </c>
      <c r="F5">
        <f>Table5[[#This Row],[Flujo ASHRAE ambiente (l/s)]]+Table5[[#This Row],[Flujo ASHRAE ocupantes (l/s)]]</f>
        <v>78.8</v>
      </c>
      <c r="G5">
        <f>3.6*Table5[[#This Row],[Flujo total ASHRAE (l/s)]]</f>
        <v>283.68</v>
      </c>
      <c r="H5" s="3">
        <f>Table5[[#This Row],[Flujo real ASHRAE (m3/h)]]/3600</f>
        <v>7.8799999999999995E-2</v>
      </c>
      <c r="I5" s="3">
        <f>Table5[[#This Row],[Flujo real ASHRAE (m3/s)]]/$R$8</f>
        <v>3.9399999999999998E-2</v>
      </c>
      <c r="J5" s="3">
        <f>SQRT(Table5[[#This Row],[Area del ducto (m2)]])</f>
        <v>0.19849433241279207</v>
      </c>
      <c r="K5" s="1">
        <f>$R$8*Table5[[#This Row],[Lado de Ducto (m)]]/$R$9</f>
        <v>26203.872265715123</v>
      </c>
      <c r="L5" s="1">
        <f>Table5[[#This Row],[Reynolds (-)]]*$R$9/$R$10</f>
        <v>3.3082388735465349</v>
      </c>
      <c r="M5" s="3">
        <f>Table5[[#This Row],[Velocidad de aire en modelo (m/s)]]*$R$10^2</f>
        <v>4.7638639779070104E-2</v>
      </c>
      <c r="N5" s="1">
        <f>Table5[[#This Row],[Flujo modelo ASHRAE (m3/s)]]*3600</f>
        <v>171.49910320465239</v>
      </c>
      <c r="O5" s="1">
        <f>Table5[[#This Row],[Flujo modelo ASHRAE (m3/h)]]*0.58857777021102</f>
        <v>100.94055975738389</v>
      </c>
      <c r="Q5"/>
    </row>
    <row r="6" spans="1:19" x14ac:dyDescent="0.2">
      <c r="A6" s="10" t="s">
        <v>39</v>
      </c>
      <c r="B6">
        <v>60</v>
      </c>
      <c r="C6">
        <v>20</v>
      </c>
      <c r="D6">
        <f>Table5[[#This Row],[Aforo]]*R$2</f>
        <v>76</v>
      </c>
      <c r="E6">
        <f>Table5[[#This Row],[Area (m2)]]*S$2</f>
        <v>18</v>
      </c>
      <c r="F6">
        <f>Table5[[#This Row],[Flujo ASHRAE ambiente (l/s)]]+Table5[[#This Row],[Flujo ASHRAE ocupantes (l/s)]]</f>
        <v>94</v>
      </c>
      <c r="G6">
        <f>3.6*Table5[[#This Row],[Flujo total ASHRAE (l/s)]]</f>
        <v>338.40000000000003</v>
      </c>
      <c r="H6" s="3">
        <f>Table5[[#This Row],[Flujo real ASHRAE (m3/h)]]/3600</f>
        <v>9.4000000000000014E-2</v>
      </c>
      <c r="I6" s="3">
        <f>Table5[[#This Row],[Flujo real ASHRAE (m3/s)]]/$R$8</f>
        <v>4.7000000000000007E-2</v>
      </c>
      <c r="J6" s="3">
        <f>SQRT(Table5[[#This Row],[Area del ducto (m2)]])</f>
        <v>0.21679483388678802</v>
      </c>
      <c r="K6" s="1">
        <f>$R$8*Table5[[#This Row],[Lado de Ducto (m)]]/$R$9</f>
        <v>28619.780051061123</v>
      </c>
      <c r="L6" s="1">
        <f>Table5[[#This Row],[Reynolds (-)]]*$R$9/$R$10</f>
        <v>3.6132472314464672</v>
      </c>
      <c r="M6" s="3">
        <f>Table5[[#This Row],[Velocidad de aire en modelo (m/s)]]*$R$10^2</f>
        <v>5.2030760132829125E-2</v>
      </c>
      <c r="N6" s="1">
        <f>Table5[[#This Row],[Flujo modelo ASHRAE (m3/s)]]*3600</f>
        <v>187.31073647818485</v>
      </c>
      <c r="O6" s="1">
        <f>Table5[[#This Row],[Flujo modelo ASHRAE (m3/h)]]*0.58857777021102</f>
        <v>110.246935612914</v>
      </c>
      <c r="Q6"/>
    </row>
    <row r="7" spans="1:19" x14ac:dyDescent="0.2">
      <c r="A7" s="10" t="s">
        <v>37</v>
      </c>
      <c r="B7">
        <v>60</v>
      </c>
      <c r="C7">
        <v>4</v>
      </c>
      <c r="D7">
        <f>Table5[[#This Row],[Aforo]]*R$3</f>
        <v>20</v>
      </c>
      <c r="E7">
        <f>Table5[[#This Row],[Area (m2)]]*S$2</f>
        <v>18</v>
      </c>
      <c r="F7">
        <f>Table5[[#This Row],[Flujo ASHRAE ambiente (l/s)]]+Table5[[#This Row],[Flujo ASHRAE ocupantes (l/s)]]</f>
        <v>38</v>
      </c>
      <c r="G7">
        <f>3.6*Table5[[#This Row],[Flujo total ASHRAE (l/s)]]</f>
        <v>136.80000000000001</v>
      </c>
      <c r="H7" s="3">
        <f>Table5[[#This Row],[Flujo real ASHRAE (m3/h)]]/3600</f>
        <v>3.8000000000000006E-2</v>
      </c>
      <c r="I7" s="3">
        <f>Table5[[#This Row],[Flujo real ASHRAE (m3/s)]]/$R$8</f>
        <v>1.9000000000000003E-2</v>
      </c>
      <c r="J7" s="3">
        <f>SQRT(Table5[[#This Row],[Area del ducto (m2)]])</f>
        <v>0.13784048752090222</v>
      </c>
      <c r="K7" s="1">
        <f>$R$8*Table5[[#This Row],[Lado de Ducto (m)]]/$R$9</f>
        <v>18196.764029162008</v>
      </c>
      <c r="L7" s="1">
        <f>Table5[[#This Row],[Reynolds (-)]]*$R$9/$R$10</f>
        <v>2.2973414586817036</v>
      </c>
      <c r="M7" s="3">
        <f>Table5[[#This Row],[Velocidad de aire en modelo (m/s)]]*$R$10^2</f>
        <v>3.3081717005016532E-2</v>
      </c>
      <c r="N7" s="1">
        <f>Table5[[#This Row],[Flujo modelo ASHRAE (m3/s)]]*3600</f>
        <v>119.09418121805952</v>
      </c>
      <c r="O7" s="1">
        <f>Table5[[#This Row],[Flujo modelo ASHRAE (m3/h)]]*0.58857777021102</f>
        <v>70.096187626432609</v>
      </c>
      <c r="Q7"/>
    </row>
    <row r="8" spans="1:19" x14ac:dyDescent="0.2">
      <c r="A8" s="10" t="s">
        <v>37</v>
      </c>
      <c r="B8">
        <v>60</v>
      </c>
      <c r="C8">
        <v>8</v>
      </c>
      <c r="D8">
        <f>Table5[[#This Row],[Aforo]]*R$3</f>
        <v>40</v>
      </c>
      <c r="E8">
        <f>Table5[[#This Row],[Area (m2)]]*S$2</f>
        <v>18</v>
      </c>
      <c r="F8">
        <f>Table5[[#This Row],[Flujo ASHRAE ambiente (l/s)]]+Table5[[#This Row],[Flujo ASHRAE ocupantes (l/s)]]</f>
        <v>58</v>
      </c>
      <c r="G8">
        <f>3.6*Table5[[#This Row],[Flujo total ASHRAE (l/s)]]</f>
        <v>208.8</v>
      </c>
      <c r="H8" s="3">
        <f>Table5[[#This Row],[Flujo real ASHRAE (m3/h)]]/3600</f>
        <v>5.8000000000000003E-2</v>
      </c>
      <c r="I8" s="3">
        <f>Table5[[#This Row],[Flujo real ASHRAE (m3/s)]]/$R$8</f>
        <v>2.9000000000000001E-2</v>
      </c>
      <c r="J8" s="3">
        <f>SQRT(Table5[[#This Row],[Area del ducto (m2)]])</f>
        <v>0.17029386365926402</v>
      </c>
      <c r="K8" s="1">
        <f>$R$8*Table5[[#This Row],[Lado de Ducto (m)]]/$R$9</f>
        <v>22481.038106833534</v>
      </c>
      <c r="L8" s="1">
        <f>Table5[[#This Row],[Reynolds (-)]]*$R$9/$R$10</f>
        <v>2.8382310609877339</v>
      </c>
      <c r="M8" s="3">
        <f>Table5[[#This Row],[Velocidad de aire en modelo (m/s)]]*$R$10^2</f>
        <v>4.0870527278223365E-2</v>
      </c>
      <c r="N8" s="1">
        <f>Table5[[#This Row],[Flujo modelo ASHRAE (m3/s)]]*3600</f>
        <v>147.13389820160413</v>
      </c>
      <c r="O8" s="1">
        <f>Table5[[#This Row],[Flujo modelo ASHRAE (m3/h)]]*0.58857777021102</f>
        <v>86.599741725955354</v>
      </c>
      <c r="Q8" t="s">
        <v>77</v>
      </c>
      <c r="R8">
        <v>2</v>
      </c>
    </row>
    <row r="9" spans="1:19" x14ac:dyDescent="0.2">
      <c r="A9" s="10" t="s">
        <v>37</v>
      </c>
      <c r="B9">
        <v>60</v>
      </c>
      <c r="C9">
        <v>12</v>
      </c>
      <c r="D9">
        <f>Table5[[#This Row],[Aforo]]*R$3</f>
        <v>60</v>
      </c>
      <c r="E9">
        <f>Table5[[#This Row],[Area (m2)]]*S$2</f>
        <v>18</v>
      </c>
      <c r="F9">
        <f>Table5[[#This Row],[Flujo ASHRAE ambiente (l/s)]]+Table5[[#This Row],[Flujo ASHRAE ocupantes (l/s)]]</f>
        <v>78</v>
      </c>
      <c r="G9">
        <f>3.6*Table5[[#This Row],[Flujo total ASHRAE (l/s)]]</f>
        <v>280.8</v>
      </c>
      <c r="H9" s="3">
        <f>Table5[[#This Row],[Flujo real ASHRAE (m3/h)]]/3600</f>
        <v>7.8E-2</v>
      </c>
      <c r="I9" s="3">
        <f>Table5[[#This Row],[Flujo real ASHRAE (m3/s)]]/$R$8</f>
        <v>3.9E-2</v>
      </c>
      <c r="J9" s="3">
        <f>SQRT(Table5[[#This Row],[Area del ducto (m2)]])</f>
        <v>0.19748417658131498</v>
      </c>
      <c r="K9" s="1">
        <f>$R$8*Table5[[#This Row],[Lado de Ducto (m)]]/$R$9</f>
        <v>26070.518360569633</v>
      </c>
      <c r="L9" s="1">
        <f>Table5[[#This Row],[Reynolds (-)]]*$R$9/$R$10</f>
        <v>3.2914029430219163</v>
      </c>
      <c r="M9" s="3">
        <f>Table5[[#This Row],[Velocidad de aire en modelo (m/s)]]*$R$10^2</f>
        <v>4.7396202379515591E-2</v>
      </c>
      <c r="N9" s="1">
        <f>Table5[[#This Row],[Flujo modelo ASHRAE (m3/s)]]*3600</f>
        <v>170.62632856625612</v>
      </c>
      <c r="O9" s="1">
        <f>Table5[[#This Row],[Flujo modelo ASHRAE (m3/h)]]*0.58857777021102</f>
        <v>100.42686400681988</v>
      </c>
      <c r="Q9" t="s">
        <v>79</v>
      </c>
      <c r="R9" s="21">
        <v>1.5150000000000001E-5</v>
      </c>
    </row>
    <row r="10" spans="1:19" x14ac:dyDescent="0.2">
      <c r="A10" s="10" t="s">
        <v>37</v>
      </c>
      <c r="B10">
        <v>60</v>
      </c>
      <c r="C10">
        <v>16</v>
      </c>
      <c r="D10">
        <f>Table5[[#This Row],[Aforo]]*R$3</f>
        <v>80</v>
      </c>
      <c r="E10">
        <f>Table5[[#This Row],[Area (m2)]]*S$2</f>
        <v>18</v>
      </c>
      <c r="F10">
        <f>Table5[[#This Row],[Flujo ASHRAE ambiente (l/s)]]+Table5[[#This Row],[Flujo ASHRAE ocupantes (l/s)]]</f>
        <v>98</v>
      </c>
      <c r="G10">
        <f>3.6*Table5[[#This Row],[Flujo total ASHRAE (l/s)]]</f>
        <v>352.8</v>
      </c>
      <c r="H10" s="3">
        <f>Table5[[#This Row],[Flujo real ASHRAE (m3/h)]]/3600</f>
        <v>9.8000000000000004E-2</v>
      </c>
      <c r="I10" s="3">
        <f>Table5[[#This Row],[Flujo real ASHRAE (m3/s)]]/$R$8</f>
        <v>4.9000000000000002E-2</v>
      </c>
      <c r="J10" s="3">
        <f>SQRT(Table5[[#This Row],[Area del ducto (m2)]])</f>
        <v>0.22135943621178655</v>
      </c>
      <c r="K10" s="1">
        <f>$R$8*Table5[[#This Row],[Lado de Ducto (m)]]/$R$9</f>
        <v>29222.367816737496</v>
      </c>
      <c r="L10" s="1">
        <f>Table5[[#This Row],[Reynolds (-)]]*$R$9/$R$10</f>
        <v>3.6893239368631092</v>
      </c>
      <c r="M10" s="3">
        <f>Table5[[#This Row],[Velocidad de aire en modelo (m/s)]]*$R$10^2</f>
        <v>5.3126264690828769E-2</v>
      </c>
      <c r="N10" s="1">
        <f>Table5[[#This Row],[Flujo modelo ASHRAE (m3/s)]]*3600</f>
        <v>191.25455288698356</v>
      </c>
      <c r="O10" s="1">
        <f>Table5[[#This Row],[Flujo modelo ASHRAE (m3/h)]]*0.58857777021102</f>
        <v>112.56817828092638</v>
      </c>
      <c r="Q10" t="s">
        <v>82</v>
      </c>
      <c r="R10">
        <v>0.12</v>
      </c>
    </row>
    <row r="11" spans="1:19" x14ac:dyDescent="0.2">
      <c r="A11" s="10" t="s">
        <v>37</v>
      </c>
      <c r="B11">
        <v>60</v>
      </c>
      <c r="C11">
        <v>20</v>
      </c>
      <c r="D11">
        <f>Table5[[#This Row],[Aforo]]*R$3</f>
        <v>100</v>
      </c>
      <c r="E11">
        <f>Table5[[#This Row],[Area (m2)]]*S$2</f>
        <v>18</v>
      </c>
      <c r="F11">
        <f>Table5[[#This Row],[Flujo ASHRAE ambiente (l/s)]]+Table5[[#This Row],[Flujo ASHRAE ocupantes (l/s)]]</f>
        <v>118</v>
      </c>
      <c r="G11">
        <f>3.6*Table5[[#This Row],[Flujo total ASHRAE (l/s)]]</f>
        <v>424.8</v>
      </c>
      <c r="H11" s="3">
        <f>Table5[[#This Row],[Flujo real ASHRAE (m3/h)]]/3600</f>
        <v>0.11800000000000001</v>
      </c>
      <c r="I11" s="3">
        <f>Table5[[#This Row],[Flujo real ASHRAE (m3/s)]]/$R$8</f>
        <v>5.9000000000000004E-2</v>
      </c>
      <c r="J11" s="3">
        <f>SQRT(Table5[[#This Row],[Area del ducto (m2)]])</f>
        <v>0.2428991560298224</v>
      </c>
      <c r="K11" s="1">
        <f>$R$8*Table5[[#This Row],[Lado de Ducto (m)]]/$R$9</f>
        <v>32065.895185455101</v>
      </c>
      <c r="L11" s="1">
        <f>Table5[[#This Row],[Reynolds (-)]]*$R$9/$R$10</f>
        <v>4.0483192671637065</v>
      </c>
      <c r="M11" s="3">
        <f>Table5[[#This Row],[Velocidad de aire en modelo (m/s)]]*$R$10^2</f>
        <v>5.829579744715737E-2</v>
      </c>
      <c r="N11" s="1">
        <f>Table5[[#This Row],[Flujo modelo ASHRAE (m3/s)]]*3600</f>
        <v>209.86487080976653</v>
      </c>
      <c r="O11" s="1">
        <f>Table5[[#This Row],[Flujo modelo ASHRAE (m3/h)]]*0.58857777021102</f>
        <v>123.52179770683615</v>
      </c>
      <c r="Q11"/>
    </row>
    <row r="12" spans="1:19" x14ac:dyDescent="0.2">
      <c r="A12" s="10" t="s">
        <v>38</v>
      </c>
      <c r="B12">
        <v>60</v>
      </c>
      <c r="C12">
        <v>2</v>
      </c>
      <c r="D12">
        <f>Table5[[#This Row],[Aforo]]*R$4</f>
        <v>20</v>
      </c>
      <c r="E12">
        <f>Table5[[#This Row],[Area (m2)]]*S$2</f>
        <v>18</v>
      </c>
      <c r="F12">
        <f>Table5[[#This Row],[Flujo ASHRAE ambiente (l/s)]]+Table5[[#This Row],[Flujo ASHRAE ocupantes (l/s)]]</f>
        <v>38</v>
      </c>
      <c r="G12">
        <f>3.6*Table5[[#This Row],[Flujo total ASHRAE (l/s)]]</f>
        <v>136.80000000000001</v>
      </c>
      <c r="H12" s="3">
        <f>Table5[[#This Row],[Flujo real ASHRAE (m3/h)]]/3600</f>
        <v>3.8000000000000006E-2</v>
      </c>
      <c r="I12" s="3">
        <f>Table5[[#This Row],[Flujo real ASHRAE (m3/s)]]/$R$8</f>
        <v>1.9000000000000003E-2</v>
      </c>
      <c r="J12" s="3">
        <f>SQRT(Table5[[#This Row],[Area del ducto (m2)]])</f>
        <v>0.13784048752090222</v>
      </c>
      <c r="K12" s="1">
        <f>$R$8*Table5[[#This Row],[Lado de Ducto (m)]]/$R$9</f>
        <v>18196.764029162008</v>
      </c>
      <c r="L12" s="1">
        <f>Table5[[#This Row],[Reynolds (-)]]*$R$9/$R$10</f>
        <v>2.2973414586817036</v>
      </c>
      <c r="M12" s="3">
        <f>Table5[[#This Row],[Velocidad de aire en modelo (m/s)]]*$R$10^2</f>
        <v>3.3081717005016532E-2</v>
      </c>
      <c r="N12" s="1">
        <f>Table5[[#This Row],[Flujo modelo ASHRAE (m3/s)]]*3600</f>
        <v>119.09418121805952</v>
      </c>
      <c r="O12" s="1">
        <f>Table5[[#This Row],[Flujo modelo ASHRAE (m3/h)]]*0.58857777021102</f>
        <v>70.096187626432609</v>
      </c>
      <c r="Q12"/>
    </row>
    <row r="13" spans="1:19" x14ac:dyDescent="0.2">
      <c r="A13" s="10" t="s">
        <v>38</v>
      </c>
      <c r="B13">
        <v>60</v>
      </c>
      <c r="C13">
        <v>4</v>
      </c>
      <c r="D13">
        <f>Table5[[#This Row],[Aforo]]*R$4</f>
        <v>40</v>
      </c>
      <c r="E13">
        <f>Table5[[#This Row],[Area (m2)]]*S$2</f>
        <v>18</v>
      </c>
      <c r="F13">
        <f>Table5[[#This Row],[Flujo ASHRAE ambiente (l/s)]]+Table5[[#This Row],[Flujo ASHRAE ocupantes (l/s)]]</f>
        <v>58</v>
      </c>
      <c r="G13">
        <f>3.6*Table5[[#This Row],[Flujo total ASHRAE (l/s)]]</f>
        <v>208.8</v>
      </c>
      <c r="H13" s="3">
        <f>Table5[[#This Row],[Flujo real ASHRAE (m3/h)]]/3600</f>
        <v>5.8000000000000003E-2</v>
      </c>
      <c r="I13" s="3">
        <f>Table5[[#This Row],[Flujo real ASHRAE (m3/s)]]/$R$8</f>
        <v>2.9000000000000001E-2</v>
      </c>
      <c r="J13" s="3">
        <f>SQRT(Table5[[#This Row],[Area del ducto (m2)]])</f>
        <v>0.17029386365926402</v>
      </c>
      <c r="K13" s="1">
        <f>$R$8*Table5[[#This Row],[Lado de Ducto (m)]]/$R$9</f>
        <v>22481.038106833534</v>
      </c>
      <c r="L13" s="1">
        <f>Table5[[#This Row],[Reynolds (-)]]*$R$9/$R$10</f>
        <v>2.8382310609877339</v>
      </c>
      <c r="M13" s="3">
        <f>Table5[[#This Row],[Velocidad de aire en modelo (m/s)]]*$R$10^2</f>
        <v>4.0870527278223365E-2</v>
      </c>
      <c r="N13" s="1">
        <f>Table5[[#This Row],[Flujo modelo ASHRAE (m3/s)]]*3600</f>
        <v>147.13389820160413</v>
      </c>
      <c r="O13" s="1">
        <f>Table5[[#This Row],[Flujo modelo ASHRAE (m3/h)]]*0.58857777021102</f>
        <v>86.599741725955354</v>
      </c>
      <c r="Q13"/>
    </row>
    <row r="14" spans="1:19" x14ac:dyDescent="0.2">
      <c r="A14" s="10" t="s">
        <v>38</v>
      </c>
      <c r="B14">
        <v>60</v>
      </c>
      <c r="C14">
        <v>6</v>
      </c>
      <c r="D14">
        <f>Table5[[#This Row],[Aforo]]*R$4</f>
        <v>60</v>
      </c>
      <c r="E14">
        <f>Table5[[#This Row],[Area (m2)]]*S$2</f>
        <v>18</v>
      </c>
      <c r="F14">
        <f>Table5[[#This Row],[Flujo ASHRAE ambiente (l/s)]]+Table5[[#This Row],[Flujo ASHRAE ocupantes (l/s)]]</f>
        <v>78</v>
      </c>
      <c r="G14">
        <f>3.6*Table5[[#This Row],[Flujo total ASHRAE (l/s)]]</f>
        <v>280.8</v>
      </c>
      <c r="H14" s="3">
        <f>Table5[[#This Row],[Flujo real ASHRAE (m3/h)]]/3600</f>
        <v>7.8E-2</v>
      </c>
      <c r="I14" s="3">
        <f>Table5[[#This Row],[Flujo real ASHRAE (m3/s)]]/$R$8</f>
        <v>3.9E-2</v>
      </c>
      <c r="J14" s="3">
        <f>SQRT(Table5[[#This Row],[Area del ducto (m2)]])</f>
        <v>0.19748417658131498</v>
      </c>
      <c r="K14" s="1">
        <f>$R$8*Table5[[#This Row],[Lado de Ducto (m)]]/$R$9</f>
        <v>26070.518360569633</v>
      </c>
      <c r="L14" s="1">
        <f>Table5[[#This Row],[Reynolds (-)]]*$R$9/$R$10</f>
        <v>3.2914029430219163</v>
      </c>
      <c r="M14" s="3">
        <f>Table5[[#This Row],[Velocidad de aire en modelo (m/s)]]*$R$10^2</f>
        <v>4.7396202379515591E-2</v>
      </c>
      <c r="N14" s="1">
        <f>Table5[[#This Row],[Flujo modelo ASHRAE (m3/s)]]*3600</f>
        <v>170.62632856625612</v>
      </c>
      <c r="O14" s="1">
        <f>Table5[[#This Row],[Flujo modelo ASHRAE (m3/h)]]*0.58857777021102</f>
        <v>100.42686400681988</v>
      </c>
      <c r="Q14"/>
    </row>
    <row r="15" spans="1:19" x14ac:dyDescent="0.2">
      <c r="A15" s="10" t="s">
        <v>38</v>
      </c>
      <c r="B15">
        <v>60</v>
      </c>
      <c r="C15">
        <v>8</v>
      </c>
      <c r="D15">
        <f>Table5[[#This Row],[Aforo]]*R$4</f>
        <v>80</v>
      </c>
      <c r="E15">
        <f>Table5[[#This Row],[Area (m2)]]*S$2</f>
        <v>18</v>
      </c>
      <c r="F15">
        <f>Table5[[#This Row],[Flujo ASHRAE ambiente (l/s)]]+Table5[[#This Row],[Flujo ASHRAE ocupantes (l/s)]]</f>
        <v>98</v>
      </c>
      <c r="G15">
        <f>3.6*Table5[[#This Row],[Flujo total ASHRAE (l/s)]]</f>
        <v>352.8</v>
      </c>
      <c r="H15" s="3">
        <f>Table5[[#This Row],[Flujo real ASHRAE (m3/h)]]/3600</f>
        <v>9.8000000000000004E-2</v>
      </c>
      <c r="I15" s="3">
        <f>Table5[[#This Row],[Flujo real ASHRAE (m3/s)]]/$R$8</f>
        <v>4.9000000000000002E-2</v>
      </c>
      <c r="J15" s="3">
        <f>SQRT(Table5[[#This Row],[Area del ducto (m2)]])</f>
        <v>0.22135943621178655</v>
      </c>
      <c r="K15" s="1">
        <f>$R$8*Table5[[#This Row],[Lado de Ducto (m)]]/$R$9</f>
        <v>29222.367816737496</v>
      </c>
      <c r="L15" s="1">
        <f>Table5[[#This Row],[Reynolds (-)]]*$R$9/$R$10</f>
        <v>3.6893239368631092</v>
      </c>
      <c r="M15" s="3">
        <f>Table5[[#This Row],[Velocidad de aire en modelo (m/s)]]*$R$10^2</f>
        <v>5.3126264690828769E-2</v>
      </c>
      <c r="N15" s="1">
        <f>Table5[[#This Row],[Flujo modelo ASHRAE (m3/s)]]*3600</f>
        <v>191.25455288698356</v>
      </c>
      <c r="O15" s="1">
        <f>Table5[[#This Row],[Flujo modelo ASHRAE (m3/h)]]*0.58857777021102</f>
        <v>112.56817828092638</v>
      </c>
      <c r="Q15"/>
    </row>
    <row r="16" spans="1:19" x14ac:dyDescent="0.2">
      <c r="A16" s="10" t="s">
        <v>38</v>
      </c>
      <c r="B16">
        <v>60</v>
      </c>
      <c r="C16">
        <v>10</v>
      </c>
      <c r="D16">
        <f>Table5[[#This Row],[Aforo]]*R$4</f>
        <v>100</v>
      </c>
      <c r="E16">
        <f>Table5[[#This Row],[Area (m2)]]*S$2</f>
        <v>18</v>
      </c>
      <c r="F16">
        <f>Table5[[#This Row],[Flujo ASHRAE ambiente (l/s)]]+Table5[[#This Row],[Flujo ASHRAE ocupantes (l/s)]]</f>
        <v>118</v>
      </c>
      <c r="G16">
        <f>3.6*Table5[[#This Row],[Flujo total ASHRAE (l/s)]]</f>
        <v>424.8</v>
      </c>
      <c r="H16" s="3">
        <f>Table5[[#This Row],[Flujo real ASHRAE (m3/h)]]/3600</f>
        <v>0.11800000000000001</v>
      </c>
      <c r="I16" s="3">
        <f>Table5[[#This Row],[Flujo real ASHRAE (m3/s)]]/$R$8</f>
        <v>5.9000000000000004E-2</v>
      </c>
      <c r="J16" s="3">
        <f>SQRT(Table5[[#This Row],[Area del ducto (m2)]])</f>
        <v>0.2428991560298224</v>
      </c>
      <c r="K16" s="1">
        <f>$R$8*Table5[[#This Row],[Lado de Ducto (m)]]/$R$9</f>
        <v>32065.895185455101</v>
      </c>
      <c r="L16" s="1">
        <f>Table5[[#This Row],[Reynolds (-)]]*$R$9/$R$10</f>
        <v>4.0483192671637065</v>
      </c>
      <c r="M16" s="3">
        <f>Table5[[#This Row],[Velocidad de aire en modelo (m/s)]]*$R$10^2</f>
        <v>5.829579744715737E-2</v>
      </c>
      <c r="N16" s="1">
        <f>Table5[[#This Row],[Flujo modelo ASHRAE (m3/s)]]*3600</f>
        <v>209.86487080976653</v>
      </c>
      <c r="O16" s="1">
        <f>Table5[[#This Row],[Flujo modelo ASHRAE (m3/h)]]*0.58857777021102</f>
        <v>123.52179770683615</v>
      </c>
      <c r="Q16"/>
    </row>
  </sheetData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Circuito</vt:lpstr>
      <vt:lpstr>Inyección de CO2</vt:lpstr>
      <vt:lpstr>ASHRAE Ventilación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Rondón</dc:creator>
  <cp:lastModifiedBy>Andrea Rondón</cp:lastModifiedBy>
  <dcterms:created xsi:type="dcterms:W3CDTF">2024-09-05T15:36:57Z</dcterms:created>
  <dcterms:modified xsi:type="dcterms:W3CDTF">2024-10-11T00:00:42Z</dcterms:modified>
</cp:coreProperties>
</file>