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-my.sharepoint.com/personal/andrew_isabirye_systemiq_earth/Documents/Project Documents/MPP - Steel/"/>
    </mc:Choice>
  </mc:AlternateContent>
  <xr:revisionPtr revIDLastSave="1412" documentId="8_{E5ECF8DE-F7F7-4DAE-A1FD-DC27A0AAFB42}" xr6:coauthVersionLast="47" xr6:coauthVersionMax="47" xr10:uidLastSave="{1EE36E01-7432-4967-9F23-5A64DB4D78AB}"/>
  <bookViews>
    <workbookView xWindow="-93" yWindow="-93" windowWidth="25786" windowHeight="13373" xr2:uid="{0B6EB920-BFAC-40B8-A9D9-6AEA75F19191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6" i="1" l="1"/>
  <c r="X41" i="1"/>
  <c r="X40" i="1"/>
  <c r="X13" i="1"/>
  <c r="X18" i="1"/>
  <c r="Y124" i="1"/>
  <c r="Y119" i="1"/>
  <c r="Y26" i="1"/>
  <c r="X26" i="1"/>
  <c r="Z136" i="1"/>
  <c r="Z135" i="1"/>
  <c r="Z130" i="1"/>
  <c r="Z129" i="1"/>
  <c r="Z90" i="1"/>
  <c r="Z72" i="1"/>
  <c r="Z69" i="1"/>
  <c r="Z66" i="1" s="1"/>
  <c r="Z58" i="1"/>
  <c r="Z64" i="1" l="1"/>
  <c r="W136" i="1" l="1"/>
  <c r="W135" i="1"/>
  <c r="W128" i="1"/>
  <c r="W161" i="1"/>
  <c r="W159" i="1"/>
  <c r="W92" i="1"/>
  <c r="W58" i="1"/>
  <c r="W41" i="1"/>
  <c r="W40" i="1"/>
  <c r="W38" i="1"/>
  <c r="W37" i="1"/>
  <c r="W26" i="1"/>
  <c r="V26" i="1"/>
  <c r="W18" i="1"/>
  <c r="W13" i="1"/>
  <c r="V90" i="1"/>
  <c r="W90" i="1" s="1"/>
  <c r="X90" i="1" s="1"/>
  <c r="V86" i="1"/>
  <c r="V79" i="1"/>
  <c r="W79" i="1" s="1"/>
  <c r="V78" i="1"/>
  <c r="X78" i="1" s="1"/>
  <c r="V101" i="1"/>
  <c r="W101" i="1" s="1"/>
  <c r="V92" i="1"/>
  <c r="V91" i="1"/>
  <c r="W91" i="1" s="1"/>
  <c r="V54" i="1"/>
  <c r="X54" i="1" s="1"/>
  <c r="V55" i="1"/>
  <c r="X55" i="1" s="1"/>
  <c r="V57" i="1"/>
  <c r="X57" i="1" s="1"/>
  <c r="V58" i="1"/>
  <c r="X58" i="1" s="1"/>
  <c r="V42" i="1"/>
  <c r="X42" i="1" s="1"/>
  <c r="X162" i="1" s="1"/>
  <c r="U156" i="1"/>
  <c r="U155" i="1"/>
  <c r="U154" i="1"/>
  <c r="U153" i="1"/>
  <c r="U132" i="1"/>
  <c r="U130" i="1"/>
  <c r="U83" i="1"/>
  <c r="U86" i="1"/>
  <c r="U87" i="1"/>
  <c r="U90" i="1"/>
  <c r="U72" i="1"/>
  <c r="U70" i="1"/>
  <c r="U45" i="1"/>
  <c r="U51" i="1"/>
  <c r="U55" i="1"/>
  <c r="U58" i="1"/>
  <c r="U60" i="1"/>
  <c r="T124" i="1"/>
  <c r="T119" i="1"/>
  <c r="T151" i="1"/>
  <c r="S122" i="1"/>
  <c r="S121" i="1"/>
  <c r="S119" i="1"/>
  <c r="S110" i="1"/>
  <c r="R136" i="1"/>
  <c r="R132" i="1"/>
  <c r="R128" i="1"/>
  <c r="R90" i="1"/>
  <c r="R89" i="1"/>
  <c r="R88" i="1"/>
  <c r="R85" i="1"/>
  <c r="R84" i="1"/>
  <c r="R81" i="1"/>
  <c r="R18" i="1"/>
  <c r="R13" i="1"/>
  <c r="Q132" i="1"/>
  <c r="Q131" i="1"/>
  <c r="Q78" i="1"/>
  <c r="R78" i="1" s="1"/>
  <c r="Q148" i="1"/>
  <c r="Q146" i="1"/>
  <c r="Q19" i="1"/>
  <c r="R19" i="1" s="1"/>
  <c r="R131" i="1" s="1"/>
  <c r="Q18" i="1"/>
  <c r="Q4" i="1"/>
  <c r="R4" i="1" s="1"/>
  <c r="P118" i="1"/>
  <c r="P101" i="1"/>
  <c r="X101" i="1" s="1"/>
  <c r="P92" i="1"/>
  <c r="X92" i="1" s="1"/>
  <c r="P103" i="1"/>
  <c r="X103" i="1" s="1"/>
  <c r="P91" i="1"/>
  <c r="P30" i="1"/>
  <c r="O136" i="1"/>
  <c r="O135" i="1"/>
  <c r="O126" i="1"/>
  <c r="O125" i="1"/>
  <c r="O120" i="1"/>
  <c r="O118" i="1"/>
  <c r="O92" i="1"/>
  <c r="O94" i="1"/>
  <c r="O95" i="1"/>
  <c r="O96" i="1"/>
  <c r="O97" i="1"/>
  <c r="O98" i="1"/>
  <c r="O99" i="1"/>
  <c r="O100" i="1"/>
  <c r="O91" i="1"/>
  <c r="O54" i="1"/>
  <c r="O55" i="1"/>
  <c r="O57" i="1"/>
  <c r="N126" i="1"/>
  <c r="N125" i="1"/>
  <c r="N120" i="1"/>
  <c r="N121" i="1" s="1"/>
  <c r="N118" i="1"/>
  <c r="N92" i="1"/>
  <c r="N100" i="1"/>
  <c r="N91" i="1" s="1"/>
  <c r="M126" i="1"/>
  <c r="M125" i="1"/>
  <c r="M118" i="1"/>
  <c r="M103" i="1"/>
  <c r="M92" i="1"/>
  <c r="M91" i="1"/>
  <c r="M27" i="1"/>
  <c r="K11" i="1"/>
  <c r="K10" i="1"/>
  <c r="J90" i="1"/>
  <c r="J21" i="1"/>
  <c r="J19" i="1"/>
  <c r="J17" i="1"/>
  <c r="J8" i="1"/>
  <c r="I132" i="1"/>
  <c r="I21" i="1"/>
  <c r="I19" i="1"/>
  <c r="I17" i="1"/>
  <c r="G44" i="1"/>
  <c r="G13" i="1"/>
  <c r="G78" i="1" s="1"/>
  <c r="H89" i="1"/>
  <c r="Z89" i="1" s="1"/>
  <c r="H85" i="1"/>
  <c r="Z85" i="1" s="1"/>
  <c r="H77" i="1"/>
  <c r="Z77" i="1" s="1"/>
  <c r="H76" i="1"/>
  <c r="Z76" i="1" s="1"/>
  <c r="H75" i="1"/>
  <c r="Z75" i="1" s="1"/>
  <c r="H74" i="1"/>
  <c r="Z74" i="1" s="1"/>
  <c r="H73" i="1"/>
  <c r="Z73" i="1" s="1"/>
  <c r="H59" i="1"/>
  <c r="U59" i="1" s="1"/>
  <c r="H46" i="1"/>
  <c r="U46" i="1" s="1"/>
  <c r="H18" i="1"/>
  <c r="U18" i="1" s="1"/>
  <c r="Z18" i="1" s="1"/>
  <c r="H15" i="1"/>
  <c r="U15" i="1" s="1"/>
  <c r="U129" i="1" s="1"/>
  <c r="H9" i="1"/>
  <c r="U9" i="1" s="1"/>
  <c r="T26" i="1"/>
  <c r="S26" i="1"/>
  <c r="S114" i="1" s="1"/>
  <c r="U85" i="1" l="1"/>
  <c r="V89" i="1"/>
  <c r="W89" i="1" s="1"/>
  <c r="H13" i="1"/>
  <c r="U74" i="1"/>
  <c r="V85" i="1"/>
  <c r="X85" i="1" s="1"/>
  <c r="U89" i="1"/>
  <c r="W42" i="1"/>
  <c r="I18" i="1"/>
  <c r="U75" i="1"/>
  <c r="W57" i="1"/>
  <c r="K18" i="1"/>
  <c r="U76" i="1"/>
  <c r="U77" i="1"/>
  <c r="W78" i="1"/>
  <c r="J18" i="1"/>
  <c r="W85" i="1"/>
  <c r="W55" i="1"/>
  <c r="K9" i="1"/>
  <c r="Q80" i="1"/>
  <c r="U64" i="1"/>
  <c r="V160" i="1"/>
  <c r="W160" i="1" s="1"/>
  <c r="W54" i="1"/>
  <c r="G45" i="1"/>
  <c r="H44" i="1" s="1"/>
  <c r="U44" i="1" s="1"/>
  <c r="P104" i="1"/>
  <c r="O26" i="1"/>
  <c r="H10" i="1"/>
  <c r="P114" i="1"/>
  <c r="P115" i="1" s="1"/>
  <c r="P116" i="1"/>
  <c r="P117" i="1"/>
  <c r="P125" i="1"/>
  <c r="P126" i="1"/>
  <c r="P54" i="1"/>
  <c r="P55" i="1"/>
  <c r="P58" i="1"/>
  <c r="L122" i="1"/>
  <c r="L121" i="1"/>
  <c r="L119" i="1"/>
  <c r="L111" i="1"/>
  <c r="L101" i="1"/>
  <c r="L59" i="1"/>
  <c r="L26" i="1"/>
  <c r="K136" i="1"/>
  <c r="U158" i="1" s="1"/>
  <c r="K135" i="1"/>
  <c r="U157" i="1" s="1"/>
  <c r="K132" i="1"/>
  <c r="K90" i="1"/>
  <c r="K65" i="1"/>
  <c r="K67" i="1"/>
  <c r="K69" i="1"/>
  <c r="K15" i="1"/>
  <c r="K129" i="1" s="1"/>
  <c r="J132" i="1"/>
  <c r="J67" i="1"/>
  <c r="J65" i="1"/>
  <c r="J15" i="1"/>
  <c r="J16" i="1" s="1"/>
  <c r="J130" i="1" s="1"/>
  <c r="J7" i="1"/>
  <c r="I90" i="1"/>
  <c r="I69" i="1"/>
  <c r="I65" i="1"/>
  <c r="I15" i="1"/>
  <c r="I11" i="1"/>
  <c r="H129" i="1"/>
  <c r="Q79" i="1" l="1"/>
  <c r="R79" i="1" s="1"/>
  <c r="R80" i="1"/>
  <c r="M122" i="1"/>
  <c r="N122" i="1"/>
  <c r="P123" i="1"/>
  <c r="O122" i="1"/>
  <c r="P122" i="1"/>
  <c r="M121" i="1"/>
  <c r="O121" i="1"/>
  <c r="M59" i="1"/>
  <c r="V59" i="1"/>
  <c r="O59" i="1"/>
  <c r="N59" i="1"/>
  <c r="N101" i="1"/>
  <c r="O101" i="1"/>
  <c r="M101" i="1"/>
  <c r="M108" i="1"/>
  <c r="X104" i="1"/>
  <c r="L93" i="1"/>
  <c r="O93" i="1" s="1"/>
  <c r="O111" i="1"/>
  <c r="N111" i="1"/>
  <c r="P111" i="1"/>
  <c r="X79" i="1" s="1"/>
  <c r="M111" i="1"/>
  <c r="P119" i="1"/>
  <c r="O119" i="1"/>
  <c r="M119" i="1"/>
  <c r="N119" i="1"/>
  <c r="K16" i="1"/>
  <c r="K130" i="1" s="1"/>
  <c r="J129" i="1"/>
  <c r="I129" i="1"/>
  <c r="X59" i="1" l="1"/>
  <c r="W59" i="1"/>
  <c r="X89" i="1"/>
  <c r="Y122" i="1"/>
  <c r="T122" i="1"/>
  <c r="H90" i="1"/>
  <c r="K89" i="1"/>
  <c r="H88" i="1"/>
  <c r="H82" i="1"/>
  <c r="K83" i="1"/>
  <c r="H84" i="1"/>
  <c r="K85" i="1"/>
  <c r="H81" i="1"/>
  <c r="H80" i="1"/>
  <c r="H78" i="1"/>
  <c r="H68" i="1"/>
  <c r="H62" i="1"/>
  <c r="H63" i="1"/>
  <c r="H61" i="1"/>
  <c r="H56" i="1"/>
  <c r="H57" i="1"/>
  <c r="H47" i="1"/>
  <c r="K46" i="1"/>
  <c r="H43" i="1"/>
  <c r="U43" i="1" s="1"/>
  <c r="H11" i="1"/>
  <c r="K82" i="1" l="1"/>
  <c r="U82" i="1"/>
  <c r="K88" i="1"/>
  <c r="Z88" i="1"/>
  <c r="V88" i="1"/>
  <c r="W88" i="1" s="1"/>
  <c r="U88" i="1"/>
  <c r="K47" i="1"/>
  <c r="U47" i="1"/>
  <c r="Z78" i="1"/>
  <c r="U78" i="1"/>
  <c r="K78" i="1"/>
  <c r="K84" i="1"/>
  <c r="Z84" i="1"/>
  <c r="V84" i="1"/>
  <c r="U84" i="1"/>
  <c r="K62" i="1"/>
  <c r="U62" i="1"/>
  <c r="K57" i="1"/>
  <c r="U57" i="1"/>
  <c r="K81" i="1"/>
  <c r="V87" i="1"/>
  <c r="W87" i="1" s="1"/>
  <c r="Z81" i="1"/>
  <c r="U81" i="1"/>
  <c r="K63" i="1"/>
  <c r="U63" i="1"/>
  <c r="K68" i="1"/>
  <c r="J68" i="1"/>
  <c r="Z80" i="1"/>
  <c r="Y110" i="1"/>
  <c r="T110" i="1"/>
  <c r="U80" i="1"/>
  <c r="H79" i="1"/>
  <c r="K56" i="1"/>
  <c r="U56" i="1"/>
  <c r="K61" i="1"/>
  <c r="U61" i="1"/>
  <c r="J43" i="1"/>
  <c r="K43" i="1"/>
  <c r="I59" i="1"/>
  <c r="Z59" i="1" s="1"/>
  <c r="K59" i="1"/>
  <c r="J72" i="1"/>
  <c r="K72" i="1"/>
  <c r="J80" i="1"/>
  <c r="K80" i="1"/>
  <c r="I78" i="1"/>
  <c r="J78" i="1"/>
  <c r="I81" i="1"/>
  <c r="J81" i="1"/>
  <c r="I85" i="1"/>
  <c r="J85" i="1"/>
  <c r="I84" i="1"/>
  <c r="J84" i="1"/>
  <c r="I83" i="1"/>
  <c r="J83" i="1"/>
  <c r="I82" i="1"/>
  <c r="Z82" i="1" s="1"/>
  <c r="J82" i="1"/>
  <c r="I88" i="1"/>
  <c r="J88" i="1"/>
  <c r="I89" i="1"/>
  <c r="J89" i="1"/>
  <c r="I63" i="1"/>
  <c r="Z63" i="1" s="1"/>
  <c r="J63" i="1"/>
  <c r="I46" i="1"/>
  <c r="Z46" i="1" s="1"/>
  <c r="J46" i="1"/>
  <c r="I47" i="1"/>
  <c r="Z47" i="1" s="1"/>
  <c r="J47" i="1"/>
  <c r="J59" i="1"/>
  <c r="I57" i="1"/>
  <c r="Z57" i="1" s="1"/>
  <c r="J57" i="1"/>
  <c r="I56" i="1"/>
  <c r="Z56" i="1" s="1"/>
  <c r="J56" i="1"/>
  <c r="I61" i="1"/>
  <c r="Z61" i="1" s="1"/>
  <c r="J61" i="1"/>
  <c r="I62" i="1"/>
  <c r="Z62" i="1" s="1"/>
  <c r="J62" i="1"/>
  <c r="I43" i="1"/>
  <c r="Z43" i="1" s="1"/>
  <c r="K73" i="1"/>
  <c r="H64" i="1"/>
  <c r="K64" i="1" s="1"/>
  <c r="I72" i="1"/>
  <c r="K79" i="1"/>
  <c r="I80" i="1"/>
  <c r="G132" i="1"/>
  <c r="G129" i="1"/>
  <c r="G80" i="1"/>
  <c r="G79" i="1" s="1"/>
  <c r="G68" i="1"/>
  <c r="G64" i="1" s="1"/>
  <c r="G54" i="1"/>
  <c r="G53" i="1"/>
  <c r="G52" i="1"/>
  <c r="H52" i="1" s="1"/>
  <c r="U52" i="1" s="1"/>
  <c r="G50" i="1"/>
  <c r="G49" i="1"/>
  <c r="H49" i="1" s="1"/>
  <c r="G48" i="1"/>
  <c r="H48" i="1" s="1"/>
  <c r="G16" i="1"/>
  <c r="Z79" i="1" l="1"/>
  <c r="U79" i="1"/>
  <c r="W84" i="1"/>
  <c r="X84" i="1"/>
  <c r="K48" i="1"/>
  <c r="U48" i="1"/>
  <c r="Y113" i="1"/>
  <c r="Y112" i="1"/>
  <c r="H16" i="1"/>
  <c r="G130" i="1"/>
  <c r="T112" i="1"/>
  <c r="T113" i="1"/>
  <c r="K49" i="1"/>
  <c r="U49" i="1"/>
  <c r="H53" i="1"/>
  <c r="L53" i="1"/>
  <c r="J52" i="1"/>
  <c r="K52" i="1"/>
  <c r="J74" i="1"/>
  <c r="K74" i="1"/>
  <c r="I79" i="1"/>
  <c r="J79" i="1"/>
  <c r="K77" i="1"/>
  <c r="J73" i="1"/>
  <c r="I64" i="1"/>
  <c r="J64" i="1"/>
  <c r="I73" i="1"/>
  <c r="I48" i="1"/>
  <c r="Z48" i="1" s="1"/>
  <c r="J48" i="1"/>
  <c r="I49" i="1"/>
  <c r="Z49" i="1" s="1"/>
  <c r="J49" i="1"/>
  <c r="I52" i="1"/>
  <c r="Z52" i="1" s="1"/>
  <c r="K76" i="1"/>
  <c r="I74" i="1"/>
  <c r="K45" i="1"/>
  <c r="G55" i="1"/>
  <c r="K55" i="1" s="1"/>
  <c r="G51" i="1"/>
  <c r="H50" i="1" s="1"/>
  <c r="U50" i="1" s="1"/>
  <c r="K51" i="1" l="1"/>
  <c r="H71" i="1"/>
  <c r="O53" i="1"/>
  <c r="V53" i="1"/>
  <c r="P53" i="1"/>
  <c r="M53" i="1"/>
  <c r="N53" i="1"/>
  <c r="H130" i="1"/>
  <c r="I16" i="1"/>
  <c r="I130" i="1" s="1"/>
  <c r="I53" i="1"/>
  <c r="Z53" i="1" s="1"/>
  <c r="U53" i="1"/>
  <c r="H54" i="1"/>
  <c r="U54" i="1" s="1"/>
  <c r="J53" i="1"/>
  <c r="K53" i="1"/>
  <c r="K54" i="1"/>
  <c r="L56" i="1"/>
  <c r="I75" i="1"/>
  <c r="J50" i="1"/>
  <c r="K50" i="1"/>
  <c r="J44" i="1"/>
  <c r="K44" i="1"/>
  <c r="J75" i="1"/>
  <c r="K75" i="1"/>
  <c r="I76" i="1"/>
  <c r="J76" i="1"/>
  <c r="I77" i="1"/>
  <c r="J77" i="1"/>
  <c r="I50" i="1"/>
  <c r="Z50" i="1" s="1"/>
  <c r="I51" i="1"/>
  <c r="Z51" i="1" s="1"/>
  <c r="J51" i="1"/>
  <c r="I54" i="1"/>
  <c r="Z54" i="1" s="1"/>
  <c r="J54" i="1"/>
  <c r="I55" i="1"/>
  <c r="Z55" i="1" s="1"/>
  <c r="J55" i="1"/>
  <c r="I44" i="1"/>
  <c r="Z44" i="1" s="1"/>
  <c r="I45" i="1"/>
  <c r="Z45" i="1" s="1"/>
  <c r="J45" i="1"/>
  <c r="M56" i="1" l="1"/>
  <c r="V56" i="1"/>
  <c r="N60" i="1"/>
  <c r="O56" i="1"/>
  <c r="N56" i="1"/>
  <c r="P59" i="1"/>
  <c r="Z71" i="1"/>
  <c r="V73" i="1"/>
  <c r="U73" i="1"/>
  <c r="K71" i="1"/>
  <c r="J71" i="1"/>
  <c r="I71" i="1"/>
  <c r="X53" i="1"/>
  <c r="W53" i="1"/>
  <c r="X56" i="1" l="1"/>
  <c r="W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tc={BB625ECD-A04C-4D1E-8FF6-3FC2D0FC230B}</author>
  </authors>
  <commentList>
    <comment ref="P27" authorId="0" shapeId="0" xr:uid="{BB625ECD-A04C-4D1E-8FF6-3FC2D0FC230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stoichiometry of reactions:
1. 3Fe2O3 + H2 -&gt; 2Fe3O4 + H2O
2. 2 Fe3O4 + 2H2 -&gt; 6FeO + 2H2O
3. 6FeO + 6H2 -&gt; 6Fe + 6H2O
Hence, total of 9 moles of H2 (9*2=18g) per 6 moles of Fe (6*56 = 336), which translates into 18/336 = 0.0536 g/g = 53.6 kg H2/t</t>
      </text>
    </comment>
  </commentList>
</comments>
</file>

<file path=xl/sharedStrings.xml><?xml version="1.0" encoding="utf-8"?>
<sst xmlns="http://schemas.openxmlformats.org/spreadsheetml/2006/main" count="797" uniqueCount="179">
  <si>
    <t>Steel Business Cases</t>
  </si>
  <si>
    <t>Non-Furnace</t>
  </si>
  <si>
    <t>Avg BF-BOF</t>
  </si>
  <si>
    <t>BAT BF-BOF</t>
  </si>
  <si>
    <t>BAT BF-BOF_bio PCI</t>
  </si>
  <si>
    <t>BAT BF-BOF_H2 PCI</t>
  </si>
  <si>
    <t>BAT BF-BOF+CCUS</t>
  </si>
  <si>
    <t>DRI-EAF</t>
  </si>
  <si>
    <t>DRI-EAF_50% green H2</t>
  </si>
  <si>
    <t>DRI-EAF_50% bio-CH4</t>
  </si>
  <si>
    <t>DRI-EAF+CCUS</t>
  </si>
  <si>
    <t>DRI-EAF_100% green H2</t>
  </si>
  <si>
    <t>Smelting Reduction</t>
  </si>
  <si>
    <t>Smelting Reduction+CCUS</t>
  </si>
  <si>
    <t>EAF</t>
  </si>
  <si>
    <t>Charcoal mini furnace</t>
  </si>
  <si>
    <t>Electrolyzer-EAF</t>
  </si>
  <si>
    <t>BAT BF-BOF+CCU</t>
  </si>
  <si>
    <t>DRI-Melt-BOF</t>
  </si>
  <si>
    <t>DRI-Melt-BOF+CCUS</t>
  </si>
  <si>
    <t>DRI-Melt-BOF_100% zero-C H2</t>
  </si>
  <si>
    <t>Electrowinning-EAF</t>
  </si>
  <si>
    <t>BAT BF-BOF+BECCUS</t>
  </si>
  <si>
    <t>Section</t>
  </si>
  <si>
    <t>Process</t>
  </si>
  <si>
    <t>Process Detail</t>
  </si>
  <si>
    <t>Step</t>
  </si>
  <si>
    <t>Unit</t>
  </si>
  <si>
    <t>Parameters</t>
  </si>
  <si>
    <t>Important</t>
  </si>
  <si>
    <t>Scrap steel used for cooling</t>
  </si>
  <si>
    <t>t scrap/t LS</t>
  </si>
  <si>
    <t>Pulverized Coal (Reductant) Injection</t>
  </si>
  <si>
    <t>kg reductant/t HM</t>
  </si>
  <si>
    <t>Reductant Injection - hydrogen</t>
  </si>
  <si>
    <t>Hydrogen / PCI replacement ratio</t>
  </si>
  <si>
    <t>kg H2/kg PCI</t>
  </si>
  <si>
    <t>PCI replacement ratio</t>
  </si>
  <si>
    <t>t coal/t coke</t>
  </si>
  <si>
    <t>PCI reductant / coke replacement ratio</t>
  </si>
  <si>
    <t>t reductant/t coke</t>
  </si>
  <si>
    <t>Supplementary</t>
  </si>
  <si>
    <t>LCV of injected reductant</t>
  </si>
  <si>
    <t>GJ/t reductant</t>
  </si>
  <si>
    <t>Share of electricity purchased in total demand</t>
  </si>
  <si>
    <t>%</t>
  </si>
  <si>
    <t>CCS Capture rate</t>
  </si>
  <si>
    <t>Oxygen consumption</t>
  </si>
  <si>
    <t>Nm^3/tcs</t>
  </si>
  <si>
    <t>TGR-driven reduction in coal input to BF</t>
  </si>
  <si>
    <t>Coke Oven Gas energy share in Factory Gas</t>
  </si>
  <si>
    <t>Blast Furnace Gas energy share in Factory Gas</t>
  </si>
  <si>
    <t>Coke LCV</t>
  </si>
  <si>
    <t>GJ/t</t>
  </si>
  <si>
    <t>Mass lost in oxygen furnace</t>
  </si>
  <si>
    <t>Efficiency of on-site power generation</t>
  </si>
  <si>
    <t>Efficiency of steam generation</t>
  </si>
  <si>
    <t>Energy efficiency gain vs Old BF</t>
  </si>
  <si>
    <t>Scrap steel per t of steel produced</t>
  </si>
  <si>
    <t>Share of energy delivered with natural gas</t>
  </si>
  <si>
    <t>Electricity required assuming no preheating</t>
  </si>
  <si>
    <t>GJ/t LS</t>
  </si>
  <si>
    <t>DRI metallic Fe concentration</t>
  </si>
  <si>
    <t>% Fe</t>
  </si>
  <si>
    <t>Natural gas combustion efficiency</t>
  </si>
  <si>
    <t>H2 required per 1 t of Fe</t>
  </si>
  <si>
    <t>kg H2/t Fe</t>
  </si>
  <si>
    <t>% of NG mass replaced with H2</t>
  </si>
  <si>
    <t>Amount of methane in NG</t>
  </si>
  <si>
    <t>Enthalpy of iron ore reduction with H2</t>
  </si>
  <si>
    <t>GJ of NG replaced with 1 GJ of H2</t>
  </si>
  <si>
    <t>GJ/GJ</t>
  </si>
  <si>
    <t>Hydrogen LCV</t>
  </si>
  <si>
    <t>Natural gas LCV</t>
  </si>
  <si>
    <t>Molar mass of H2</t>
  </si>
  <si>
    <t>kg/kmol</t>
  </si>
  <si>
    <t>Efficiency of electric heating</t>
  </si>
  <si>
    <t>Coke Production</t>
  </si>
  <si>
    <t>Raw Materials</t>
  </si>
  <si>
    <t>Met coal</t>
  </si>
  <si>
    <t>t/t coke</t>
  </si>
  <si>
    <t>Energy</t>
  </si>
  <si>
    <t>COG</t>
  </si>
  <si>
    <t>GJ/t coke</t>
  </si>
  <si>
    <t>BF gas</t>
  </si>
  <si>
    <t>Electricity</t>
  </si>
  <si>
    <t>Steam</t>
  </si>
  <si>
    <t>Sintering</t>
  </si>
  <si>
    <t>Iron ore</t>
  </si>
  <si>
    <t>t/t sinter</t>
  </si>
  <si>
    <t>Thermal coal</t>
  </si>
  <si>
    <t>GJ/t sinter</t>
  </si>
  <si>
    <t>Pelletisation</t>
  </si>
  <si>
    <t>t/t pellet</t>
  </si>
  <si>
    <t>GJ/t pellet</t>
  </si>
  <si>
    <t>Natural gas</t>
  </si>
  <si>
    <t>Solid fuels</t>
  </si>
  <si>
    <t>Blast Furnace</t>
  </si>
  <si>
    <t>Sinter</t>
  </si>
  <si>
    <t>t/t HM</t>
  </si>
  <si>
    <t>Pellets</t>
  </si>
  <si>
    <t>Coke</t>
  </si>
  <si>
    <t>DRI</t>
  </si>
  <si>
    <t>Tuyere injection</t>
  </si>
  <si>
    <t>Hydrogen</t>
  </si>
  <si>
    <t>kg/t HM</t>
  </si>
  <si>
    <t>Biomass</t>
  </si>
  <si>
    <t>Stoves</t>
  </si>
  <si>
    <t>GJ/t HM</t>
  </si>
  <si>
    <t>BOF gas</t>
  </si>
  <si>
    <t>Machine drive</t>
  </si>
  <si>
    <t>Other</t>
  </si>
  <si>
    <t>BF slag</t>
  </si>
  <si>
    <t>Oxygen Generation</t>
  </si>
  <si>
    <t>Basic Oxygen Steelmaking + Casting</t>
  </si>
  <si>
    <t>Hot metal required</t>
  </si>
  <si>
    <t>t/t LS</t>
  </si>
  <si>
    <t>Scrap</t>
  </si>
  <si>
    <t>Other slag</t>
  </si>
  <si>
    <t>kg/t LS</t>
  </si>
  <si>
    <t>Shaft Furnace</t>
  </si>
  <si>
    <t>GJ/t DRI</t>
  </si>
  <si>
    <t>t/t DRI</t>
  </si>
  <si>
    <t>Coal</t>
  </si>
  <si>
    <t>Heating</t>
  </si>
  <si>
    <t>EAF (Steel-making) + Casting</t>
  </si>
  <si>
    <t>DRI - captive</t>
  </si>
  <si>
    <t>Pre-heating and process control</t>
  </si>
  <si>
    <t>Energy - casting</t>
  </si>
  <si>
    <t>Process emissions</t>
  </si>
  <si>
    <t>tCO2/tLS</t>
  </si>
  <si>
    <t>Limestone</t>
  </si>
  <si>
    <t>Blast furnace lime</t>
  </si>
  <si>
    <t>BOF lime</t>
  </si>
  <si>
    <t>Self-Generation Of Electricity</t>
  </si>
  <si>
    <t>GJ/GJ electricity</t>
  </si>
  <si>
    <t>GJ/GJ steam</t>
  </si>
  <si>
    <t>CCS</t>
  </si>
  <si>
    <t>Total CO2 to capture</t>
  </si>
  <si>
    <t>tCO2/t CO2</t>
  </si>
  <si>
    <t>Reboiler duty</t>
  </si>
  <si>
    <t>GJ/tCO2</t>
  </si>
  <si>
    <t>Compression</t>
  </si>
  <si>
    <t>Captured CO2</t>
  </si>
  <si>
    <t>25 MW Steel</t>
  </si>
  <si>
    <t>kWh/NM³</t>
  </si>
  <si>
    <t>Biomethane share in methane input</t>
  </si>
  <si>
    <t xml:space="preserve">Biomethane </t>
  </si>
  <si>
    <t>Biomethane</t>
  </si>
  <si>
    <t>GJ/t H2</t>
  </si>
  <si>
    <t xml:space="preserve">Smelting Furnace </t>
  </si>
  <si>
    <t>Natural Gas</t>
  </si>
  <si>
    <t>Energy-oxygen furnace</t>
  </si>
  <si>
    <t>Energy-casting</t>
  </si>
  <si>
    <t>Electrolyzer</t>
  </si>
  <si>
    <t>t/t Fe</t>
  </si>
  <si>
    <t>GJ/t Fe</t>
  </si>
  <si>
    <t>Electrolysis</t>
  </si>
  <si>
    <t xml:space="preserve">Iron in steel </t>
  </si>
  <si>
    <t>Energy - casting machine drive</t>
  </si>
  <si>
    <t xml:space="preserve">Plastic waste </t>
  </si>
  <si>
    <t>CCU -CO-based</t>
  </si>
  <si>
    <t>CO2</t>
  </si>
  <si>
    <t>tCO2/t ethanol</t>
  </si>
  <si>
    <t>GJ/t ethanol</t>
  </si>
  <si>
    <t>CCU -CO2-based</t>
  </si>
  <si>
    <t xml:space="preserve">Temperature of DRI pellets when reaching remelter </t>
  </si>
  <si>
    <t>deg C</t>
  </si>
  <si>
    <t>Temperature of DRI after remelter</t>
  </si>
  <si>
    <t xml:space="preserve">Efficiency of remelter heating </t>
  </si>
  <si>
    <t xml:space="preserve">Iron heat capacity - solid </t>
  </si>
  <si>
    <t>MJ/(t*K)</t>
  </si>
  <si>
    <t xml:space="preserve">Iron heat capacity - liquid </t>
  </si>
  <si>
    <t xml:space="preserve">Iron heat of fusion </t>
  </si>
  <si>
    <t>GJ/t iron</t>
  </si>
  <si>
    <t>Remelt</t>
  </si>
  <si>
    <t>DRI-Captive</t>
  </si>
  <si>
    <t>t/tHM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</si>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</sst>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textRotation="90"/>
    </xf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left" vertical="center"/>
    </xf>
    <xf numFmtId="0" fontId="5" fillId="3" borderId="0" xfId="2"/>
    <xf numFmtId="0" fontId="6" fillId="0" borderId="0" xfId="0" applyFont="1" applyAlignment="1">
      <alignment horizontal="center" textRotation="90"/>
    </xf>
    <xf numFmtId="0" fontId="0" fillId="0" borderId="0" xfId="0" applyAlignment="1"/>
    <xf numFmtId="0" fontId="7" fillId="0" borderId="0" xfId="0" applyFont="1"/>
    <xf numFmtId="0" fontId="8" fillId="0" borderId="0" xfId="0" applyFont="1" applyAlignment="1">
      <alignment horizontal="center" textRotation="90"/>
    </xf>
    <xf numFmtId="0" fontId="8" fillId="0" borderId="0" xfId="0" applyFont="1" applyFill="1"/>
    <xf numFmtId="0" fontId="7" fillId="0" borderId="0" xfId="0" applyFont="1" applyFill="1"/>
    <xf numFmtId="9" fontId="7" fillId="0" borderId="0" xfId="0" applyNumberFormat="1" applyFont="1" applyFill="1"/>
    <xf numFmtId="2" fontId="7" fillId="0" borderId="0" xfId="0" applyNumberFormat="1" applyFont="1" applyFill="1"/>
    <xf numFmtId="1" fontId="7" fillId="0" borderId="0" xfId="0" applyNumberFormat="1" applyFont="1" applyFill="1"/>
    <xf numFmtId="2" fontId="7" fillId="0" borderId="0" xfId="0" applyNumberFormat="1" applyFont="1" applyFill="1" applyAlignment="1"/>
    <xf numFmtId="2" fontId="7" fillId="3" borderId="0" xfId="2" applyNumberFormat="1" applyFont="1"/>
    <xf numFmtId="0" fontId="7" fillId="3" borderId="0" xfId="2" applyFont="1"/>
    <xf numFmtId="2" fontId="7" fillId="2" borderId="0" xfId="1" applyNumberFormat="1" applyFont="1"/>
    <xf numFmtId="0" fontId="7" fillId="0" borderId="0" xfId="0" applyFont="1" applyFill="1" applyAlignment="1"/>
    <xf numFmtId="0" fontId="8" fillId="0" borderId="0" xfId="0" applyFont="1"/>
    <xf numFmtId="2" fontId="7" fillId="0" borderId="0" xfId="0" applyNumberFormat="1" applyFont="1"/>
    <xf numFmtId="9" fontId="7" fillId="0" borderId="0" xfId="0" applyNumberFormat="1" applyFont="1"/>
    <xf numFmtId="164" fontId="7" fillId="0" borderId="0" xfId="0" applyNumberFormat="1" applyFont="1"/>
    <xf numFmtId="2" fontId="7" fillId="0" borderId="0" xfId="0" applyNumberFormat="1" applyFont="1" applyAlignment="1"/>
    <xf numFmtId="0" fontId="7" fillId="0" borderId="0" xfId="0" applyFont="1" applyAlignment="1"/>
    <xf numFmtId="164" fontId="7" fillId="3" borderId="0" xfId="2" applyNumberFormat="1" applyFont="1"/>
    <xf numFmtId="164" fontId="7" fillId="0" borderId="0" xfId="0" applyNumberFormat="1" applyFont="1" applyAlignment="1"/>
    <xf numFmtId="9" fontId="7" fillId="3" borderId="0" xfId="2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Maral" id="{F820716F-A7D7-4239-B571-09E09B4F50FA}" userId="S::hannah.maral@systemiq.earth::c3fb30d1-382a-49df-b1e2-426cc94c068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1-11-09T12:09:45.72" personId="{F820716F-A7D7-4239-B571-09E09B4F50FA}" id="{BB625ECD-A04C-4D1E-8FF6-3FC2D0FC230B}">
    <text>Based on stoichiometry of reactions:
1. 3Fe2O3 + H2 -&gt; 2Fe3O4 + H2O
2. 2 Fe3O4 + 2H2 -&gt; 6FeO + 2H2O
3. 6FeO + 6H2 -&gt; 6Fe + 6H2O
Hence, total of 9 moles of H2 (9*2=18g) per 6 moles of Fe (6*56 = 336), which translates into 18/336 = 0.0536 g/g = 53.6 kg H2/t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BE5B-48FB-4F9E-83ED-5B539B3F5C30}">
  <dimension ref="A1:AA162"/>
  <sheetViews>
    <sheetView tabSelected="1" zoomScale="70" zoomScaleNormal="70" workbookViewId="0">
      <pane xSplit="5" ySplit="2" topLeftCell="M3" activePane="bottomRight" state="frozen"/>
      <selection pane="topRight" activeCell="G1" sqref="G1"/>
      <selection pane="bottomLeft" activeCell="A4" sqref="A4"/>
      <selection pane="bottomRight" activeCell="AB19" sqref="AB19"/>
    </sheetView>
  </sheetViews>
  <sheetFormatPr defaultRowHeight="14.35" x14ac:dyDescent="0.5"/>
  <cols>
    <col min="1" max="1" width="25" bestFit="1" customWidth="1"/>
    <col min="2" max="2" width="30.52734375" bestFit="1" customWidth="1"/>
    <col min="3" max="3" width="30.52734375" customWidth="1"/>
    <col min="4" max="4" width="39.52734375" bestFit="1" customWidth="1"/>
    <col min="5" max="5" width="17.29296875" bestFit="1" customWidth="1"/>
    <col min="6" max="6" width="7.52734375" customWidth="1"/>
    <col min="7" max="7" width="9.17578125" style="11" customWidth="1"/>
    <col min="8" max="8" width="14.17578125" style="11" bestFit="1" customWidth="1"/>
    <col min="9" max="9" width="11.17578125" style="11" bestFit="1" customWidth="1"/>
    <col min="10" max="10" width="14.17578125" style="11" bestFit="1" customWidth="1"/>
    <col min="11" max="11" width="11.17578125" style="11" bestFit="1" customWidth="1"/>
    <col min="12" max="15" width="9.17578125" style="11" customWidth="1"/>
    <col min="16" max="16" width="9.64453125" style="11" bestFit="1" customWidth="1"/>
    <col min="17" max="18" width="11.17578125" style="11" bestFit="1" customWidth="1"/>
    <col min="19" max="19" width="9.17578125" style="11" customWidth="1"/>
    <col min="20" max="20" width="14.17578125" style="11" bestFit="1" customWidth="1"/>
    <col min="21" max="21" width="11.17578125" style="11" bestFit="1" customWidth="1"/>
    <col min="22" max="22" width="14.17578125" style="11" bestFit="1" customWidth="1"/>
    <col min="23" max="25" width="9.17578125" style="11" customWidth="1"/>
    <col min="26" max="26" width="11.17578125" style="11" bestFit="1" customWidth="1"/>
  </cols>
  <sheetData>
    <row r="1" spans="1:27" ht="35.200000000000003" customHeight="1" x14ac:dyDescent="0.95">
      <c r="A1" s="1" t="s">
        <v>0</v>
      </c>
    </row>
    <row r="2" spans="1:27" ht="146" x14ac:dyDescent="0.95">
      <c r="A2" s="1"/>
      <c r="F2" s="4" t="s">
        <v>1</v>
      </c>
      <c r="G2" s="12" t="s">
        <v>2</v>
      </c>
      <c r="H2" s="12" t="s">
        <v>3</v>
      </c>
      <c r="I2" s="12" t="s">
        <v>4</v>
      </c>
      <c r="J2" s="12" t="s">
        <v>5</v>
      </c>
      <c r="K2" s="12" t="s">
        <v>6</v>
      </c>
      <c r="L2" s="12" t="s">
        <v>7</v>
      </c>
      <c r="M2" s="12" t="s">
        <v>8</v>
      </c>
      <c r="N2" s="12" t="s">
        <v>9</v>
      </c>
      <c r="O2" s="12" t="s">
        <v>10</v>
      </c>
      <c r="P2" s="12" t="s">
        <v>11</v>
      </c>
      <c r="Q2" s="12" t="s">
        <v>12</v>
      </c>
      <c r="R2" s="12" t="s">
        <v>13</v>
      </c>
      <c r="S2" s="12" t="s">
        <v>14</v>
      </c>
      <c r="T2" s="12" t="s">
        <v>16</v>
      </c>
      <c r="U2" s="12" t="s">
        <v>17</v>
      </c>
      <c r="V2" s="12" t="s">
        <v>18</v>
      </c>
      <c r="W2" s="12" t="s">
        <v>19</v>
      </c>
      <c r="X2" s="12" t="s">
        <v>20</v>
      </c>
      <c r="Y2" s="12" t="s">
        <v>21</v>
      </c>
      <c r="Z2" s="12" t="s">
        <v>22</v>
      </c>
      <c r="AA2" s="9" t="s">
        <v>15</v>
      </c>
    </row>
    <row r="3" spans="1:27" s="2" customFormat="1" x14ac:dyDescent="0.5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/>
      <c r="G3" s="13"/>
      <c r="H3" s="13"/>
      <c r="I3" s="13"/>
      <c r="J3" s="13"/>
      <c r="K3" s="1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7" x14ac:dyDescent="0.5">
      <c r="A4" t="s">
        <v>28</v>
      </c>
      <c r="B4" t="s">
        <v>28</v>
      </c>
      <c r="C4" t="s">
        <v>29</v>
      </c>
      <c r="D4" t="s">
        <v>30</v>
      </c>
      <c r="E4" t="s">
        <v>31</v>
      </c>
      <c r="G4" s="14">
        <v>0.16500000000000001</v>
      </c>
      <c r="H4" s="16">
        <v>0.3</v>
      </c>
      <c r="I4" s="16">
        <v>0.3</v>
      </c>
      <c r="J4" s="16">
        <v>0.3</v>
      </c>
      <c r="K4" s="16">
        <v>0.3</v>
      </c>
      <c r="Q4" s="24">
        <f>H4</f>
        <v>0.3</v>
      </c>
      <c r="R4" s="24">
        <f>Q4</f>
        <v>0.3</v>
      </c>
      <c r="U4" s="11">
        <v>0.3</v>
      </c>
      <c r="Z4" s="11">
        <v>0.3</v>
      </c>
    </row>
    <row r="5" spans="1:27" x14ac:dyDescent="0.5">
      <c r="A5" t="s">
        <v>28</v>
      </c>
      <c r="B5" t="s">
        <v>28</v>
      </c>
      <c r="C5" t="s">
        <v>29</v>
      </c>
      <c r="D5" t="s">
        <v>32</v>
      </c>
      <c r="E5" t="s">
        <v>33</v>
      </c>
      <c r="G5" s="14">
        <v>195</v>
      </c>
      <c r="H5" s="16">
        <v>230</v>
      </c>
      <c r="I5" s="16">
        <v>270</v>
      </c>
      <c r="K5" s="16">
        <v>270</v>
      </c>
      <c r="U5" s="11">
        <v>270</v>
      </c>
      <c r="Z5" s="11">
        <v>270</v>
      </c>
    </row>
    <row r="6" spans="1:27" x14ac:dyDescent="0.5">
      <c r="A6" t="s">
        <v>28</v>
      </c>
      <c r="B6" t="s">
        <v>28</v>
      </c>
      <c r="C6" t="s">
        <v>29</v>
      </c>
      <c r="D6" t="s">
        <v>34</v>
      </c>
      <c r="E6" t="s">
        <v>33</v>
      </c>
      <c r="G6" s="14"/>
      <c r="H6" s="16"/>
      <c r="I6" s="16"/>
      <c r="J6" s="16">
        <v>27.5</v>
      </c>
      <c r="K6" s="14"/>
    </row>
    <row r="7" spans="1:27" x14ac:dyDescent="0.5">
      <c r="A7" t="s">
        <v>28</v>
      </c>
      <c r="B7" t="s">
        <v>28</v>
      </c>
      <c r="C7" t="s">
        <v>29</v>
      </c>
      <c r="D7" t="s">
        <v>35</v>
      </c>
      <c r="E7" t="s">
        <v>36</v>
      </c>
      <c r="G7" s="14"/>
      <c r="H7" s="16"/>
      <c r="I7" s="16"/>
      <c r="J7" s="16">
        <f>27.5/120</f>
        <v>0.22916666666666666</v>
      </c>
      <c r="K7" s="14"/>
    </row>
    <row r="8" spans="1:27" x14ac:dyDescent="0.5">
      <c r="A8" t="s">
        <v>28</v>
      </c>
      <c r="B8" t="s">
        <v>28</v>
      </c>
      <c r="C8" t="s">
        <v>29</v>
      </c>
      <c r="D8" t="s">
        <v>37</v>
      </c>
      <c r="E8" t="s">
        <v>38</v>
      </c>
      <c r="G8" s="14"/>
      <c r="H8" s="16"/>
      <c r="I8" s="16"/>
      <c r="J8" s="16">
        <f>H9</f>
        <v>0.9</v>
      </c>
      <c r="K8" s="14"/>
    </row>
    <row r="9" spans="1:27" x14ac:dyDescent="0.5">
      <c r="A9" t="s">
        <v>28</v>
      </c>
      <c r="B9" t="s">
        <v>28</v>
      </c>
      <c r="C9" t="s">
        <v>29</v>
      </c>
      <c r="D9" t="s">
        <v>39</v>
      </c>
      <c r="E9" t="s">
        <v>40</v>
      </c>
      <c r="G9" s="14">
        <v>0.9</v>
      </c>
      <c r="H9" s="16">
        <f>G9</f>
        <v>0.9</v>
      </c>
      <c r="I9" s="16">
        <v>0.85</v>
      </c>
      <c r="K9" s="16">
        <f>H9</f>
        <v>0.9</v>
      </c>
      <c r="U9" s="24">
        <f>H9</f>
        <v>0.9</v>
      </c>
      <c r="Z9" s="11">
        <v>0.9</v>
      </c>
    </row>
    <row r="10" spans="1:27" x14ac:dyDescent="0.5">
      <c r="A10" t="s">
        <v>28</v>
      </c>
      <c r="B10" t="s">
        <v>28</v>
      </c>
      <c r="C10" t="s">
        <v>41</v>
      </c>
      <c r="D10" t="s">
        <v>42</v>
      </c>
      <c r="E10" t="s">
        <v>43</v>
      </c>
      <c r="G10" s="14">
        <v>23</v>
      </c>
      <c r="H10" s="14">
        <f>G10</f>
        <v>23</v>
      </c>
      <c r="I10" s="16">
        <v>28.4</v>
      </c>
      <c r="J10" s="16">
        <v>120</v>
      </c>
      <c r="K10" s="14">
        <f>G10</f>
        <v>23</v>
      </c>
      <c r="U10" s="11">
        <v>40</v>
      </c>
      <c r="Z10" s="11">
        <v>28.4</v>
      </c>
    </row>
    <row r="11" spans="1:27" x14ac:dyDescent="0.5">
      <c r="A11" t="s">
        <v>28</v>
      </c>
      <c r="B11" t="s">
        <v>28</v>
      </c>
      <c r="C11" t="s">
        <v>29</v>
      </c>
      <c r="D11" t="s">
        <v>44</v>
      </c>
      <c r="E11" t="s">
        <v>45</v>
      </c>
      <c r="G11" s="14">
        <v>0</v>
      </c>
      <c r="H11" s="14">
        <f>G11</f>
        <v>0</v>
      </c>
      <c r="I11" s="14">
        <f>G11</f>
        <v>0</v>
      </c>
      <c r="K11" s="15">
        <f>U11</f>
        <v>0.01</v>
      </c>
      <c r="Q11" s="25">
        <v>0.94</v>
      </c>
      <c r="R11" s="25">
        <v>0.96</v>
      </c>
      <c r="U11" s="31">
        <v>0.01</v>
      </c>
      <c r="Z11" s="20">
        <v>0.4</v>
      </c>
    </row>
    <row r="12" spans="1:27" x14ac:dyDescent="0.5">
      <c r="A12" t="s">
        <v>28</v>
      </c>
      <c r="B12" t="s">
        <v>28</v>
      </c>
      <c r="C12" t="s">
        <v>29</v>
      </c>
      <c r="D12" t="s">
        <v>46</v>
      </c>
      <c r="E12" t="s">
        <v>45</v>
      </c>
      <c r="G12" s="14"/>
      <c r="H12" s="14"/>
      <c r="I12" s="14"/>
      <c r="J12" s="14"/>
      <c r="K12" s="14">
        <v>0.9</v>
      </c>
      <c r="O12" s="11">
        <v>0.9</v>
      </c>
      <c r="R12" s="11">
        <v>0.9</v>
      </c>
      <c r="U12" s="11">
        <v>0.9</v>
      </c>
      <c r="Z12" s="11">
        <v>0.9</v>
      </c>
    </row>
    <row r="13" spans="1:27" x14ac:dyDescent="0.5">
      <c r="A13" t="s">
        <v>28</v>
      </c>
      <c r="B13" t="s">
        <v>28</v>
      </c>
      <c r="C13" t="s">
        <v>29</v>
      </c>
      <c r="D13" t="s">
        <v>47</v>
      </c>
      <c r="E13" t="s">
        <v>48</v>
      </c>
      <c r="G13" s="14">
        <f>54+60</f>
        <v>114</v>
      </c>
      <c r="H13" s="16">
        <f>G13</f>
        <v>114</v>
      </c>
      <c r="I13" s="14"/>
      <c r="J13" s="14"/>
      <c r="K13" s="14"/>
      <c r="Q13" s="11">
        <v>764</v>
      </c>
      <c r="R13" s="11">
        <f>Q13</f>
        <v>764</v>
      </c>
      <c r="V13" s="11">
        <v>50</v>
      </c>
      <c r="W13" s="11">
        <f>V13</f>
        <v>50</v>
      </c>
      <c r="X13" s="11">
        <f>V13</f>
        <v>50</v>
      </c>
    </row>
    <row r="14" spans="1:27" x14ac:dyDescent="0.5">
      <c r="A14" t="s">
        <v>28</v>
      </c>
      <c r="B14" t="s">
        <v>28</v>
      </c>
      <c r="C14" t="s">
        <v>29</v>
      </c>
      <c r="D14" t="s">
        <v>49</v>
      </c>
      <c r="E14" t="s">
        <v>45</v>
      </c>
      <c r="G14" s="14"/>
      <c r="H14" s="16">
        <v>0.15</v>
      </c>
      <c r="I14" s="14"/>
      <c r="J14" s="14"/>
      <c r="K14" s="14"/>
    </row>
    <row r="15" spans="1:27" x14ac:dyDescent="0.5">
      <c r="A15" t="s">
        <v>28</v>
      </c>
      <c r="B15" t="s">
        <v>28</v>
      </c>
      <c r="C15" t="s">
        <v>41</v>
      </c>
      <c r="D15" t="s">
        <v>50</v>
      </c>
      <c r="E15" t="s">
        <v>45</v>
      </c>
      <c r="G15" s="15">
        <v>0.4</v>
      </c>
      <c r="H15" s="15">
        <f>G15</f>
        <v>0.4</v>
      </c>
      <c r="I15" s="15">
        <f>H15</f>
        <v>0.4</v>
      </c>
      <c r="J15" s="15">
        <f>H15</f>
        <v>0.4</v>
      </c>
      <c r="K15" s="15">
        <f>H15</f>
        <v>0.4</v>
      </c>
      <c r="U15" s="31">
        <f>H15</f>
        <v>0.4</v>
      </c>
      <c r="Z15" s="31">
        <v>0.4</v>
      </c>
    </row>
    <row r="16" spans="1:27" x14ac:dyDescent="0.5">
      <c r="A16" t="s">
        <v>28</v>
      </c>
      <c r="B16" t="s">
        <v>28</v>
      </c>
      <c r="C16" t="s">
        <v>41</v>
      </c>
      <c r="D16" t="s">
        <v>51</v>
      </c>
      <c r="E16" t="s">
        <v>45</v>
      </c>
      <c r="G16" s="15">
        <f>1-G15</f>
        <v>0.6</v>
      </c>
      <c r="H16" s="15">
        <f>G16</f>
        <v>0.6</v>
      </c>
      <c r="I16" s="15">
        <f>H16</f>
        <v>0.6</v>
      </c>
      <c r="J16" s="15">
        <f>1-J15</f>
        <v>0.6</v>
      </c>
      <c r="K16" s="15">
        <f>1-K15</f>
        <v>0.6</v>
      </c>
      <c r="U16" s="31">
        <v>0.6</v>
      </c>
      <c r="Z16" s="31">
        <v>0.6</v>
      </c>
    </row>
    <row r="17" spans="1:26" x14ac:dyDescent="0.5">
      <c r="A17" t="s">
        <v>28</v>
      </c>
      <c r="B17" t="s">
        <v>28</v>
      </c>
      <c r="C17" t="s">
        <v>41</v>
      </c>
      <c r="D17" t="s">
        <v>52</v>
      </c>
      <c r="E17" t="s">
        <v>53</v>
      </c>
      <c r="G17" s="16">
        <v>26</v>
      </c>
      <c r="H17" s="16">
        <v>26</v>
      </c>
      <c r="I17" s="16">
        <f>H17</f>
        <v>26</v>
      </c>
      <c r="J17" s="16">
        <f>H17</f>
        <v>26</v>
      </c>
      <c r="K17" s="16">
        <v>26</v>
      </c>
      <c r="U17" s="11">
        <v>26</v>
      </c>
      <c r="Z17" s="11">
        <v>26</v>
      </c>
    </row>
    <row r="18" spans="1:26" x14ac:dyDescent="0.5">
      <c r="A18" t="s">
        <v>28</v>
      </c>
      <c r="B18" t="s">
        <v>28</v>
      </c>
      <c r="C18" t="s">
        <v>29</v>
      </c>
      <c r="D18" t="s">
        <v>54</v>
      </c>
      <c r="E18" t="s">
        <v>45</v>
      </c>
      <c r="G18" s="16">
        <v>0.08</v>
      </c>
      <c r="H18" s="16">
        <f>G18</f>
        <v>0.08</v>
      </c>
      <c r="I18" s="16">
        <f>H18</f>
        <v>0.08</v>
      </c>
      <c r="J18" s="16">
        <f>H18</f>
        <v>0.08</v>
      </c>
      <c r="K18" s="16">
        <f>H18</f>
        <v>0.08</v>
      </c>
      <c r="Q18" s="24">
        <f>G18</f>
        <v>0.08</v>
      </c>
      <c r="R18" s="24">
        <f>G18</f>
        <v>0.08</v>
      </c>
      <c r="U18" s="24">
        <f>H18</f>
        <v>0.08</v>
      </c>
      <c r="V18" s="25">
        <v>0.05</v>
      </c>
      <c r="W18" s="25">
        <f>V18</f>
        <v>0.05</v>
      </c>
      <c r="X18" s="25">
        <f>V18</f>
        <v>0.05</v>
      </c>
      <c r="Z18" s="24">
        <f>U18</f>
        <v>0.08</v>
      </c>
    </row>
    <row r="19" spans="1:26" x14ac:dyDescent="0.5">
      <c r="A19" t="s">
        <v>28</v>
      </c>
      <c r="B19" t="s">
        <v>28</v>
      </c>
      <c r="C19" t="s">
        <v>29</v>
      </c>
      <c r="D19" t="s">
        <v>55</v>
      </c>
      <c r="E19" t="s">
        <v>45</v>
      </c>
      <c r="G19" s="16">
        <v>0.4</v>
      </c>
      <c r="H19" s="16">
        <v>0.5</v>
      </c>
      <c r="I19" s="16">
        <f>H19</f>
        <v>0.5</v>
      </c>
      <c r="J19" s="16">
        <f>H19</f>
        <v>0.5</v>
      </c>
      <c r="K19" s="16">
        <v>0.5</v>
      </c>
      <c r="Q19" s="24">
        <f>H19</f>
        <v>0.5</v>
      </c>
      <c r="R19" s="24">
        <f>Q19</f>
        <v>0.5</v>
      </c>
      <c r="U19" s="11">
        <v>0.5</v>
      </c>
      <c r="Z19" s="11">
        <v>0.5</v>
      </c>
    </row>
    <row r="20" spans="1:26" x14ac:dyDescent="0.5">
      <c r="A20" t="s">
        <v>28</v>
      </c>
      <c r="B20" t="s">
        <v>28</v>
      </c>
      <c r="C20" t="s">
        <v>41</v>
      </c>
      <c r="D20" t="s">
        <v>56</v>
      </c>
      <c r="E20" t="s">
        <v>45</v>
      </c>
      <c r="G20" s="17">
        <v>1000000</v>
      </c>
      <c r="H20" s="16">
        <v>100000</v>
      </c>
      <c r="I20" s="16">
        <v>100000</v>
      </c>
      <c r="J20" s="16">
        <v>100000</v>
      </c>
      <c r="K20" s="16">
        <v>100000</v>
      </c>
      <c r="Q20" s="16">
        <v>100000</v>
      </c>
      <c r="R20" s="16">
        <v>100000</v>
      </c>
      <c r="U20" s="16">
        <v>100000</v>
      </c>
      <c r="Z20" s="16">
        <v>100000</v>
      </c>
    </row>
    <row r="21" spans="1:26" x14ac:dyDescent="0.5">
      <c r="A21" t="s">
        <v>28</v>
      </c>
      <c r="B21" t="s">
        <v>28</v>
      </c>
      <c r="C21" t="s">
        <v>29</v>
      </c>
      <c r="D21" t="s">
        <v>57</v>
      </c>
      <c r="E21" t="s">
        <v>45</v>
      </c>
      <c r="G21" s="14"/>
      <c r="H21" s="16">
        <v>0.1</v>
      </c>
      <c r="I21" s="16">
        <f>H21</f>
        <v>0.1</v>
      </c>
      <c r="J21" s="16">
        <f>H21</f>
        <v>0.1</v>
      </c>
      <c r="K21" s="19">
        <v>0.3</v>
      </c>
      <c r="U21" s="11">
        <v>0.3</v>
      </c>
      <c r="Z21" s="11">
        <v>0.3</v>
      </c>
    </row>
    <row r="22" spans="1:26" x14ac:dyDescent="0.5">
      <c r="A22" t="s">
        <v>28</v>
      </c>
      <c r="B22" t="s">
        <v>28</v>
      </c>
      <c r="C22" t="s">
        <v>29</v>
      </c>
      <c r="D22" t="s">
        <v>58</v>
      </c>
      <c r="E22" t="s">
        <v>31</v>
      </c>
      <c r="G22" s="14"/>
      <c r="H22" s="16"/>
      <c r="I22" s="16"/>
      <c r="J22" s="16"/>
      <c r="K22" s="16"/>
      <c r="L22" s="24">
        <v>1.23</v>
      </c>
      <c r="O22" s="11">
        <v>1.1160000000000001</v>
      </c>
      <c r="S22" s="11">
        <v>1.1160000000000001</v>
      </c>
      <c r="T22" s="11">
        <v>1.23</v>
      </c>
      <c r="Y22" s="11">
        <v>1.23</v>
      </c>
    </row>
    <row r="23" spans="1:26" x14ac:dyDescent="0.5">
      <c r="A23" t="s">
        <v>28</v>
      </c>
      <c r="B23" t="s">
        <v>28</v>
      </c>
      <c r="C23" t="s">
        <v>29</v>
      </c>
      <c r="D23" t="s">
        <v>59</v>
      </c>
      <c r="E23" t="s">
        <v>45</v>
      </c>
      <c r="G23" s="14"/>
      <c r="H23" s="16"/>
      <c r="I23" s="16"/>
      <c r="J23" s="16"/>
      <c r="K23" s="16"/>
      <c r="L23" s="24">
        <v>0</v>
      </c>
    </row>
    <row r="24" spans="1:26" x14ac:dyDescent="0.5">
      <c r="A24" t="s">
        <v>28</v>
      </c>
      <c r="B24" t="s">
        <v>28</v>
      </c>
      <c r="C24" t="s">
        <v>29</v>
      </c>
      <c r="D24" t="s">
        <v>60</v>
      </c>
      <c r="E24" t="s">
        <v>61</v>
      </c>
      <c r="G24" s="14"/>
      <c r="H24" s="16"/>
      <c r="I24" s="16"/>
      <c r="J24" s="16"/>
      <c r="K24" s="16"/>
      <c r="L24" s="24">
        <v>2.69</v>
      </c>
      <c r="M24" s="20"/>
      <c r="N24" s="20"/>
      <c r="O24" s="24">
        <v>2.69</v>
      </c>
      <c r="P24" s="20"/>
      <c r="S24" s="11">
        <v>2.69</v>
      </c>
      <c r="T24" s="11">
        <v>2.69</v>
      </c>
      <c r="Y24" s="11">
        <v>2.69</v>
      </c>
    </row>
    <row r="25" spans="1:26" x14ac:dyDescent="0.5">
      <c r="A25" t="s">
        <v>28</v>
      </c>
      <c r="B25" t="s">
        <v>28</v>
      </c>
      <c r="C25" t="s">
        <v>29</v>
      </c>
      <c r="D25" t="s">
        <v>62</v>
      </c>
      <c r="E25" t="s">
        <v>63</v>
      </c>
      <c r="G25" s="14"/>
      <c r="H25" s="16"/>
      <c r="I25" s="16"/>
      <c r="J25" s="16"/>
      <c r="K25" s="16"/>
      <c r="L25" s="24">
        <v>0.88</v>
      </c>
    </row>
    <row r="26" spans="1:26" x14ac:dyDescent="0.5">
      <c r="A26" t="s">
        <v>28</v>
      </c>
      <c r="B26" t="s">
        <v>28</v>
      </c>
      <c r="C26" t="s">
        <v>41</v>
      </c>
      <c r="D26" t="s">
        <v>64</v>
      </c>
      <c r="E26" s="6" t="s">
        <v>45</v>
      </c>
      <c r="G26" s="14"/>
      <c r="H26" s="16"/>
      <c r="I26" s="16"/>
      <c r="J26" s="16"/>
      <c r="K26" s="16"/>
      <c r="L26" s="25">
        <f>1250/1450</f>
        <v>0.86206896551724133</v>
      </c>
      <c r="O26" s="25">
        <f>1250/1450</f>
        <v>0.86206896551724133</v>
      </c>
      <c r="S26" s="25">
        <f>1250/1450</f>
        <v>0.86206896551724133</v>
      </c>
      <c r="T26" s="25">
        <f>1250/1450</f>
        <v>0.86206896551724133</v>
      </c>
      <c r="V26" s="25">
        <f>1250/1450</f>
        <v>0.86206896551724133</v>
      </c>
      <c r="W26" s="25">
        <f>1250/1450</f>
        <v>0.86206896551724133</v>
      </c>
      <c r="X26" s="25">
        <f>1250/1450</f>
        <v>0.86206896551724133</v>
      </c>
      <c r="Y26" s="25">
        <f>1250/1450</f>
        <v>0.86206896551724133</v>
      </c>
    </row>
    <row r="27" spans="1:26" x14ac:dyDescent="0.5">
      <c r="A27" t="s">
        <v>28</v>
      </c>
      <c r="B27" t="s">
        <v>28</v>
      </c>
      <c r="C27" t="s">
        <v>29</v>
      </c>
      <c r="D27" t="s">
        <v>65</v>
      </c>
      <c r="E27" t="s">
        <v>66</v>
      </c>
      <c r="G27" s="14"/>
      <c r="H27" s="16"/>
      <c r="I27" s="16"/>
      <c r="J27" s="16"/>
      <c r="K27" s="16"/>
      <c r="L27" s="25"/>
      <c r="M27" s="24">
        <f>P27</f>
        <v>63</v>
      </c>
      <c r="P27" s="24">
        <v>63</v>
      </c>
    </row>
    <row r="28" spans="1:26" x14ac:dyDescent="0.5">
      <c r="A28" t="s">
        <v>28</v>
      </c>
      <c r="B28" t="s">
        <v>28</v>
      </c>
      <c r="C28" t="s">
        <v>29</v>
      </c>
      <c r="D28" t="s">
        <v>67</v>
      </c>
      <c r="E28" t="s">
        <v>45</v>
      </c>
      <c r="G28" s="14"/>
      <c r="H28" s="16"/>
      <c r="I28" s="16"/>
      <c r="J28" s="16"/>
      <c r="K28" s="16"/>
      <c r="L28" s="25"/>
      <c r="M28" s="25">
        <v>0.5</v>
      </c>
      <c r="P28" s="25">
        <v>1</v>
      </c>
    </row>
    <row r="29" spans="1:26" x14ac:dyDescent="0.5">
      <c r="A29" t="s">
        <v>28</v>
      </c>
      <c r="B29" t="s">
        <v>28</v>
      </c>
      <c r="C29" t="s">
        <v>29</v>
      </c>
      <c r="D29" t="s">
        <v>68</v>
      </c>
      <c r="E29" t="s">
        <v>45</v>
      </c>
      <c r="G29" s="14"/>
      <c r="H29" s="16"/>
      <c r="I29" s="16"/>
      <c r="J29" s="16"/>
      <c r="K29" s="16"/>
      <c r="L29" s="25"/>
      <c r="M29" s="25">
        <v>0.97</v>
      </c>
      <c r="P29" s="25">
        <v>0.97</v>
      </c>
    </row>
    <row r="30" spans="1:26" x14ac:dyDescent="0.5">
      <c r="A30" t="s">
        <v>28</v>
      </c>
      <c r="B30" t="s">
        <v>28</v>
      </c>
      <c r="C30" t="s">
        <v>29</v>
      </c>
      <c r="D30" t="s">
        <v>69</v>
      </c>
      <c r="E30" t="s">
        <v>149</v>
      </c>
      <c r="G30" s="14"/>
      <c r="H30" s="16"/>
      <c r="I30" s="16"/>
      <c r="J30" s="16"/>
      <c r="K30" s="16"/>
      <c r="L30" s="25"/>
      <c r="P30" s="24">
        <f>24.3/2</f>
        <v>12.15</v>
      </c>
    </row>
    <row r="31" spans="1:26" x14ac:dyDescent="0.5">
      <c r="A31" t="s">
        <v>28</v>
      </c>
      <c r="B31" t="s">
        <v>28</v>
      </c>
      <c r="C31" t="s">
        <v>41</v>
      </c>
      <c r="D31" t="s">
        <v>70</v>
      </c>
      <c r="E31" t="s">
        <v>71</v>
      </c>
      <c r="G31" s="14"/>
      <c r="H31" s="16"/>
      <c r="I31" s="16"/>
      <c r="J31" s="16"/>
      <c r="K31" s="16"/>
      <c r="L31" s="25"/>
    </row>
    <row r="32" spans="1:26" x14ac:dyDescent="0.5">
      <c r="A32" t="s">
        <v>28</v>
      </c>
      <c r="B32" t="s">
        <v>28</v>
      </c>
      <c r="C32" t="s">
        <v>41</v>
      </c>
      <c r="D32" t="s">
        <v>72</v>
      </c>
      <c r="E32" s="6" t="s">
        <v>53</v>
      </c>
      <c r="G32" s="14"/>
      <c r="H32" s="16"/>
      <c r="I32" s="16"/>
      <c r="J32" s="16"/>
      <c r="K32" s="16"/>
      <c r="L32" s="25"/>
      <c r="M32" s="24">
        <v>120</v>
      </c>
      <c r="P32" s="24">
        <v>120</v>
      </c>
    </row>
    <row r="33" spans="1:26" x14ac:dyDescent="0.5">
      <c r="A33" t="s">
        <v>28</v>
      </c>
      <c r="B33" t="s">
        <v>28</v>
      </c>
      <c r="C33" t="s">
        <v>41</v>
      </c>
      <c r="D33" t="s">
        <v>73</v>
      </c>
      <c r="E33" s="6" t="s">
        <v>53</v>
      </c>
      <c r="G33" s="14"/>
      <c r="H33" s="16"/>
      <c r="I33" s="16"/>
      <c r="J33" s="16"/>
      <c r="K33" s="16"/>
      <c r="L33" s="25"/>
      <c r="M33" s="11">
        <v>47.1</v>
      </c>
      <c r="P33" s="11">
        <v>47.1</v>
      </c>
    </row>
    <row r="34" spans="1:26" x14ac:dyDescent="0.5">
      <c r="A34" t="s">
        <v>28</v>
      </c>
      <c r="B34" t="s">
        <v>28</v>
      </c>
      <c r="C34" t="s">
        <v>41</v>
      </c>
      <c r="D34" t="s">
        <v>74</v>
      </c>
      <c r="E34" s="5" t="s">
        <v>75</v>
      </c>
      <c r="G34" s="14"/>
      <c r="H34" s="16"/>
      <c r="I34" s="16"/>
      <c r="J34" s="16"/>
      <c r="K34" s="16"/>
      <c r="L34" s="25"/>
      <c r="P34" s="24">
        <v>2</v>
      </c>
    </row>
    <row r="35" spans="1:26" x14ac:dyDescent="0.5">
      <c r="A35" t="s">
        <v>28</v>
      </c>
      <c r="B35" t="s">
        <v>28</v>
      </c>
      <c r="C35" t="s">
        <v>41</v>
      </c>
      <c r="D35" t="s">
        <v>76</v>
      </c>
      <c r="E35" s="5" t="s">
        <v>45</v>
      </c>
      <c r="G35" s="14"/>
      <c r="H35" s="16"/>
      <c r="I35" s="16"/>
      <c r="J35" s="16"/>
      <c r="K35" s="16"/>
      <c r="L35" s="25"/>
      <c r="P35" s="24">
        <v>0.97</v>
      </c>
    </row>
    <row r="36" spans="1:26" x14ac:dyDescent="0.5">
      <c r="A36" t="s">
        <v>28</v>
      </c>
      <c r="B36" t="s">
        <v>28</v>
      </c>
      <c r="C36" t="s">
        <v>29</v>
      </c>
      <c r="D36" t="s">
        <v>146</v>
      </c>
      <c r="E36" s="5" t="s">
        <v>45</v>
      </c>
      <c r="G36" s="14"/>
      <c r="H36" s="16"/>
      <c r="I36" s="16"/>
      <c r="J36" s="16"/>
      <c r="K36" s="16"/>
      <c r="L36" s="25"/>
      <c r="N36" s="11">
        <v>0.5</v>
      </c>
      <c r="P36" s="24"/>
    </row>
    <row r="37" spans="1:26" x14ac:dyDescent="0.5">
      <c r="A37" t="s">
        <v>28</v>
      </c>
      <c r="B37" t="s">
        <v>28</v>
      </c>
      <c r="C37" t="s">
        <v>29</v>
      </c>
      <c r="D37" t="s">
        <v>166</v>
      </c>
      <c r="E37" s="5" t="s">
        <v>167</v>
      </c>
      <c r="G37" s="14"/>
      <c r="H37" s="16"/>
      <c r="I37" s="16"/>
      <c r="J37" s="16"/>
      <c r="K37" s="16"/>
      <c r="L37" s="25"/>
      <c r="P37" s="24"/>
      <c r="V37" s="11">
        <v>200</v>
      </c>
      <c r="W37" s="11">
        <f>V37</f>
        <v>200</v>
      </c>
      <c r="X37" s="20">
        <v>700</v>
      </c>
    </row>
    <row r="38" spans="1:26" x14ac:dyDescent="0.5">
      <c r="A38" t="s">
        <v>28</v>
      </c>
      <c r="B38" t="s">
        <v>28</v>
      </c>
      <c r="C38" t="s">
        <v>29</v>
      </c>
      <c r="D38" t="s">
        <v>168</v>
      </c>
      <c r="E38" s="5" t="s">
        <v>61</v>
      </c>
      <c r="G38" s="14"/>
      <c r="H38" s="16"/>
      <c r="I38" s="16"/>
      <c r="J38" s="16"/>
      <c r="K38" s="16"/>
      <c r="L38" s="25"/>
      <c r="P38" s="24"/>
      <c r="V38" s="11">
        <v>2000</v>
      </c>
      <c r="W38" s="11">
        <f>V38</f>
        <v>2000</v>
      </c>
      <c r="X38" s="11">
        <v>2000</v>
      </c>
    </row>
    <row r="39" spans="1:26" x14ac:dyDescent="0.5">
      <c r="A39" t="s">
        <v>28</v>
      </c>
      <c r="B39" t="s">
        <v>28</v>
      </c>
      <c r="C39" t="s">
        <v>29</v>
      </c>
      <c r="D39" t="s">
        <v>169</v>
      </c>
      <c r="E39" s="5" t="s">
        <v>45</v>
      </c>
      <c r="G39" s="14"/>
      <c r="H39" s="16"/>
      <c r="I39" s="16"/>
      <c r="J39" s="16"/>
      <c r="K39" s="16"/>
      <c r="L39" s="25"/>
      <c r="P39" s="24"/>
      <c r="V39" s="11">
        <v>0.8</v>
      </c>
      <c r="W39" s="20">
        <v>0.9</v>
      </c>
      <c r="X39" s="20">
        <v>0.97</v>
      </c>
    </row>
    <row r="40" spans="1:26" x14ac:dyDescent="0.5">
      <c r="A40" t="s">
        <v>28</v>
      </c>
      <c r="B40" t="s">
        <v>28</v>
      </c>
      <c r="C40" t="s">
        <v>41</v>
      </c>
      <c r="D40" t="s">
        <v>170</v>
      </c>
      <c r="E40" s="5" t="s">
        <v>171</v>
      </c>
      <c r="G40" s="14"/>
      <c r="H40" s="16"/>
      <c r="I40" s="16"/>
      <c r="J40" s="16"/>
      <c r="K40" s="16"/>
      <c r="L40" s="25"/>
      <c r="P40" s="24"/>
      <c r="V40" s="11">
        <v>0.45</v>
      </c>
      <c r="W40" s="11">
        <f>V40</f>
        <v>0.45</v>
      </c>
      <c r="X40" s="11">
        <f>V40</f>
        <v>0.45</v>
      </c>
    </row>
    <row r="41" spans="1:26" x14ac:dyDescent="0.5">
      <c r="A41" t="s">
        <v>28</v>
      </c>
      <c r="B41" t="s">
        <v>28</v>
      </c>
      <c r="C41" t="s">
        <v>41</v>
      </c>
      <c r="D41" t="s">
        <v>172</v>
      </c>
      <c r="E41" s="5" t="s">
        <v>171</v>
      </c>
      <c r="G41" s="14"/>
      <c r="H41" s="16"/>
      <c r="I41" s="16"/>
      <c r="J41" s="16"/>
      <c r="K41" s="16"/>
      <c r="L41" s="25"/>
      <c r="P41" s="24"/>
      <c r="V41" s="11">
        <v>0.82</v>
      </c>
      <c r="W41" s="11">
        <f>V41</f>
        <v>0.82</v>
      </c>
      <c r="X41" s="11">
        <f>V41</f>
        <v>0.82</v>
      </c>
    </row>
    <row r="42" spans="1:26" x14ac:dyDescent="0.5">
      <c r="A42" t="s">
        <v>28</v>
      </c>
      <c r="B42" t="s">
        <v>28</v>
      </c>
      <c r="C42" t="s">
        <v>41</v>
      </c>
      <c r="D42" t="s">
        <v>173</v>
      </c>
      <c r="E42" s="5" t="s">
        <v>174</v>
      </c>
      <c r="G42" s="14"/>
      <c r="H42" s="16"/>
      <c r="I42" s="16"/>
      <c r="J42" s="16"/>
      <c r="K42" s="16"/>
      <c r="L42" s="25"/>
      <c r="P42" s="24"/>
      <c r="V42" s="11">
        <f>13.8/55.85</f>
        <v>0.24709042076991944</v>
      </c>
      <c r="W42" s="11">
        <f>V42</f>
        <v>0.24709042076991944</v>
      </c>
      <c r="X42" s="11">
        <f>V42</f>
        <v>0.24709042076991944</v>
      </c>
    </row>
    <row r="43" spans="1:26" ht="11.5" customHeight="1" x14ac:dyDescent="0.5">
      <c r="A43" t="s">
        <v>24</v>
      </c>
      <c r="B43" t="s">
        <v>77</v>
      </c>
      <c r="C43" t="s">
        <v>78</v>
      </c>
      <c r="D43" t="s">
        <v>79</v>
      </c>
      <c r="E43" t="s">
        <v>80</v>
      </c>
      <c r="G43" s="16">
        <v>1.2849999999999999</v>
      </c>
      <c r="H43" s="19">
        <f>G43</f>
        <v>1.2849999999999999</v>
      </c>
      <c r="I43" s="16">
        <f>H43</f>
        <v>1.2849999999999999</v>
      </c>
      <c r="J43" s="16">
        <f>H43</f>
        <v>1.2849999999999999</v>
      </c>
      <c r="K43" s="16">
        <f>H43</f>
        <v>1.2849999999999999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U43" s="24">
        <f>H43</f>
        <v>1.2849999999999999</v>
      </c>
      <c r="Z43" s="24">
        <f>I43</f>
        <v>1.2849999999999999</v>
      </c>
    </row>
    <row r="44" spans="1:26" x14ac:dyDescent="0.5">
      <c r="A44" t="s">
        <v>24</v>
      </c>
      <c r="B44" t="s">
        <v>77</v>
      </c>
      <c r="C44" t="s">
        <v>81</v>
      </c>
      <c r="D44" t="s">
        <v>82</v>
      </c>
      <c r="E44" t="s">
        <v>83</v>
      </c>
      <c r="G44" s="16">
        <f>3.3*G15</f>
        <v>1.32</v>
      </c>
      <c r="H44" s="20">
        <f>G44*(1-$H$21)+G45*(1-$H$21)</f>
        <v>2.9699999999999998</v>
      </c>
      <c r="I44" s="16">
        <f t="shared" ref="I44:I89" si="0">H44</f>
        <v>2.9699999999999998</v>
      </c>
      <c r="J44" s="16">
        <f>H44</f>
        <v>2.9699999999999998</v>
      </c>
      <c r="K44" s="16">
        <f t="shared" ref="K44:K77" si="1">H44</f>
        <v>2.9699999999999998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U44" s="24">
        <f t="shared" ref="U44:U63" si="2">H44</f>
        <v>2.9699999999999998</v>
      </c>
      <c r="Z44" s="24">
        <f t="shared" ref="Z44:Z59" si="3">I44</f>
        <v>2.9699999999999998</v>
      </c>
    </row>
    <row r="45" spans="1:26" x14ac:dyDescent="0.5">
      <c r="A45" t="s">
        <v>24</v>
      </c>
      <c r="B45" t="s">
        <v>77</v>
      </c>
      <c r="C45" t="s">
        <v>81</v>
      </c>
      <c r="D45" t="s">
        <v>84</v>
      </c>
      <c r="E45" t="s">
        <v>83</v>
      </c>
      <c r="G45" s="16">
        <f>3.3-G44</f>
        <v>1.9799999999999998</v>
      </c>
      <c r="H45" s="14"/>
      <c r="I45" s="16">
        <f t="shared" si="0"/>
        <v>0</v>
      </c>
      <c r="J45" s="16">
        <f t="shared" ref="J45:J65" si="4">H45</f>
        <v>0</v>
      </c>
      <c r="K45" s="16">
        <f t="shared" si="1"/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U45" s="24">
        <f t="shared" si="2"/>
        <v>0</v>
      </c>
      <c r="Z45" s="24">
        <f t="shared" si="3"/>
        <v>0</v>
      </c>
    </row>
    <row r="46" spans="1:26" x14ac:dyDescent="0.5">
      <c r="A46" t="s">
        <v>24</v>
      </c>
      <c r="B46" t="s">
        <v>77</v>
      </c>
      <c r="C46" t="s">
        <v>81</v>
      </c>
      <c r="D46" t="s">
        <v>85</v>
      </c>
      <c r="E46" t="s">
        <v>83</v>
      </c>
      <c r="G46" s="16">
        <v>0.125</v>
      </c>
      <c r="H46" s="19">
        <f>G46</f>
        <v>0.125</v>
      </c>
      <c r="I46" s="16">
        <f t="shared" si="0"/>
        <v>0.125</v>
      </c>
      <c r="J46" s="16">
        <f t="shared" si="4"/>
        <v>0.125</v>
      </c>
      <c r="K46" s="16">
        <f t="shared" si="1"/>
        <v>0.125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U46" s="24">
        <f t="shared" si="2"/>
        <v>0.125</v>
      </c>
      <c r="Z46" s="24">
        <f t="shared" si="3"/>
        <v>0.125</v>
      </c>
    </row>
    <row r="47" spans="1:26" x14ac:dyDescent="0.5">
      <c r="A47" t="s">
        <v>24</v>
      </c>
      <c r="B47" t="s">
        <v>77</v>
      </c>
      <c r="C47" t="s">
        <v>81</v>
      </c>
      <c r="D47" t="s">
        <v>86</v>
      </c>
      <c r="E47" t="s">
        <v>83</v>
      </c>
      <c r="G47" s="16">
        <v>0.42</v>
      </c>
      <c r="H47" s="14">
        <f t="shared" ref="H47" si="5">G47*(1-$H$21)</f>
        <v>0.378</v>
      </c>
      <c r="I47" s="16">
        <f t="shared" si="0"/>
        <v>0.378</v>
      </c>
      <c r="J47" s="16">
        <f t="shared" si="4"/>
        <v>0.378</v>
      </c>
      <c r="K47" s="16">
        <f t="shared" si="1"/>
        <v>0.378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U47" s="24">
        <f t="shared" si="2"/>
        <v>0.378</v>
      </c>
      <c r="Z47" s="24">
        <f t="shared" si="3"/>
        <v>0.378</v>
      </c>
    </row>
    <row r="48" spans="1:26" x14ac:dyDescent="0.5">
      <c r="A48" t="s">
        <v>24</v>
      </c>
      <c r="B48" t="s">
        <v>87</v>
      </c>
      <c r="C48" t="s">
        <v>78</v>
      </c>
      <c r="D48" t="s">
        <v>88</v>
      </c>
      <c r="E48" t="s">
        <v>89</v>
      </c>
      <c r="G48" s="16">
        <f>0.81/(62%/67%)</f>
        <v>0.87532258064516144</v>
      </c>
      <c r="H48" s="16">
        <f>G48</f>
        <v>0.87532258064516144</v>
      </c>
      <c r="I48" s="16">
        <f t="shared" si="0"/>
        <v>0.87532258064516144</v>
      </c>
      <c r="J48" s="16">
        <f t="shared" si="4"/>
        <v>0.87532258064516144</v>
      </c>
      <c r="K48" s="16">
        <f t="shared" si="1"/>
        <v>0.87532258064516144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U48" s="24">
        <f t="shared" si="2"/>
        <v>0.87532258064516144</v>
      </c>
      <c r="Z48" s="24">
        <f t="shared" si="3"/>
        <v>0.87532258064516144</v>
      </c>
    </row>
    <row r="49" spans="1:26" x14ac:dyDescent="0.5">
      <c r="A49" t="s">
        <v>24</v>
      </c>
      <c r="B49" t="s">
        <v>87</v>
      </c>
      <c r="C49" t="s">
        <v>81</v>
      </c>
      <c r="D49" t="s">
        <v>90</v>
      </c>
      <c r="E49" t="s">
        <v>91</v>
      </c>
      <c r="G49" s="16">
        <f>1.277</f>
        <v>1.2769999999999999</v>
      </c>
      <c r="H49" s="14">
        <f>G49*(1-$H$21)</f>
        <v>1.1493</v>
      </c>
      <c r="I49" s="16">
        <f t="shared" si="0"/>
        <v>1.1493</v>
      </c>
      <c r="J49" s="16">
        <f t="shared" si="4"/>
        <v>1.1493</v>
      </c>
      <c r="K49" s="16">
        <f t="shared" si="1"/>
        <v>1.1493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U49" s="24">
        <f t="shared" si="2"/>
        <v>1.1493</v>
      </c>
      <c r="Z49" s="24">
        <f t="shared" si="3"/>
        <v>1.1493</v>
      </c>
    </row>
    <row r="50" spans="1:26" x14ac:dyDescent="0.5">
      <c r="A50" t="s">
        <v>24</v>
      </c>
      <c r="B50" t="s">
        <v>87</v>
      </c>
      <c r="C50" t="s">
        <v>81</v>
      </c>
      <c r="D50" t="s">
        <v>82</v>
      </c>
      <c r="E50" t="s">
        <v>91</v>
      </c>
      <c r="G50" s="16">
        <f>0.67*$G$15</f>
        <v>0.26800000000000002</v>
      </c>
      <c r="H50" s="14">
        <f>G50*(1-$H$21)+G51*(1-$H$21)</f>
        <v>0.60299999999999998</v>
      </c>
      <c r="I50" s="16">
        <f t="shared" si="0"/>
        <v>0.60299999999999998</v>
      </c>
      <c r="J50" s="16">
        <f>H50</f>
        <v>0.60299999999999998</v>
      </c>
      <c r="K50" s="16">
        <f t="shared" si="1"/>
        <v>0.60299999999999998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U50" s="24">
        <f t="shared" si="2"/>
        <v>0.60299999999999998</v>
      </c>
      <c r="Z50" s="24">
        <f t="shared" si="3"/>
        <v>0.60299999999999998</v>
      </c>
    </row>
    <row r="51" spans="1:26" x14ac:dyDescent="0.5">
      <c r="A51" t="s">
        <v>24</v>
      </c>
      <c r="B51" t="s">
        <v>87</v>
      </c>
      <c r="C51" t="s">
        <v>81</v>
      </c>
      <c r="D51" t="s">
        <v>84</v>
      </c>
      <c r="E51" t="s">
        <v>91</v>
      </c>
      <c r="G51" s="16">
        <f>(0.67-G50)</f>
        <v>0.40200000000000002</v>
      </c>
      <c r="H51" s="14"/>
      <c r="I51" s="16">
        <f t="shared" si="0"/>
        <v>0</v>
      </c>
      <c r="J51" s="16">
        <f t="shared" si="4"/>
        <v>0</v>
      </c>
      <c r="K51" s="16">
        <f t="shared" si="1"/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U51" s="24">
        <f t="shared" si="2"/>
        <v>0</v>
      </c>
      <c r="Z51" s="24">
        <f t="shared" si="3"/>
        <v>0</v>
      </c>
    </row>
    <row r="52" spans="1:26" x14ac:dyDescent="0.5">
      <c r="A52" t="s">
        <v>24</v>
      </c>
      <c r="B52" t="s">
        <v>87</v>
      </c>
      <c r="C52" t="s">
        <v>81</v>
      </c>
      <c r="D52" t="s">
        <v>85</v>
      </c>
      <c r="E52" t="s">
        <v>91</v>
      </c>
      <c r="G52" s="16">
        <f>0.04</f>
        <v>0.04</v>
      </c>
      <c r="H52" s="16">
        <f>G52</f>
        <v>0.04</v>
      </c>
      <c r="I52" s="16">
        <f t="shared" si="0"/>
        <v>0.04</v>
      </c>
      <c r="J52" s="16">
        <f>H52</f>
        <v>0.04</v>
      </c>
      <c r="K52" s="16">
        <f t="shared" si="1"/>
        <v>0.04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U52" s="24">
        <f t="shared" si="2"/>
        <v>0.04</v>
      </c>
      <c r="Z52" s="24">
        <f t="shared" si="3"/>
        <v>0.04</v>
      </c>
    </row>
    <row r="53" spans="1:26" x14ac:dyDescent="0.5">
      <c r="A53" t="s">
        <v>24</v>
      </c>
      <c r="B53" t="s">
        <v>92</v>
      </c>
      <c r="C53" t="s">
        <v>78</v>
      </c>
      <c r="D53" t="s">
        <v>88</v>
      </c>
      <c r="E53" t="s">
        <v>93</v>
      </c>
      <c r="G53" s="16">
        <f>0.95/(62%/67%)</f>
        <v>1.0266129032258065</v>
      </c>
      <c r="H53" s="16">
        <f>G53</f>
        <v>1.0266129032258065</v>
      </c>
      <c r="I53" s="16">
        <f t="shared" si="0"/>
        <v>1.0266129032258065</v>
      </c>
      <c r="J53" s="16">
        <f t="shared" si="4"/>
        <v>1.0266129032258065</v>
      </c>
      <c r="K53" s="16">
        <f t="shared" si="1"/>
        <v>1.0266129032258065</v>
      </c>
      <c r="L53" s="24">
        <f>G53</f>
        <v>1.0266129032258065</v>
      </c>
      <c r="M53" s="24">
        <f>L53</f>
        <v>1.0266129032258065</v>
      </c>
      <c r="N53" s="24">
        <f>L53</f>
        <v>1.0266129032258065</v>
      </c>
      <c r="O53" s="24">
        <f>L53</f>
        <v>1.0266129032258065</v>
      </c>
      <c r="P53" s="24">
        <f>L53</f>
        <v>1.0266129032258065</v>
      </c>
      <c r="Q53" s="24">
        <v>0</v>
      </c>
      <c r="U53" s="24">
        <f t="shared" si="2"/>
        <v>1.0266129032258065</v>
      </c>
      <c r="V53" s="24">
        <f>L53</f>
        <v>1.0266129032258065</v>
      </c>
      <c r="W53" s="24">
        <f>V53</f>
        <v>1.0266129032258065</v>
      </c>
      <c r="X53" s="24">
        <f>V53</f>
        <v>1.0266129032258065</v>
      </c>
      <c r="Z53" s="24">
        <f t="shared" si="3"/>
        <v>1.0266129032258065</v>
      </c>
    </row>
    <row r="54" spans="1:26" x14ac:dyDescent="0.5">
      <c r="A54" t="s">
        <v>24</v>
      </c>
      <c r="B54" t="s">
        <v>92</v>
      </c>
      <c r="C54" t="s">
        <v>81</v>
      </c>
      <c r="D54" t="s">
        <v>82</v>
      </c>
      <c r="E54" t="s">
        <v>94</v>
      </c>
      <c r="G54" s="16">
        <f>0.31*$G$15</f>
        <v>0.124</v>
      </c>
      <c r="H54" s="14">
        <f>G54*(1-$H$21)+G55*(1-$H$21)</f>
        <v>0.27900000000000003</v>
      </c>
      <c r="I54" s="16">
        <f t="shared" si="0"/>
        <v>0.27900000000000003</v>
      </c>
      <c r="J54" s="16">
        <f t="shared" si="4"/>
        <v>0.27900000000000003</v>
      </c>
      <c r="K54" s="16">
        <f t="shared" si="1"/>
        <v>0.27900000000000003</v>
      </c>
      <c r="L54" s="24">
        <v>0</v>
      </c>
      <c r="M54" s="24">
        <v>0</v>
      </c>
      <c r="N54" s="24">
        <v>0</v>
      </c>
      <c r="O54" s="24">
        <f t="shared" ref="O54:O57" si="6">L54</f>
        <v>0</v>
      </c>
      <c r="P54" s="24">
        <f t="shared" ref="P54:P55" si="7">L54</f>
        <v>0</v>
      </c>
      <c r="Q54" s="24">
        <v>0</v>
      </c>
      <c r="U54" s="24">
        <f t="shared" si="2"/>
        <v>0.27900000000000003</v>
      </c>
      <c r="V54" s="24">
        <f t="shared" ref="V54:V59" si="8">L54</f>
        <v>0</v>
      </c>
      <c r="W54" s="24">
        <f t="shared" ref="W54:W59" si="9">V54</f>
        <v>0</v>
      </c>
      <c r="X54" s="24">
        <f t="shared" ref="X54:X59" si="10">V54</f>
        <v>0</v>
      </c>
      <c r="Z54" s="24">
        <f t="shared" si="3"/>
        <v>0.27900000000000003</v>
      </c>
    </row>
    <row r="55" spans="1:26" x14ac:dyDescent="0.5">
      <c r="A55" t="s">
        <v>24</v>
      </c>
      <c r="B55" t="s">
        <v>92</v>
      </c>
      <c r="C55" t="s">
        <v>81</v>
      </c>
      <c r="D55" t="s">
        <v>84</v>
      </c>
      <c r="E55" t="s">
        <v>94</v>
      </c>
      <c r="G55" s="16">
        <f>0.31-G54</f>
        <v>0.186</v>
      </c>
      <c r="H55" s="14"/>
      <c r="I55" s="16">
        <f t="shared" si="0"/>
        <v>0</v>
      </c>
      <c r="J55" s="16">
        <f t="shared" si="4"/>
        <v>0</v>
      </c>
      <c r="K55" s="16">
        <f t="shared" si="1"/>
        <v>0</v>
      </c>
      <c r="L55" s="24">
        <v>0</v>
      </c>
      <c r="M55" s="24">
        <v>0</v>
      </c>
      <c r="N55" s="24">
        <v>0</v>
      </c>
      <c r="O55" s="24">
        <f t="shared" si="6"/>
        <v>0</v>
      </c>
      <c r="P55" s="24">
        <f t="shared" si="7"/>
        <v>0</v>
      </c>
      <c r="Q55" s="24">
        <v>0</v>
      </c>
      <c r="U55" s="24">
        <f t="shared" si="2"/>
        <v>0</v>
      </c>
      <c r="V55" s="24">
        <f t="shared" si="8"/>
        <v>0</v>
      </c>
      <c r="W55" s="24">
        <f t="shared" si="9"/>
        <v>0</v>
      </c>
      <c r="X55" s="24">
        <f t="shared" si="10"/>
        <v>0</v>
      </c>
      <c r="Z55" s="24">
        <f t="shared" si="3"/>
        <v>0</v>
      </c>
    </row>
    <row r="56" spans="1:26" x14ac:dyDescent="0.5">
      <c r="A56" t="s">
        <v>24</v>
      </c>
      <c r="B56" t="s">
        <v>92</v>
      </c>
      <c r="C56" t="s">
        <v>81</v>
      </c>
      <c r="D56" t="s">
        <v>95</v>
      </c>
      <c r="E56" t="s">
        <v>94</v>
      </c>
      <c r="G56" s="16">
        <v>0.01</v>
      </c>
      <c r="H56" s="14">
        <f t="shared" ref="H56:H57" si="11">G56*(1-$H$21)</f>
        <v>9.0000000000000011E-3</v>
      </c>
      <c r="I56" s="16">
        <f t="shared" si="0"/>
        <v>9.0000000000000011E-3</v>
      </c>
      <c r="J56" s="16">
        <f t="shared" si="4"/>
        <v>9.0000000000000011E-3</v>
      </c>
      <c r="K56" s="16">
        <f t="shared" si="1"/>
        <v>9.0000000000000011E-3</v>
      </c>
      <c r="L56" s="24">
        <f>H54+H55+H57</f>
        <v>0.58500000000000008</v>
      </c>
      <c r="M56" s="24">
        <f>L56</f>
        <v>0.58500000000000008</v>
      </c>
      <c r="N56" s="24">
        <f>L56/2</f>
        <v>0.29250000000000004</v>
      </c>
      <c r="O56" s="24">
        <f t="shared" si="6"/>
        <v>0.58500000000000008</v>
      </c>
      <c r="P56" s="19">
        <v>0</v>
      </c>
      <c r="Q56" s="24">
        <v>0</v>
      </c>
      <c r="U56" s="24">
        <f t="shared" si="2"/>
        <v>9.0000000000000011E-3</v>
      </c>
      <c r="V56" s="24">
        <f t="shared" si="8"/>
        <v>0.58500000000000008</v>
      </c>
      <c r="W56" s="24">
        <f t="shared" si="9"/>
        <v>0.58500000000000008</v>
      </c>
      <c r="X56" s="24">
        <f t="shared" si="10"/>
        <v>0.58500000000000008</v>
      </c>
      <c r="Z56" s="24">
        <f t="shared" si="3"/>
        <v>9.0000000000000011E-3</v>
      </c>
    </row>
    <row r="57" spans="1:26" x14ac:dyDescent="0.5">
      <c r="A57" t="s">
        <v>24</v>
      </c>
      <c r="B57" t="s">
        <v>92</v>
      </c>
      <c r="C57" t="s">
        <v>81</v>
      </c>
      <c r="D57" t="s">
        <v>90</v>
      </c>
      <c r="E57" t="s">
        <v>94</v>
      </c>
      <c r="G57" s="16">
        <v>0.34</v>
      </c>
      <c r="H57" s="14">
        <f t="shared" si="11"/>
        <v>0.30600000000000005</v>
      </c>
      <c r="I57" s="16">
        <f t="shared" si="0"/>
        <v>0.30600000000000005</v>
      </c>
      <c r="J57" s="16">
        <f t="shared" si="4"/>
        <v>0.30600000000000005</v>
      </c>
      <c r="K57" s="16">
        <f t="shared" si="1"/>
        <v>0.30600000000000005</v>
      </c>
      <c r="L57" s="24">
        <v>0</v>
      </c>
      <c r="M57" s="24">
        <v>0</v>
      </c>
      <c r="N57" s="24">
        <v>0</v>
      </c>
      <c r="O57" s="24">
        <f t="shared" si="6"/>
        <v>0</v>
      </c>
      <c r="Q57" s="24">
        <v>0</v>
      </c>
      <c r="U57" s="24">
        <f t="shared" si="2"/>
        <v>0.30600000000000005</v>
      </c>
      <c r="V57" s="24">
        <f t="shared" si="8"/>
        <v>0</v>
      </c>
      <c r="W57" s="24">
        <f t="shared" si="9"/>
        <v>0</v>
      </c>
      <c r="X57" s="24">
        <f t="shared" si="10"/>
        <v>0</v>
      </c>
      <c r="Z57" s="24">
        <f t="shared" si="3"/>
        <v>0.30600000000000005</v>
      </c>
    </row>
    <row r="58" spans="1:26" x14ac:dyDescent="0.5">
      <c r="A58" t="s">
        <v>24</v>
      </c>
      <c r="B58" t="s">
        <v>92</v>
      </c>
      <c r="C58" t="s">
        <v>81</v>
      </c>
      <c r="D58" t="s">
        <v>96</v>
      </c>
      <c r="E58" t="s">
        <v>94</v>
      </c>
      <c r="G58" s="16"/>
      <c r="H58" s="14"/>
      <c r="I58" s="16"/>
      <c r="J58" s="16"/>
      <c r="K58" s="16"/>
      <c r="L58" s="24"/>
      <c r="M58" s="24">
        <v>0</v>
      </c>
      <c r="P58" s="24">
        <f>L57</f>
        <v>0</v>
      </c>
      <c r="Q58" s="24">
        <v>0</v>
      </c>
      <c r="U58" s="24">
        <f t="shared" si="2"/>
        <v>0</v>
      </c>
      <c r="V58" s="24">
        <f t="shared" si="8"/>
        <v>0</v>
      </c>
      <c r="W58" s="24">
        <f t="shared" si="9"/>
        <v>0</v>
      </c>
      <c r="X58" s="24">
        <f t="shared" si="10"/>
        <v>0</v>
      </c>
      <c r="Z58" s="24">
        <f t="shared" si="3"/>
        <v>0</v>
      </c>
    </row>
    <row r="59" spans="1:26" x14ac:dyDescent="0.5">
      <c r="A59" t="s">
        <v>24</v>
      </c>
      <c r="B59" t="s">
        <v>92</v>
      </c>
      <c r="C59" t="s">
        <v>81</v>
      </c>
      <c r="D59" t="s">
        <v>85</v>
      </c>
      <c r="E59" t="s">
        <v>94</v>
      </c>
      <c r="G59" s="16">
        <v>7.5999999999999998E-2</v>
      </c>
      <c r="H59" s="16">
        <f>G59</f>
        <v>7.5999999999999998E-2</v>
      </c>
      <c r="I59" s="16">
        <f t="shared" si="0"/>
        <v>7.5999999999999998E-2</v>
      </c>
      <c r="J59" s="16">
        <f t="shared" si="4"/>
        <v>7.5999999999999998E-2</v>
      </c>
      <c r="K59" s="16">
        <f t="shared" si="1"/>
        <v>7.5999999999999998E-2</v>
      </c>
      <c r="L59" s="24">
        <f>G59</f>
        <v>7.5999999999999998E-2</v>
      </c>
      <c r="M59" s="24">
        <f>L59</f>
        <v>7.5999999999999998E-2</v>
      </c>
      <c r="N59" s="24">
        <f>L59</f>
        <v>7.5999999999999998E-2</v>
      </c>
      <c r="O59" s="24">
        <f>L59</f>
        <v>7.5999999999999998E-2</v>
      </c>
      <c r="P59" s="11">
        <f>L59+L56</f>
        <v>0.66100000000000003</v>
      </c>
      <c r="Q59" s="24">
        <v>0</v>
      </c>
      <c r="U59" s="24">
        <f t="shared" si="2"/>
        <v>7.5999999999999998E-2</v>
      </c>
      <c r="V59" s="24">
        <f t="shared" si="8"/>
        <v>7.5999999999999998E-2</v>
      </c>
      <c r="W59" s="24">
        <f t="shared" si="9"/>
        <v>7.5999999999999998E-2</v>
      </c>
      <c r="X59" s="24">
        <f t="shared" si="10"/>
        <v>7.5999999999999998E-2</v>
      </c>
      <c r="Z59" s="24">
        <f t="shared" si="3"/>
        <v>7.5999999999999998E-2</v>
      </c>
    </row>
    <row r="60" spans="1:26" x14ac:dyDescent="0.5">
      <c r="A60" t="s">
        <v>24</v>
      </c>
      <c r="B60" t="s">
        <v>92</v>
      </c>
      <c r="C60" t="s">
        <v>81</v>
      </c>
      <c r="D60" t="s">
        <v>147</v>
      </c>
      <c r="E60" t="s">
        <v>94</v>
      </c>
      <c r="G60" s="16"/>
      <c r="H60" s="14"/>
      <c r="I60" s="16"/>
      <c r="J60" s="16"/>
      <c r="K60" s="16"/>
      <c r="L60" s="24"/>
      <c r="M60" s="24"/>
      <c r="N60" s="24">
        <f>L56/2</f>
        <v>0.29250000000000004</v>
      </c>
      <c r="P60" s="24"/>
      <c r="Q60" s="24">
        <v>0</v>
      </c>
      <c r="U60" s="24">
        <f t="shared" si="2"/>
        <v>0</v>
      </c>
    </row>
    <row r="61" spans="1:26" x14ac:dyDescent="0.5">
      <c r="A61" t="s">
        <v>24</v>
      </c>
      <c r="B61" t="s">
        <v>97</v>
      </c>
      <c r="C61" t="s">
        <v>78</v>
      </c>
      <c r="D61" t="s">
        <v>98</v>
      </c>
      <c r="E61" t="s">
        <v>99</v>
      </c>
      <c r="G61" s="16">
        <v>0.99199999999999999</v>
      </c>
      <c r="H61" s="16">
        <f>G61</f>
        <v>0.99199999999999999</v>
      </c>
      <c r="I61" s="16">
        <f t="shared" si="0"/>
        <v>0.99199999999999999</v>
      </c>
      <c r="J61" s="16">
        <f t="shared" si="4"/>
        <v>0.99199999999999999</v>
      </c>
      <c r="K61" s="16">
        <f t="shared" si="1"/>
        <v>0.99199999999999999</v>
      </c>
      <c r="Q61" s="24">
        <v>0</v>
      </c>
      <c r="U61" s="24">
        <f t="shared" si="2"/>
        <v>0.99199999999999999</v>
      </c>
      <c r="Z61" s="24">
        <f>I61</f>
        <v>0.99199999999999999</v>
      </c>
    </row>
    <row r="62" spans="1:26" x14ac:dyDescent="0.5">
      <c r="A62" t="s">
        <v>24</v>
      </c>
      <c r="B62" t="s">
        <v>97</v>
      </c>
      <c r="C62" t="s">
        <v>78</v>
      </c>
      <c r="D62" t="s">
        <v>88</v>
      </c>
      <c r="E62" t="s">
        <v>99</v>
      </c>
      <c r="G62" s="16">
        <v>0.15</v>
      </c>
      <c r="H62" s="16">
        <f t="shared" ref="H62:H63" si="12">G62</f>
        <v>0.15</v>
      </c>
      <c r="I62" s="16">
        <f t="shared" si="0"/>
        <v>0.15</v>
      </c>
      <c r="J62" s="16">
        <f t="shared" si="4"/>
        <v>0.15</v>
      </c>
      <c r="K62" s="16">
        <f t="shared" si="1"/>
        <v>0.15</v>
      </c>
      <c r="Q62" s="24">
        <v>0</v>
      </c>
      <c r="U62" s="24">
        <f t="shared" si="2"/>
        <v>0.15</v>
      </c>
      <c r="Z62" s="24">
        <f t="shared" ref="Z62:Z63" si="13">I62</f>
        <v>0.15</v>
      </c>
    </row>
    <row r="63" spans="1:26" x14ac:dyDescent="0.5">
      <c r="A63" t="s">
        <v>24</v>
      </c>
      <c r="B63" t="s">
        <v>97</v>
      </c>
      <c r="C63" t="s">
        <v>78</v>
      </c>
      <c r="D63" t="s">
        <v>100</v>
      </c>
      <c r="E63" t="s">
        <v>99</v>
      </c>
      <c r="G63" s="16">
        <v>0.435</v>
      </c>
      <c r="H63" s="16">
        <f t="shared" si="12"/>
        <v>0.435</v>
      </c>
      <c r="I63" s="16">
        <f t="shared" si="0"/>
        <v>0.435</v>
      </c>
      <c r="J63" s="16">
        <f t="shared" si="4"/>
        <v>0.435</v>
      </c>
      <c r="K63" s="16">
        <f t="shared" si="1"/>
        <v>0.435</v>
      </c>
      <c r="Q63" s="24">
        <v>0</v>
      </c>
      <c r="U63" s="24">
        <f t="shared" si="2"/>
        <v>0.435</v>
      </c>
      <c r="Z63" s="24">
        <f t="shared" si="13"/>
        <v>0.435</v>
      </c>
    </row>
    <row r="64" spans="1:26" x14ac:dyDescent="0.5">
      <c r="A64" t="s">
        <v>24</v>
      </c>
      <c r="B64" t="s">
        <v>97</v>
      </c>
      <c r="C64" t="s">
        <v>78</v>
      </c>
      <c r="D64" t="s">
        <v>101</v>
      </c>
      <c r="E64" t="s">
        <v>99</v>
      </c>
      <c r="G64" s="16">
        <f>0.482-G68*$G$9/1000</f>
        <v>0.30649999999999999</v>
      </c>
      <c r="H64" s="14">
        <f>0.482*(1-$H$14)-H68*$H$9/1000</f>
        <v>0.23374999999999993</v>
      </c>
      <c r="I64" s="16">
        <f t="shared" si="0"/>
        <v>0.23374999999999993</v>
      </c>
      <c r="J64" s="16">
        <f t="shared" si="4"/>
        <v>0.23374999999999993</v>
      </c>
      <c r="K64" s="16">
        <f t="shared" si="1"/>
        <v>0.23374999999999993</v>
      </c>
      <c r="Q64" s="24">
        <v>0</v>
      </c>
      <c r="U64" s="24">
        <f>0.482-U70*H9/1000</f>
        <v>0.27500000000000002</v>
      </c>
      <c r="Z64" s="20">
        <f>(0.482-Z69*$Z$9/1000)*0.9</f>
        <v>0.21509999999999999</v>
      </c>
    </row>
    <row r="65" spans="1:26" x14ac:dyDescent="0.5">
      <c r="A65" t="s">
        <v>24</v>
      </c>
      <c r="B65" t="s">
        <v>97</v>
      </c>
      <c r="C65" t="s">
        <v>78</v>
      </c>
      <c r="D65" t="s">
        <v>102</v>
      </c>
      <c r="E65" t="s">
        <v>99</v>
      </c>
      <c r="G65" s="16">
        <v>0</v>
      </c>
      <c r="H65" s="16">
        <v>0</v>
      </c>
      <c r="I65" s="16">
        <f t="shared" si="0"/>
        <v>0</v>
      </c>
      <c r="J65" s="16">
        <f t="shared" si="4"/>
        <v>0</v>
      </c>
      <c r="K65" s="16">
        <f t="shared" si="1"/>
        <v>0</v>
      </c>
      <c r="Q65" s="24">
        <v>0</v>
      </c>
    </row>
    <row r="66" spans="1:26" x14ac:dyDescent="0.5">
      <c r="C66" t="s">
        <v>78</v>
      </c>
      <c r="D66" t="s">
        <v>106</v>
      </c>
      <c r="E66" t="s">
        <v>108</v>
      </c>
      <c r="G66" s="16"/>
      <c r="H66" s="16"/>
      <c r="I66" s="16"/>
      <c r="J66" s="16"/>
      <c r="K66" s="16"/>
      <c r="Q66" s="24"/>
      <c r="Z66" s="11">
        <f>(0.482-Z69*$Z$9/1000)*28.4*10%</f>
        <v>0.67876000000000003</v>
      </c>
    </row>
    <row r="67" spans="1:26" x14ac:dyDescent="0.5">
      <c r="A67" t="s">
        <v>24</v>
      </c>
      <c r="B67" t="s">
        <v>97</v>
      </c>
      <c r="C67" t="s">
        <v>103</v>
      </c>
      <c r="D67" t="s">
        <v>104</v>
      </c>
      <c r="E67" t="s">
        <v>105</v>
      </c>
      <c r="G67" s="16"/>
      <c r="H67" s="16"/>
      <c r="I67" s="16"/>
      <c r="J67" s="16">
        <f>J6</f>
        <v>27.5</v>
      </c>
      <c r="K67" s="16">
        <f t="shared" si="1"/>
        <v>0</v>
      </c>
      <c r="Q67" s="24">
        <v>0</v>
      </c>
    </row>
    <row r="68" spans="1:26" x14ac:dyDescent="0.5">
      <c r="A68" t="s">
        <v>24</v>
      </c>
      <c r="B68" t="s">
        <v>97</v>
      </c>
      <c r="C68" t="s">
        <v>103</v>
      </c>
      <c r="D68" t="s">
        <v>90</v>
      </c>
      <c r="E68" t="s">
        <v>105</v>
      </c>
      <c r="G68" s="16">
        <f>G5</f>
        <v>195</v>
      </c>
      <c r="H68" s="14">
        <f>H5*(1-$H$14)</f>
        <v>195.5</v>
      </c>
      <c r="I68" s="21"/>
      <c r="J68" s="14">
        <f>H68-J6/J7</f>
        <v>75.5</v>
      </c>
      <c r="K68" s="16">
        <f t="shared" si="1"/>
        <v>195.5</v>
      </c>
      <c r="Q68" s="24">
        <v>0</v>
      </c>
    </row>
    <row r="69" spans="1:26" x14ac:dyDescent="0.5">
      <c r="A69" t="s">
        <v>24</v>
      </c>
      <c r="B69" t="s">
        <v>97</v>
      </c>
      <c r="C69" t="s">
        <v>103</v>
      </c>
      <c r="D69" t="s">
        <v>106</v>
      </c>
      <c r="E69" t="s">
        <v>105</v>
      </c>
      <c r="G69" s="14"/>
      <c r="H69" s="14"/>
      <c r="I69" s="16">
        <f>I5</f>
        <v>270</v>
      </c>
      <c r="J69" s="14"/>
      <c r="K69" s="16">
        <f t="shared" si="1"/>
        <v>0</v>
      </c>
      <c r="Q69" s="24">
        <v>0</v>
      </c>
      <c r="Z69" s="11">
        <f>Z5</f>
        <v>270</v>
      </c>
    </row>
    <row r="70" spans="1:26" x14ac:dyDescent="0.5">
      <c r="C70" t="s">
        <v>103</v>
      </c>
      <c r="D70" t="s">
        <v>160</v>
      </c>
      <c r="E70" t="s">
        <v>105</v>
      </c>
      <c r="G70" s="14"/>
      <c r="H70" s="14"/>
      <c r="I70" s="16"/>
      <c r="J70" s="14"/>
      <c r="K70" s="16"/>
      <c r="Q70" s="24"/>
      <c r="U70" s="24">
        <f>H5</f>
        <v>230</v>
      </c>
    </row>
    <row r="71" spans="1:26" x14ac:dyDescent="0.5">
      <c r="A71" t="s">
        <v>24</v>
      </c>
      <c r="B71" t="s">
        <v>97</v>
      </c>
      <c r="C71" t="s">
        <v>107</v>
      </c>
      <c r="D71" t="s">
        <v>84</v>
      </c>
      <c r="E71" t="s">
        <v>108</v>
      </c>
      <c r="G71" s="16">
        <v>2.2000000000000002</v>
      </c>
      <c r="H71" s="20">
        <f>SUM(G45,G51,G55,1.546,G83)*(1-$H$21)*(1-$H$4+G4)</f>
        <v>3.2261039999999999</v>
      </c>
      <c r="I71" s="16">
        <f t="shared" si="0"/>
        <v>3.2261039999999999</v>
      </c>
      <c r="J71" s="14">
        <f>H71</f>
        <v>3.2261039999999999</v>
      </c>
      <c r="K71" s="16">
        <f t="shared" si="1"/>
        <v>3.2261039999999999</v>
      </c>
      <c r="Q71" s="24">
        <v>0</v>
      </c>
      <c r="Z71" s="11">
        <f>H71</f>
        <v>3.2261039999999999</v>
      </c>
    </row>
    <row r="72" spans="1:26" x14ac:dyDescent="0.5">
      <c r="A72" t="s">
        <v>24</v>
      </c>
      <c r="B72" t="s">
        <v>97</v>
      </c>
      <c r="C72" t="s">
        <v>107</v>
      </c>
      <c r="D72" t="s">
        <v>82</v>
      </c>
      <c r="E72" t="s">
        <v>108</v>
      </c>
      <c r="G72" s="16">
        <v>0.32</v>
      </c>
      <c r="H72" s="20">
        <v>0.8</v>
      </c>
      <c r="I72" s="16">
        <f t="shared" si="0"/>
        <v>0.8</v>
      </c>
      <c r="J72" s="14">
        <f t="shared" ref="J72:J89" si="14">H72</f>
        <v>0.8</v>
      </c>
      <c r="K72" s="16">
        <f t="shared" si="1"/>
        <v>0.8</v>
      </c>
      <c r="Q72" s="24">
        <v>0</v>
      </c>
      <c r="U72" s="19">
        <f>H72+G71</f>
        <v>3</v>
      </c>
      <c r="Z72" s="11">
        <f t="shared" ref="Z72:Z76" si="15">H72</f>
        <v>0.8</v>
      </c>
    </row>
    <row r="73" spans="1:26" x14ac:dyDescent="0.5">
      <c r="A73" t="s">
        <v>24</v>
      </c>
      <c r="B73" t="s">
        <v>97</v>
      </c>
      <c r="C73" t="s">
        <v>107</v>
      </c>
      <c r="D73" t="s">
        <v>95</v>
      </c>
      <c r="E73" t="s">
        <v>108</v>
      </c>
      <c r="G73" s="16">
        <v>0.25</v>
      </c>
      <c r="H73" s="14">
        <f>G73*(1-$H$21)</f>
        <v>0.22500000000000001</v>
      </c>
      <c r="I73" s="16">
        <f t="shared" si="0"/>
        <v>0.22500000000000001</v>
      </c>
      <c r="J73" s="14">
        <f t="shared" si="14"/>
        <v>0.22500000000000001</v>
      </c>
      <c r="K73" s="16">
        <f t="shared" si="1"/>
        <v>0.22500000000000001</v>
      </c>
      <c r="Q73" s="24">
        <v>0</v>
      </c>
      <c r="U73" s="24">
        <f>H73+H71-U72</f>
        <v>0.45110399999999995</v>
      </c>
      <c r="V73" s="24">
        <f>H73+H71-U72</f>
        <v>0.45110399999999995</v>
      </c>
      <c r="Z73" s="11">
        <f t="shared" si="15"/>
        <v>0.22500000000000001</v>
      </c>
    </row>
    <row r="74" spans="1:26" x14ac:dyDescent="0.5">
      <c r="A74" t="s">
        <v>24</v>
      </c>
      <c r="B74" t="s">
        <v>97</v>
      </c>
      <c r="C74" t="s">
        <v>107</v>
      </c>
      <c r="D74" t="s">
        <v>109</v>
      </c>
      <c r="E74" t="s">
        <v>108</v>
      </c>
      <c r="G74" s="16">
        <v>0.35</v>
      </c>
      <c r="H74" s="14">
        <f>G74*(1-$H$21)</f>
        <v>0.315</v>
      </c>
      <c r="I74" s="16">
        <f t="shared" si="0"/>
        <v>0.315</v>
      </c>
      <c r="J74" s="14">
        <f t="shared" si="14"/>
        <v>0.315</v>
      </c>
      <c r="K74" s="16">
        <f t="shared" si="1"/>
        <v>0.315</v>
      </c>
      <c r="Q74" s="24">
        <v>0</v>
      </c>
      <c r="U74" s="11">
        <f t="shared" ref="U74:U79" si="16">H74</f>
        <v>0.315</v>
      </c>
      <c r="Z74" s="11">
        <f t="shared" si="15"/>
        <v>0.315</v>
      </c>
    </row>
    <row r="75" spans="1:26" x14ac:dyDescent="0.5">
      <c r="A75" t="s">
        <v>24</v>
      </c>
      <c r="B75" t="s">
        <v>97</v>
      </c>
      <c r="C75" t="s">
        <v>110</v>
      </c>
      <c r="D75" t="s">
        <v>85</v>
      </c>
      <c r="E75" t="s">
        <v>108</v>
      </c>
      <c r="G75" s="16">
        <v>0.26800000000000002</v>
      </c>
      <c r="H75" s="16">
        <f>G75</f>
        <v>0.26800000000000002</v>
      </c>
      <c r="I75" s="16">
        <f t="shared" si="0"/>
        <v>0.26800000000000002</v>
      </c>
      <c r="J75" s="14">
        <f t="shared" si="14"/>
        <v>0.26800000000000002</v>
      </c>
      <c r="K75" s="16">
        <f t="shared" si="1"/>
        <v>0.26800000000000002</v>
      </c>
      <c r="Q75" s="24">
        <v>0</v>
      </c>
      <c r="U75" s="11">
        <f t="shared" si="16"/>
        <v>0.26800000000000002</v>
      </c>
      <c r="Z75" s="11">
        <f t="shared" si="15"/>
        <v>0.26800000000000002</v>
      </c>
    </row>
    <row r="76" spans="1:26" x14ac:dyDescent="0.5">
      <c r="A76" t="s">
        <v>24</v>
      </c>
      <c r="B76" t="s">
        <v>97</v>
      </c>
      <c r="C76" t="s">
        <v>111</v>
      </c>
      <c r="D76" t="s">
        <v>86</v>
      </c>
      <c r="E76" t="s">
        <v>108</v>
      </c>
      <c r="G76" s="16">
        <v>4.8000000000000001E-2</v>
      </c>
      <c r="H76" s="14">
        <f>G76*(1-$H$21)</f>
        <v>4.3200000000000002E-2</v>
      </c>
      <c r="I76" s="16">
        <f t="shared" si="0"/>
        <v>4.3200000000000002E-2</v>
      </c>
      <c r="J76" s="14">
        <f t="shared" si="14"/>
        <v>4.3200000000000002E-2</v>
      </c>
      <c r="K76" s="16">
        <f t="shared" si="1"/>
        <v>4.3200000000000002E-2</v>
      </c>
      <c r="Q76" s="24">
        <v>0</v>
      </c>
      <c r="U76" s="11">
        <f t="shared" si="16"/>
        <v>4.3200000000000002E-2</v>
      </c>
      <c r="Z76" s="11">
        <f t="shared" si="15"/>
        <v>4.3200000000000002E-2</v>
      </c>
    </row>
    <row r="77" spans="1:26" x14ac:dyDescent="0.5">
      <c r="A77" t="s">
        <v>24</v>
      </c>
      <c r="B77" t="s">
        <v>97</v>
      </c>
      <c r="C77" t="s">
        <v>111</v>
      </c>
      <c r="D77" t="s">
        <v>112</v>
      </c>
      <c r="E77" t="s">
        <v>105</v>
      </c>
      <c r="G77" s="16">
        <v>330</v>
      </c>
      <c r="H77" s="16">
        <f>G77</f>
        <v>330</v>
      </c>
      <c r="I77" s="16">
        <f t="shared" si="0"/>
        <v>330</v>
      </c>
      <c r="J77" s="14">
        <f t="shared" si="14"/>
        <v>330</v>
      </c>
      <c r="K77" s="16">
        <f t="shared" si="1"/>
        <v>330</v>
      </c>
      <c r="Q77" s="24">
        <v>0</v>
      </c>
      <c r="U77" s="11">
        <f t="shared" si="16"/>
        <v>330</v>
      </c>
      <c r="Z77" s="11">
        <f>H77</f>
        <v>330</v>
      </c>
    </row>
    <row r="78" spans="1:26" x14ac:dyDescent="0.5">
      <c r="A78" t="s">
        <v>24</v>
      </c>
      <c r="B78" t="s">
        <v>113</v>
      </c>
      <c r="C78" t="s">
        <v>111</v>
      </c>
      <c r="D78" t="s">
        <v>85</v>
      </c>
      <c r="E78" t="s">
        <v>61</v>
      </c>
      <c r="G78" s="14">
        <f>G13*F137*3.6/1000</f>
        <v>0.19397557124088433</v>
      </c>
      <c r="H78" s="14">
        <f>H13*F137*3.6/1000</f>
        <v>0.19397557124088433</v>
      </c>
      <c r="I78" s="16">
        <f t="shared" si="0"/>
        <v>0.19397557124088433</v>
      </c>
      <c r="J78" s="14">
        <f t="shared" si="14"/>
        <v>0.19397557124088433</v>
      </c>
      <c r="K78" s="16">
        <f>H78</f>
        <v>0.19397557124088433</v>
      </c>
      <c r="Q78" s="24">
        <f>Q13*F137*3.6/1000</f>
        <v>1.2999766353336459</v>
      </c>
      <c r="R78" s="24">
        <f>Q78</f>
        <v>1.2999766353336459</v>
      </c>
      <c r="U78" s="11">
        <f t="shared" si="16"/>
        <v>0.19397557124088433</v>
      </c>
      <c r="V78" s="11">
        <f>V13*F137*3.6/1000</f>
        <v>8.5077004930212419E-2</v>
      </c>
      <c r="W78" s="11">
        <f>V78</f>
        <v>8.5077004930212419E-2</v>
      </c>
      <c r="X78" s="11">
        <f>V78</f>
        <v>8.5077004930212419E-2</v>
      </c>
      <c r="Z78" s="11">
        <f>H78</f>
        <v>0.19397557124088433</v>
      </c>
    </row>
    <row r="79" spans="1:26" x14ac:dyDescent="0.5">
      <c r="A79" t="s">
        <v>24</v>
      </c>
      <c r="B79" t="s">
        <v>114</v>
      </c>
      <c r="C79" t="s">
        <v>78</v>
      </c>
      <c r="D79" t="s">
        <v>115</v>
      </c>
      <c r="E79" t="s">
        <v>116</v>
      </c>
      <c r="G79" s="16">
        <f>(1+$G$18)-G80</f>
        <v>0.91500000000000004</v>
      </c>
      <c r="H79" s="16">
        <f>(1+$H$18)-H80</f>
        <v>0.78</v>
      </c>
      <c r="I79" s="16">
        <f t="shared" si="0"/>
        <v>0.78</v>
      </c>
      <c r="J79" s="14">
        <f t="shared" si="14"/>
        <v>0.78</v>
      </c>
      <c r="K79" s="16">
        <f>H79</f>
        <v>0.78</v>
      </c>
      <c r="Q79" s="24">
        <f>(1+Q18)-Q80</f>
        <v>0.78</v>
      </c>
      <c r="R79" s="24">
        <f>Q79</f>
        <v>0.78</v>
      </c>
      <c r="U79" s="24">
        <f t="shared" si="16"/>
        <v>0.78</v>
      </c>
      <c r="V79" s="11">
        <f>(1+V18)-V80/(1-V18)</f>
        <v>1.05</v>
      </c>
      <c r="W79" s="11">
        <f>V79</f>
        <v>1.05</v>
      </c>
      <c r="X79" s="29">
        <f>P111</f>
        <v>1.1363636363636365</v>
      </c>
      <c r="Z79" s="24">
        <f>H79</f>
        <v>0.78</v>
      </c>
    </row>
    <row r="80" spans="1:26" x14ac:dyDescent="0.5">
      <c r="A80" t="s">
        <v>24</v>
      </c>
      <c r="B80" t="s">
        <v>114</v>
      </c>
      <c r="C80" t="s">
        <v>78</v>
      </c>
      <c r="D80" t="s">
        <v>117</v>
      </c>
      <c r="E80" t="s">
        <v>116</v>
      </c>
      <c r="G80" s="16">
        <f>G4</f>
        <v>0.16500000000000001</v>
      </c>
      <c r="H80" s="16">
        <f>H4</f>
        <v>0.3</v>
      </c>
      <c r="I80" s="16">
        <f t="shared" si="0"/>
        <v>0.3</v>
      </c>
      <c r="J80" s="14">
        <f t="shared" si="14"/>
        <v>0.3</v>
      </c>
      <c r="K80" s="16">
        <f t="shared" ref="K80:K89" si="17">H80</f>
        <v>0.3</v>
      </c>
      <c r="Q80" s="24">
        <f>Q4</f>
        <v>0.3</v>
      </c>
      <c r="R80" s="24">
        <f>Q80</f>
        <v>0.3</v>
      </c>
      <c r="U80" s="24">
        <f t="shared" ref="U80:U89" si="18">H80</f>
        <v>0.3</v>
      </c>
      <c r="Z80" s="24">
        <f>H80</f>
        <v>0.3</v>
      </c>
    </row>
    <row r="81" spans="1:26" x14ac:dyDescent="0.5">
      <c r="A81" t="s">
        <v>24</v>
      </c>
      <c r="B81" t="s">
        <v>114</v>
      </c>
      <c r="C81" t="s">
        <v>152</v>
      </c>
      <c r="D81" t="s">
        <v>95</v>
      </c>
      <c r="E81" t="s">
        <v>61</v>
      </c>
      <c r="G81" s="16">
        <v>0.04</v>
      </c>
      <c r="H81" s="14">
        <f t="shared" ref="H81:H88" si="19">G81*(1-$H$21)</f>
        <v>3.6000000000000004E-2</v>
      </c>
      <c r="I81" s="16">
        <f t="shared" si="0"/>
        <v>3.6000000000000004E-2</v>
      </c>
      <c r="J81" s="14">
        <f t="shared" si="14"/>
        <v>3.6000000000000004E-2</v>
      </c>
      <c r="K81" s="16">
        <f t="shared" si="17"/>
        <v>3.6000000000000004E-2</v>
      </c>
      <c r="Q81" s="24">
        <v>0.04</v>
      </c>
      <c r="R81" s="24">
        <f>Q81</f>
        <v>0.04</v>
      </c>
      <c r="U81" s="24">
        <f t="shared" si="18"/>
        <v>3.6000000000000004E-2</v>
      </c>
      <c r="Z81" s="11">
        <f>H81</f>
        <v>3.6000000000000004E-2</v>
      </c>
    </row>
    <row r="82" spans="1:26" x14ac:dyDescent="0.5">
      <c r="A82" t="s">
        <v>24</v>
      </c>
      <c r="B82" t="s">
        <v>114</v>
      </c>
      <c r="C82" t="s">
        <v>152</v>
      </c>
      <c r="D82" t="s">
        <v>82</v>
      </c>
      <c r="E82" t="s">
        <v>61</v>
      </c>
      <c r="G82" s="16">
        <v>0.01</v>
      </c>
      <c r="H82" s="14">
        <f t="shared" si="19"/>
        <v>9.0000000000000011E-3</v>
      </c>
      <c r="I82" s="16">
        <f t="shared" si="0"/>
        <v>9.0000000000000011E-3</v>
      </c>
      <c r="J82" s="14">
        <f t="shared" si="14"/>
        <v>9.0000000000000011E-3</v>
      </c>
      <c r="K82" s="16">
        <f t="shared" si="17"/>
        <v>9.0000000000000011E-3</v>
      </c>
      <c r="U82" s="24">
        <f t="shared" si="18"/>
        <v>9.0000000000000011E-3</v>
      </c>
      <c r="Z82" s="24">
        <f>I82</f>
        <v>9.0000000000000011E-3</v>
      </c>
    </row>
    <row r="83" spans="1:26" x14ac:dyDescent="0.5">
      <c r="A83" t="s">
        <v>24</v>
      </c>
      <c r="B83" t="s">
        <v>114</v>
      </c>
      <c r="C83" t="s">
        <v>152</v>
      </c>
      <c r="D83" t="s">
        <v>84</v>
      </c>
      <c r="E83" t="s">
        <v>61</v>
      </c>
      <c r="G83" s="16">
        <v>0.03</v>
      </c>
      <c r="H83" s="14"/>
      <c r="I83" s="16">
        <f t="shared" si="0"/>
        <v>0</v>
      </c>
      <c r="J83" s="14">
        <f t="shared" si="14"/>
        <v>0</v>
      </c>
      <c r="K83" s="16">
        <f t="shared" si="17"/>
        <v>0</v>
      </c>
      <c r="U83" s="24">
        <f t="shared" si="18"/>
        <v>0</v>
      </c>
    </row>
    <row r="84" spans="1:26" x14ac:dyDescent="0.5">
      <c r="A84" t="s">
        <v>24</v>
      </c>
      <c r="B84" t="s">
        <v>114</v>
      </c>
      <c r="C84" t="s">
        <v>152</v>
      </c>
      <c r="D84" t="s">
        <v>86</v>
      </c>
      <c r="E84" t="s">
        <v>61</v>
      </c>
      <c r="G84" s="16">
        <v>0.15</v>
      </c>
      <c r="H84" s="14">
        <f t="shared" si="19"/>
        <v>0.13500000000000001</v>
      </c>
      <c r="I84" s="16">
        <f t="shared" si="0"/>
        <v>0.13500000000000001</v>
      </c>
      <c r="J84" s="14">
        <f t="shared" si="14"/>
        <v>0.13500000000000001</v>
      </c>
      <c r="K84" s="16">
        <f t="shared" si="17"/>
        <v>0.13500000000000001</v>
      </c>
      <c r="Q84" s="24">
        <v>0.15</v>
      </c>
      <c r="R84" s="24">
        <f>Q84</f>
        <v>0.15</v>
      </c>
      <c r="U84" s="24">
        <f t="shared" si="18"/>
        <v>0.13500000000000001</v>
      </c>
      <c r="V84" s="11">
        <f>H84</f>
        <v>0.13500000000000001</v>
      </c>
      <c r="W84" s="11">
        <f>V84</f>
        <v>0.13500000000000001</v>
      </c>
      <c r="X84" s="11">
        <f>V84</f>
        <v>0.13500000000000001</v>
      </c>
      <c r="Z84" s="11">
        <f>H84</f>
        <v>0.13500000000000001</v>
      </c>
    </row>
    <row r="85" spans="1:26" x14ac:dyDescent="0.5">
      <c r="A85" t="s">
        <v>24</v>
      </c>
      <c r="B85" t="s">
        <v>114</v>
      </c>
      <c r="C85" t="s">
        <v>152</v>
      </c>
      <c r="D85" t="s">
        <v>85</v>
      </c>
      <c r="E85" t="s">
        <v>61</v>
      </c>
      <c r="G85" s="16">
        <v>0.08</v>
      </c>
      <c r="H85" s="16">
        <f>G85</f>
        <v>0.08</v>
      </c>
      <c r="I85" s="16">
        <f t="shared" si="0"/>
        <v>0.08</v>
      </c>
      <c r="J85" s="14">
        <f t="shared" si="14"/>
        <v>0.08</v>
      </c>
      <c r="K85" s="16">
        <f t="shared" si="17"/>
        <v>0.08</v>
      </c>
      <c r="Q85" s="24">
        <v>0.08</v>
      </c>
      <c r="R85" s="24">
        <f>Q85</f>
        <v>0.08</v>
      </c>
      <c r="U85" s="24">
        <f t="shared" si="18"/>
        <v>0.08</v>
      </c>
      <c r="V85" s="11">
        <f t="shared" ref="V85:V89" si="20">H85</f>
        <v>0.08</v>
      </c>
      <c r="W85" s="11">
        <f>V85</f>
        <v>0.08</v>
      </c>
      <c r="X85" s="11">
        <f>V85</f>
        <v>0.08</v>
      </c>
      <c r="Z85" s="24">
        <f>H85</f>
        <v>0.08</v>
      </c>
    </row>
    <row r="86" spans="1:26" x14ac:dyDescent="0.5">
      <c r="C86" t="s">
        <v>152</v>
      </c>
      <c r="D86" t="s">
        <v>79</v>
      </c>
      <c r="E86" t="s">
        <v>116</v>
      </c>
      <c r="G86" s="16"/>
      <c r="H86" s="14"/>
      <c r="I86" s="16"/>
      <c r="J86" s="14"/>
      <c r="K86" s="16"/>
      <c r="Q86" s="24"/>
      <c r="U86" s="24">
        <f t="shared" si="18"/>
        <v>0</v>
      </c>
      <c r="V86" s="11">
        <f t="shared" si="20"/>
        <v>0</v>
      </c>
      <c r="X86" s="20">
        <f>0.86/28.4*(1-X80)</f>
        <v>3.0281690140845072E-2</v>
      </c>
    </row>
    <row r="87" spans="1:26" x14ac:dyDescent="0.5">
      <c r="D87" t="s">
        <v>109</v>
      </c>
      <c r="E87" t="s">
        <v>61</v>
      </c>
      <c r="G87" s="16"/>
      <c r="H87" s="14"/>
      <c r="I87" s="16"/>
      <c r="J87" s="14"/>
      <c r="K87" s="16"/>
      <c r="Q87" s="24"/>
      <c r="U87" s="24">
        <f t="shared" si="18"/>
        <v>0</v>
      </c>
      <c r="V87" s="11">
        <f>H81+H82+H83</f>
        <v>4.5000000000000005E-2</v>
      </c>
      <c r="W87" s="11">
        <f t="shared" ref="W87:W92" si="21">V87</f>
        <v>4.5000000000000005E-2</v>
      </c>
      <c r="X87" s="20"/>
    </row>
    <row r="88" spans="1:26" x14ac:dyDescent="0.5">
      <c r="A88" t="s">
        <v>24</v>
      </c>
      <c r="B88" t="s">
        <v>114</v>
      </c>
      <c r="C88" t="s">
        <v>153</v>
      </c>
      <c r="D88" t="s">
        <v>95</v>
      </c>
      <c r="E88" t="s">
        <v>61</v>
      </c>
      <c r="G88" s="16">
        <v>2.4E-2</v>
      </c>
      <c r="H88" s="14">
        <f t="shared" si="19"/>
        <v>2.1600000000000001E-2</v>
      </c>
      <c r="I88" s="16">
        <f t="shared" si="0"/>
        <v>2.1600000000000001E-2</v>
      </c>
      <c r="J88" s="14">
        <f t="shared" si="14"/>
        <v>2.1600000000000001E-2</v>
      </c>
      <c r="K88" s="16">
        <f t="shared" si="17"/>
        <v>2.1600000000000001E-2</v>
      </c>
      <c r="Q88" s="24">
        <v>0.02</v>
      </c>
      <c r="R88" s="24">
        <f>Q88</f>
        <v>0.02</v>
      </c>
      <c r="U88" s="24">
        <f t="shared" si="18"/>
        <v>2.1600000000000001E-2</v>
      </c>
      <c r="V88" s="11">
        <f t="shared" si="20"/>
        <v>2.1600000000000001E-2</v>
      </c>
      <c r="W88" s="11">
        <f t="shared" si="21"/>
        <v>2.1600000000000001E-2</v>
      </c>
      <c r="Z88" s="11">
        <f>H88</f>
        <v>2.1600000000000001E-2</v>
      </c>
    </row>
    <row r="89" spans="1:26" x14ac:dyDescent="0.5">
      <c r="A89" t="s">
        <v>24</v>
      </c>
      <c r="B89" t="s">
        <v>114</v>
      </c>
      <c r="C89" t="s">
        <v>153</v>
      </c>
      <c r="D89" t="s">
        <v>85</v>
      </c>
      <c r="E89" t="s">
        <v>61</v>
      </c>
      <c r="G89" s="16">
        <v>0.04</v>
      </c>
      <c r="H89" s="16">
        <f>G89</f>
        <v>0.04</v>
      </c>
      <c r="I89" s="16">
        <f t="shared" si="0"/>
        <v>0.04</v>
      </c>
      <c r="J89" s="14">
        <f t="shared" si="14"/>
        <v>0.04</v>
      </c>
      <c r="K89" s="16">
        <f t="shared" si="17"/>
        <v>0.04</v>
      </c>
      <c r="Q89" s="24">
        <v>0.04</v>
      </c>
      <c r="R89" s="24">
        <f>Q89</f>
        <v>0.04</v>
      </c>
      <c r="U89" s="24">
        <f t="shared" si="18"/>
        <v>0.04</v>
      </c>
      <c r="V89" s="11">
        <f t="shared" si="20"/>
        <v>0.04</v>
      </c>
      <c r="W89" s="11">
        <f t="shared" si="21"/>
        <v>0.04</v>
      </c>
      <c r="X89" s="26">
        <f>P122+P123</f>
        <v>1.4778</v>
      </c>
      <c r="Z89" s="24">
        <f>H89</f>
        <v>0.04</v>
      </c>
    </row>
    <row r="90" spans="1:26" x14ac:dyDescent="0.5">
      <c r="A90" t="s">
        <v>24</v>
      </c>
      <c r="B90" t="s">
        <v>114</v>
      </c>
      <c r="C90" t="s">
        <v>153</v>
      </c>
      <c r="D90" t="s">
        <v>118</v>
      </c>
      <c r="E90" t="s">
        <v>119</v>
      </c>
      <c r="G90" s="16">
        <v>125</v>
      </c>
      <c r="H90" s="16">
        <f>G90</f>
        <v>125</v>
      </c>
      <c r="I90" s="16">
        <f>G90</f>
        <v>125</v>
      </c>
      <c r="J90" s="16">
        <f>G90</f>
        <v>125</v>
      </c>
      <c r="K90" s="16">
        <f>G90</f>
        <v>125</v>
      </c>
      <c r="Q90" s="24">
        <v>310</v>
      </c>
      <c r="R90" s="24">
        <f>Q90</f>
        <v>310</v>
      </c>
      <c r="U90" s="24">
        <f>G90</f>
        <v>125</v>
      </c>
      <c r="V90" s="24">
        <f>Q90</f>
        <v>310</v>
      </c>
      <c r="W90" s="24">
        <f t="shared" si="21"/>
        <v>310</v>
      </c>
      <c r="X90" s="11">
        <f>W90</f>
        <v>310</v>
      </c>
      <c r="Z90" s="24">
        <f>G90</f>
        <v>125</v>
      </c>
    </row>
    <row r="91" spans="1:26" x14ac:dyDescent="0.5">
      <c r="A91" t="s">
        <v>24</v>
      </c>
      <c r="B91" t="s">
        <v>120</v>
      </c>
      <c r="C91" t="s">
        <v>78</v>
      </c>
      <c r="D91" t="s">
        <v>95</v>
      </c>
      <c r="E91" t="s">
        <v>121</v>
      </c>
      <c r="G91" s="16"/>
      <c r="H91" s="16"/>
      <c r="I91" s="16"/>
      <c r="J91" s="14"/>
      <c r="K91" s="16"/>
      <c r="L91" s="11">
        <v>10.1</v>
      </c>
      <c r="M91" s="11">
        <f>L91*(1-M28)</f>
        <v>5.05</v>
      </c>
      <c r="N91" s="11">
        <f>L91-N100</f>
        <v>5.05</v>
      </c>
      <c r="O91" s="11">
        <f>L91</f>
        <v>10.1</v>
      </c>
      <c r="P91" s="11">
        <f>10.1*(1-$P$28)</f>
        <v>0</v>
      </c>
      <c r="V91" s="11">
        <f>L91-V99</f>
        <v>10.1</v>
      </c>
      <c r="W91" s="11">
        <f t="shared" si="21"/>
        <v>10.1</v>
      </c>
    </row>
    <row r="92" spans="1:26" x14ac:dyDescent="0.5">
      <c r="A92" t="s">
        <v>24</v>
      </c>
      <c r="B92" t="s">
        <v>120</v>
      </c>
      <c r="C92" t="s">
        <v>78</v>
      </c>
      <c r="D92" t="s">
        <v>88</v>
      </c>
      <c r="E92" t="s">
        <v>122</v>
      </c>
      <c r="G92" s="16"/>
      <c r="H92" s="16"/>
      <c r="I92" s="16"/>
      <c r="J92" s="14"/>
      <c r="K92" s="16"/>
      <c r="L92" s="24">
        <v>0</v>
      </c>
      <c r="M92" s="11">
        <f>1.36/0.952</f>
        <v>1.4285714285714288</v>
      </c>
      <c r="N92" s="11">
        <f>1.36/0.952</f>
        <v>1.4285714285714288</v>
      </c>
      <c r="O92" s="11">
        <f t="shared" ref="O92:O101" si="22">L92</f>
        <v>0</v>
      </c>
      <c r="P92" s="11">
        <f>1.36/0.952</f>
        <v>1.4285714285714288</v>
      </c>
      <c r="V92" s="11">
        <f>1.36/0.952</f>
        <v>1.4285714285714288</v>
      </c>
      <c r="W92" s="11">
        <f t="shared" si="21"/>
        <v>1.4285714285714288</v>
      </c>
      <c r="X92" s="11">
        <f>P92</f>
        <v>1.4285714285714288</v>
      </c>
    </row>
    <row r="93" spans="1:26" x14ac:dyDescent="0.5">
      <c r="A93" t="s">
        <v>24</v>
      </c>
      <c r="B93" t="s">
        <v>120</v>
      </c>
      <c r="C93" t="s">
        <v>78</v>
      </c>
      <c r="D93" t="s">
        <v>100</v>
      </c>
      <c r="E93" t="s">
        <v>122</v>
      </c>
      <c r="G93" s="16"/>
      <c r="H93" s="16"/>
      <c r="I93" s="16"/>
      <c r="J93" s="14"/>
      <c r="K93" s="16"/>
      <c r="L93" s="24">
        <f>1.36/L111</f>
        <v>1.1968000000000001</v>
      </c>
      <c r="O93" s="11">
        <f t="shared" si="22"/>
        <v>1.1968000000000001</v>
      </c>
      <c r="P93" s="11">
        <v>0</v>
      </c>
    </row>
    <row r="94" spans="1:26" x14ac:dyDescent="0.5">
      <c r="A94" t="s">
        <v>24</v>
      </c>
      <c r="B94" t="s">
        <v>120</v>
      </c>
      <c r="C94" t="s">
        <v>78</v>
      </c>
      <c r="D94" t="s">
        <v>101</v>
      </c>
      <c r="E94" t="s">
        <v>122</v>
      </c>
      <c r="G94" s="16"/>
      <c r="H94" s="16"/>
      <c r="I94" s="16"/>
      <c r="J94" s="14"/>
      <c r="K94" s="16"/>
      <c r="L94" s="24">
        <v>0</v>
      </c>
      <c r="O94" s="11">
        <f t="shared" si="22"/>
        <v>0</v>
      </c>
    </row>
    <row r="95" spans="1:26" x14ac:dyDescent="0.5">
      <c r="A95" t="s">
        <v>24</v>
      </c>
      <c r="B95" t="s">
        <v>120</v>
      </c>
      <c r="C95" t="s">
        <v>78</v>
      </c>
      <c r="D95" t="s">
        <v>123</v>
      </c>
      <c r="E95" t="s">
        <v>122</v>
      </c>
      <c r="G95" s="16"/>
      <c r="H95" s="16"/>
      <c r="I95" s="16"/>
      <c r="J95" s="14"/>
      <c r="K95" s="16"/>
      <c r="L95" s="24">
        <v>0</v>
      </c>
      <c r="O95" s="11">
        <f t="shared" si="22"/>
        <v>0</v>
      </c>
    </row>
    <row r="96" spans="1:26" x14ac:dyDescent="0.5">
      <c r="A96" t="s">
        <v>24</v>
      </c>
      <c r="B96" t="s">
        <v>120</v>
      </c>
      <c r="C96" t="s">
        <v>78</v>
      </c>
      <c r="D96" t="s">
        <v>84</v>
      </c>
      <c r="E96" t="s">
        <v>122</v>
      </c>
      <c r="G96" s="16"/>
      <c r="H96" s="16"/>
      <c r="I96" s="16"/>
      <c r="J96" s="14"/>
      <c r="K96" s="16"/>
      <c r="L96" s="24">
        <v>0</v>
      </c>
      <c r="O96" s="11">
        <f t="shared" si="22"/>
        <v>0</v>
      </c>
    </row>
    <row r="97" spans="1:25" x14ac:dyDescent="0.5">
      <c r="A97" t="s">
        <v>24</v>
      </c>
      <c r="B97" t="s">
        <v>120</v>
      </c>
      <c r="C97" t="s">
        <v>78</v>
      </c>
      <c r="D97" t="s">
        <v>82</v>
      </c>
      <c r="E97" t="s">
        <v>122</v>
      </c>
      <c r="G97" s="16"/>
      <c r="H97" s="16"/>
      <c r="I97" s="16"/>
      <c r="J97" s="14"/>
      <c r="K97" s="16"/>
      <c r="L97" s="24">
        <v>0</v>
      </c>
      <c r="O97" s="11">
        <f t="shared" si="22"/>
        <v>0</v>
      </c>
    </row>
    <row r="98" spans="1:25" x14ac:dyDescent="0.5">
      <c r="A98" t="s">
        <v>24</v>
      </c>
      <c r="B98" t="s">
        <v>120</v>
      </c>
      <c r="C98" t="s">
        <v>78</v>
      </c>
      <c r="D98" t="s">
        <v>95</v>
      </c>
      <c r="E98" t="s">
        <v>122</v>
      </c>
      <c r="G98" s="16"/>
      <c r="H98" s="16"/>
      <c r="I98" s="16"/>
      <c r="J98" s="14"/>
      <c r="K98" s="16"/>
      <c r="L98" s="24">
        <v>0</v>
      </c>
      <c r="O98" s="11">
        <f t="shared" si="22"/>
        <v>0</v>
      </c>
    </row>
    <row r="99" spans="1:25" x14ac:dyDescent="0.5">
      <c r="A99" t="s">
        <v>24</v>
      </c>
      <c r="B99" t="s">
        <v>120</v>
      </c>
      <c r="C99" t="s">
        <v>78</v>
      </c>
      <c r="D99" t="s">
        <v>109</v>
      </c>
      <c r="E99" t="s">
        <v>122</v>
      </c>
      <c r="G99" s="16"/>
      <c r="H99" s="16"/>
      <c r="I99" s="16"/>
      <c r="J99" s="14"/>
      <c r="K99" s="16"/>
      <c r="L99" s="24">
        <v>0</v>
      </c>
      <c r="O99" s="11">
        <f t="shared" si="22"/>
        <v>0</v>
      </c>
    </row>
    <row r="100" spans="1:25" x14ac:dyDescent="0.5">
      <c r="A100" t="s">
        <v>24</v>
      </c>
      <c r="B100" t="s">
        <v>120</v>
      </c>
      <c r="C100" t="s">
        <v>78</v>
      </c>
      <c r="D100" t="s">
        <v>148</v>
      </c>
      <c r="E100" t="s">
        <v>121</v>
      </c>
      <c r="G100" s="16"/>
      <c r="H100" s="16"/>
      <c r="I100" s="16"/>
      <c r="J100" s="14"/>
      <c r="K100" s="16"/>
      <c r="L100" s="24"/>
      <c r="N100" s="11">
        <f>L91*N36</f>
        <v>5.05</v>
      </c>
      <c r="O100" s="11">
        <f t="shared" si="22"/>
        <v>0</v>
      </c>
    </row>
    <row r="101" spans="1:25" x14ac:dyDescent="0.5">
      <c r="A101" t="s">
        <v>24</v>
      </c>
      <c r="B101" t="s">
        <v>120</v>
      </c>
      <c r="C101" t="s">
        <v>110</v>
      </c>
      <c r="D101" t="s">
        <v>85</v>
      </c>
      <c r="E101" t="s">
        <v>121</v>
      </c>
      <c r="G101" s="16"/>
      <c r="H101" s="16"/>
      <c r="I101" s="16"/>
      <c r="J101" s="14"/>
      <c r="K101" s="16"/>
      <c r="L101" s="24">
        <f>(90*3.6/1000)/0.952</f>
        <v>0.34033613445378152</v>
      </c>
      <c r="M101" s="24">
        <f>L101</f>
        <v>0.34033613445378152</v>
      </c>
      <c r="N101" s="24">
        <f>L101</f>
        <v>0.34033613445378152</v>
      </c>
      <c r="O101" s="11">
        <f t="shared" si="22"/>
        <v>0.34033613445378152</v>
      </c>
      <c r="P101" s="11">
        <f>(90*3.6/1000)/0.952</f>
        <v>0.34033613445378152</v>
      </c>
      <c r="V101" s="11">
        <f>(90*3.6/1000)/0.952</f>
        <v>0.34033613445378152</v>
      </c>
      <c r="W101" s="11">
        <f>V101</f>
        <v>0.34033613445378152</v>
      </c>
      <c r="X101" s="11">
        <f>P101</f>
        <v>0.34033613445378152</v>
      </c>
    </row>
    <row r="102" spans="1:25" x14ac:dyDescent="0.5">
      <c r="A102" t="s">
        <v>24</v>
      </c>
      <c r="B102" t="s">
        <v>120</v>
      </c>
      <c r="C102" t="s">
        <v>111</v>
      </c>
      <c r="D102" t="s">
        <v>86</v>
      </c>
      <c r="E102" t="s">
        <v>122</v>
      </c>
      <c r="G102" s="16"/>
      <c r="H102" s="16"/>
      <c r="I102" s="16"/>
      <c r="J102" s="14"/>
      <c r="K102" s="16"/>
      <c r="L102" s="24">
        <v>0</v>
      </c>
    </row>
    <row r="103" spans="1:25" x14ac:dyDescent="0.5">
      <c r="A103" t="s">
        <v>24</v>
      </c>
      <c r="B103" t="s">
        <v>120</v>
      </c>
      <c r="C103" t="s">
        <v>78</v>
      </c>
      <c r="D103" t="s">
        <v>104</v>
      </c>
      <c r="E103" t="s">
        <v>121</v>
      </c>
      <c r="G103" s="16"/>
      <c r="H103" s="16"/>
      <c r="I103" s="16"/>
      <c r="J103" s="14"/>
      <c r="K103" s="16"/>
      <c r="L103" s="24"/>
      <c r="M103" s="11">
        <f>M27*M28*M32/1000</f>
        <v>3.78</v>
      </c>
      <c r="P103" s="24">
        <f>P27*P28*$P$32/1000</f>
        <v>7.56</v>
      </c>
      <c r="X103" s="24">
        <f>P103</f>
        <v>7.56</v>
      </c>
    </row>
    <row r="104" spans="1:25" x14ac:dyDescent="0.5">
      <c r="A104" t="s">
        <v>24</v>
      </c>
      <c r="B104" t="s">
        <v>120</v>
      </c>
      <c r="C104" t="s">
        <v>124</v>
      </c>
      <c r="D104" t="s">
        <v>85</v>
      </c>
      <c r="E104" t="s">
        <v>121</v>
      </c>
      <c r="G104" s="16"/>
      <c r="H104" s="16"/>
      <c r="I104" s="16"/>
      <c r="J104" s="14"/>
      <c r="K104" s="16"/>
      <c r="L104" s="24"/>
      <c r="P104" s="24">
        <f>(P103/120)*14*(930-30)/1000+(P103/120)*P30</f>
        <v>1.55925</v>
      </c>
      <c r="X104" s="19">
        <f>P104</f>
        <v>1.55925</v>
      </c>
    </row>
    <row r="105" spans="1:25" x14ac:dyDescent="0.5">
      <c r="A105" t="s">
        <v>24</v>
      </c>
      <c r="B105" t="s">
        <v>120</v>
      </c>
      <c r="C105" t="s">
        <v>124</v>
      </c>
      <c r="D105" t="s">
        <v>90</v>
      </c>
      <c r="E105" t="s">
        <v>122</v>
      </c>
      <c r="G105" s="16"/>
      <c r="H105" s="16"/>
      <c r="I105" s="16"/>
      <c r="J105" s="14"/>
      <c r="K105" s="16"/>
      <c r="L105" s="24"/>
      <c r="P105" s="24">
        <v>0</v>
      </c>
    </row>
    <row r="106" spans="1:25" x14ac:dyDescent="0.5">
      <c r="A106" t="s">
        <v>24</v>
      </c>
      <c r="B106" t="s">
        <v>120</v>
      </c>
      <c r="C106" t="s">
        <v>124</v>
      </c>
      <c r="D106" t="s">
        <v>84</v>
      </c>
      <c r="E106" t="s">
        <v>122</v>
      </c>
      <c r="G106" s="16"/>
      <c r="H106" s="16"/>
      <c r="I106" s="16"/>
      <c r="J106" s="14"/>
      <c r="K106" s="16"/>
      <c r="L106" s="24"/>
      <c r="P106" s="24">
        <v>0</v>
      </c>
    </row>
    <row r="107" spans="1:25" x14ac:dyDescent="0.5">
      <c r="A107" t="s">
        <v>24</v>
      </c>
      <c r="B107" t="s">
        <v>120</v>
      </c>
      <c r="C107" t="s">
        <v>124</v>
      </c>
      <c r="D107" t="s">
        <v>82</v>
      </c>
      <c r="E107" t="s">
        <v>122</v>
      </c>
      <c r="G107" s="16"/>
      <c r="H107" s="16"/>
      <c r="I107" s="16"/>
      <c r="J107" s="14"/>
      <c r="K107" s="16"/>
      <c r="L107" s="24"/>
      <c r="P107" s="24">
        <v>0</v>
      </c>
    </row>
    <row r="108" spans="1:25" x14ac:dyDescent="0.5">
      <c r="A108" t="s">
        <v>24</v>
      </c>
      <c r="B108" t="s">
        <v>120</v>
      </c>
      <c r="C108" t="s">
        <v>124</v>
      </c>
      <c r="D108" t="s">
        <v>95</v>
      </c>
      <c r="E108" t="s">
        <v>121</v>
      </c>
      <c r="G108" s="16"/>
      <c r="H108" s="16"/>
      <c r="I108" s="16"/>
      <c r="J108" s="14"/>
      <c r="K108" s="16"/>
      <c r="L108" s="24"/>
      <c r="M108" s="11">
        <f>P104*M28</f>
        <v>0.77962500000000001</v>
      </c>
      <c r="P108" s="24">
        <v>0</v>
      </c>
    </row>
    <row r="109" spans="1:25" x14ac:dyDescent="0.5">
      <c r="A109" t="s">
        <v>24</v>
      </c>
      <c r="B109" t="s">
        <v>120</v>
      </c>
      <c r="C109" t="s">
        <v>124</v>
      </c>
      <c r="D109" t="s">
        <v>109</v>
      </c>
      <c r="E109" t="s">
        <v>122</v>
      </c>
      <c r="G109" s="16"/>
      <c r="H109" s="16"/>
      <c r="I109" s="16"/>
      <c r="J109" s="14"/>
      <c r="K109" s="16"/>
      <c r="L109" s="24"/>
      <c r="P109" s="24">
        <v>0</v>
      </c>
    </row>
    <row r="110" spans="1:25" x14ac:dyDescent="0.5">
      <c r="A110" t="s">
        <v>24</v>
      </c>
      <c r="B110" t="s">
        <v>125</v>
      </c>
      <c r="C110" t="s">
        <v>78</v>
      </c>
      <c r="D110" t="s">
        <v>117</v>
      </c>
      <c r="E110" t="s">
        <v>116</v>
      </c>
      <c r="G110" s="16"/>
      <c r="H110" s="16"/>
      <c r="I110" s="16"/>
      <c r="J110" s="14"/>
      <c r="K110" s="16"/>
      <c r="L110" s="26">
        <v>0</v>
      </c>
      <c r="M110" s="20"/>
      <c r="N110" s="20"/>
      <c r="O110" s="20"/>
      <c r="P110" s="26">
        <v>0</v>
      </c>
      <c r="S110" s="11">
        <f>S22</f>
        <v>1.1160000000000001</v>
      </c>
      <c r="T110" s="24">
        <f>H80</f>
        <v>0.3</v>
      </c>
      <c r="Y110" s="24">
        <f>H80</f>
        <v>0.3</v>
      </c>
    </row>
    <row r="111" spans="1:25" x14ac:dyDescent="0.5">
      <c r="A111" t="s">
        <v>24</v>
      </c>
      <c r="B111" t="s">
        <v>125</v>
      </c>
      <c r="C111" t="s">
        <v>78</v>
      </c>
      <c r="D111" t="s">
        <v>126</v>
      </c>
      <c r="E111" t="s">
        <v>116</v>
      </c>
      <c r="G111" s="16"/>
      <c r="H111" s="16"/>
      <c r="I111" s="16"/>
      <c r="J111" s="14"/>
      <c r="K111" s="16"/>
      <c r="L111" s="24">
        <f>(1-$L$110)/$L$25</f>
        <v>1.1363636363636365</v>
      </c>
      <c r="M111" s="24">
        <f>L111</f>
        <v>1.1363636363636365</v>
      </c>
      <c r="N111" s="24">
        <f>L111</f>
        <v>1.1363636363636365</v>
      </c>
      <c r="O111" s="24">
        <f>L111</f>
        <v>1.1363636363636365</v>
      </c>
      <c r="P111" s="26">
        <f>L111</f>
        <v>1.1363636363636365</v>
      </c>
    </row>
    <row r="112" spans="1:25" x14ac:dyDescent="0.5">
      <c r="C112" t="s">
        <v>78</v>
      </c>
      <c r="D112" t="s">
        <v>79</v>
      </c>
      <c r="E112" t="s">
        <v>116</v>
      </c>
      <c r="G112" s="16"/>
      <c r="H112" s="16"/>
      <c r="I112" s="16"/>
      <c r="J112" s="14"/>
      <c r="K112" s="16"/>
      <c r="L112" s="24"/>
      <c r="P112" s="26"/>
      <c r="S112" s="20">
        <v>1.7000000000000001E-2</v>
      </c>
      <c r="T112" s="11">
        <f>0.86/28.4*(1-T110)</f>
        <v>2.119718309859155E-2</v>
      </c>
      <c r="Y112" s="11">
        <f>0.86/28.4*(1-Y110)</f>
        <v>2.119718309859155E-2</v>
      </c>
    </row>
    <row r="113" spans="1:26" x14ac:dyDescent="0.5">
      <c r="C113" t="s">
        <v>78</v>
      </c>
      <c r="D113" s="8" t="s">
        <v>158</v>
      </c>
      <c r="E113" t="s">
        <v>116</v>
      </c>
      <c r="G113" s="16"/>
      <c r="H113" s="16"/>
      <c r="I113" s="16"/>
      <c r="J113" s="14"/>
      <c r="K113" s="16"/>
      <c r="L113" s="24"/>
      <c r="P113" s="26"/>
      <c r="S113" s="20"/>
      <c r="T113" s="20">
        <f>0.97*(1-T110)</f>
        <v>0.67899999999999994</v>
      </c>
      <c r="Y113" s="20">
        <f>0.97*(1-Y110)</f>
        <v>0.67899999999999994</v>
      </c>
    </row>
    <row r="114" spans="1:26" x14ac:dyDescent="0.5">
      <c r="A114" t="s">
        <v>24</v>
      </c>
      <c r="B114" t="s">
        <v>125</v>
      </c>
      <c r="C114" t="s">
        <v>127</v>
      </c>
      <c r="D114" t="s">
        <v>95</v>
      </c>
      <c r="E114" t="s">
        <v>61</v>
      </c>
      <c r="G114" s="16"/>
      <c r="H114" s="16"/>
      <c r="I114" s="16"/>
      <c r="J114" s="14"/>
      <c r="K114" s="16"/>
      <c r="L114" s="24">
        <v>0</v>
      </c>
      <c r="P114" s="26">
        <f t="shared" ref="P114:P126" si="23">L114</f>
        <v>0</v>
      </c>
      <c r="S114" s="11">
        <f>0.05+S24*S23/S26</f>
        <v>0.05</v>
      </c>
    </row>
    <row r="115" spans="1:26" x14ac:dyDescent="0.5">
      <c r="A115" t="s">
        <v>24</v>
      </c>
      <c r="B115" t="s">
        <v>125</v>
      </c>
      <c r="C115" t="s">
        <v>14</v>
      </c>
      <c r="D115" t="s">
        <v>79</v>
      </c>
      <c r="E115" t="s">
        <v>116</v>
      </c>
      <c r="G115" s="16"/>
      <c r="H115" s="16"/>
      <c r="I115" s="16"/>
      <c r="J115" s="14"/>
      <c r="K115" s="16"/>
      <c r="L115" s="24"/>
      <c r="P115" s="29">
        <f>0.86/28.4*(1-$P$114)</f>
        <v>3.0281690140845072E-2</v>
      </c>
    </row>
    <row r="116" spans="1:26" x14ac:dyDescent="0.5">
      <c r="A116" t="s">
        <v>24</v>
      </c>
      <c r="B116" t="s">
        <v>125</v>
      </c>
      <c r="C116" t="s">
        <v>14</v>
      </c>
      <c r="D116" t="s">
        <v>82</v>
      </c>
      <c r="E116" t="s">
        <v>61</v>
      </c>
      <c r="G116" s="16"/>
      <c r="H116" s="16"/>
      <c r="I116" s="16"/>
      <c r="J116" s="14"/>
      <c r="K116" s="16"/>
      <c r="L116" s="24">
        <v>0</v>
      </c>
      <c r="P116" s="26">
        <f t="shared" si="23"/>
        <v>0</v>
      </c>
    </row>
    <row r="117" spans="1:26" x14ac:dyDescent="0.5">
      <c r="A117" t="s">
        <v>24</v>
      </c>
      <c r="B117" t="s">
        <v>125</v>
      </c>
      <c r="C117" t="s">
        <v>14</v>
      </c>
      <c r="D117" t="s">
        <v>84</v>
      </c>
      <c r="E117" t="s">
        <v>61</v>
      </c>
      <c r="G117" s="16"/>
      <c r="H117" s="16"/>
      <c r="I117" s="16"/>
      <c r="J117" s="14"/>
      <c r="K117" s="16"/>
      <c r="L117" s="24">
        <v>0</v>
      </c>
      <c r="P117" s="26">
        <f t="shared" si="23"/>
        <v>0</v>
      </c>
    </row>
    <row r="118" spans="1:26" x14ac:dyDescent="0.5">
      <c r="A118" t="s">
        <v>24</v>
      </c>
      <c r="B118" t="s">
        <v>125</v>
      </c>
      <c r="C118" t="s">
        <v>14</v>
      </c>
      <c r="D118" t="s">
        <v>86</v>
      </c>
      <c r="E118" t="s">
        <v>61</v>
      </c>
      <c r="G118" s="16"/>
      <c r="H118" s="16"/>
      <c r="I118" s="16"/>
      <c r="J118" s="14"/>
      <c r="K118" s="16"/>
      <c r="L118" s="24">
        <v>0.3</v>
      </c>
      <c r="M118" s="24">
        <f>L118</f>
        <v>0.3</v>
      </c>
      <c r="N118" s="24">
        <f>L118</f>
        <v>0.3</v>
      </c>
      <c r="O118" s="24">
        <f>L118</f>
        <v>0.3</v>
      </c>
      <c r="P118" s="26">
        <f>L118</f>
        <v>0.3</v>
      </c>
      <c r="S118" s="11">
        <v>0.3</v>
      </c>
      <c r="T118" s="11">
        <v>0.3</v>
      </c>
      <c r="Y118" s="24">
        <v>0.3</v>
      </c>
    </row>
    <row r="119" spans="1:26" x14ac:dyDescent="0.5">
      <c r="A119" t="s">
        <v>24</v>
      </c>
      <c r="B119" t="s">
        <v>125</v>
      </c>
      <c r="C119" t="s">
        <v>14</v>
      </c>
      <c r="D119" t="s">
        <v>85</v>
      </c>
      <c r="E119" t="s">
        <v>61</v>
      </c>
      <c r="G119" s="16"/>
      <c r="H119" s="16"/>
      <c r="I119" s="16"/>
      <c r="J119" s="14"/>
      <c r="K119" s="16"/>
      <c r="L119" s="24">
        <f>353*3.6/1000</f>
        <v>1.2707999999999999</v>
      </c>
      <c r="M119" s="24">
        <f>L119</f>
        <v>1.2707999999999999</v>
      </c>
      <c r="N119" s="24">
        <f>L119</f>
        <v>1.2707999999999999</v>
      </c>
      <c r="O119" s="24">
        <f t="shared" ref="O119:O122" si="24">L119</f>
        <v>1.2707999999999999</v>
      </c>
      <c r="P119" s="26">
        <f t="shared" si="23"/>
        <v>1.2707999999999999</v>
      </c>
      <c r="S119" s="11">
        <f>524*3.6/1000</f>
        <v>1.8864000000000001</v>
      </c>
      <c r="T119" s="11">
        <f>353*3.6/1000</f>
        <v>1.2707999999999999</v>
      </c>
      <c r="Y119" s="11">
        <f>353*3.6/1000</f>
        <v>1.2707999999999999</v>
      </c>
    </row>
    <row r="120" spans="1:26" x14ac:dyDescent="0.5">
      <c r="A120" t="s">
        <v>24</v>
      </c>
      <c r="B120" t="s">
        <v>125</v>
      </c>
      <c r="C120" t="s">
        <v>128</v>
      </c>
      <c r="D120" t="s">
        <v>148</v>
      </c>
      <c r="E120" t="s">
        <v>61</v>
      </c>
      <c r="G120" s="16"/>
      <c r="H120" s="16"/>
      <c r="I120" s="16"/>
      <c r="J120" s="14"/>
      <c r="K120" s="16"/>
      <c r="L120" s="24"/>
      <c r="N120" s="11">
        <f>(1.38+0.024)*N36</f>
        <v>0.70199999999999996</v>
      </c>
      <c r="O120" s="24">
        <f t="shared" si="24"/>
        <v>0</v>
      </c>
      <c r="P120" s="26"/>
    </row>
    <row r="121" spans="1:26" x14ac:dyDescent="0.5">
      <c r="A121" t="s">
        <v>24</v>
      </c>
      <c r="B121" t="s">
        <v>125</v>
      </c>
      <c r="C121" t="s">
        <v>128</v>
      </c>
      <c r="D121" t="s">
        <v>95</v>
      </c>
      <c r="E121" t="s">
        <v>61</v>
      </c>
      <c r="G121" s="16"/>
      <c r="H121" s="16"/>
      <c r="I121" s="16"/>
      <c r="J121" s="14"/>
      <c r="K121" s="16"/>
      <c r="L121" s="24">
        <f>1.38+0.024</f>
        <v>1.4039999999999999</v>
      </c>
      <c r="M121" s="19">
        <f>L121</f>
        <v>1.4039999999999999</v>
      </c>
      <c r="N121" s="11">
        <f>(1.38+0.024)-N120</f>
        <v>0.70199999999999996</v>
      </c>
      <c r="O121" s="24">
        <f t="shared" si="24"/>
        <v>1.4039999999999999</v>
      </c>
      <c r="P121" s="20"/>
      <c r="S121" s="11">
        <f>1.38+0.024</f>
        <v>1.4039999999999999</v>
      </c>
    </row>
    <row r="122" spans="1:26" x14ac:dyDescent="0.5">
      <c r="A122" t="s">
        <v>24</v>
      </c>
      <c r="B122" t="s">
        <v>125</v>
      </c>
      <c r="C122" t="s">
        <v>128</v>
      </c>
      <c r="D122" t="s">
        <v>85</v>
      </c>
      <c r="E122" t="s">
        <v>61</v>
      </c>
      <c r="G122" s="16"/>
      <c r="H122" s="16"/>
      <c r="I122" s="16"/>
      <c r="J122" s="14"/>
      <c r="K122" s="16"/>
      <c r="L122" s="24">
        <f>(86+12.5)*3.6/1000</f>
        <v>0.35460000000000003</v>
      </c>
      <c r="M122" s="24">
        <f>L122</f>
        <v>0.35460000000000003</v>
      </c>
      <c r="N122" s="24">
        <f>L122</f>
        <v>0.35460000000000003</v>
      </c>
      <c r="O122" s="24">
        <f t="shared" si="24"/>
        <v>0.35460000000000003</v>
      </c>
      <c r="P122" s="29">
        <f>L121*80%</f>
        <v>1.1232</v>
      </c>
      <c r="S122" s="11">
        <f>(86+12.5)*3.6/1000</f>
        <v>0.35460000000000003</v>
      </c>
      <c r="T122" s="26">
        <f>P122</f>
        <v>1.1232</v>
      </c>
      <c r="Y122" s="26">
        <f>P122</f>
        <v>1.1232</v>
      </c>
    </row>
    <row r="123" spans="1:26" s="10" customFormat="1" x14ac:dyDescent="0.5">
      <c r="C123" s="10" t="s">
        <v>128</v>
      </c>
      <c r="D123" s="10" t="s">
        <v>85</v>
      </c>
      <c r="E123" s="10" t="s">
        <v>61</v>
      </c>
      <c r="G123" s="18"/>
      <c r="H123" s="18"/>
      <c r="I123" s="18"/>
      <c r="J123" s="22"/>
      <c r="K123" s="18"/>
      <c r="L123" s="27"/>
      <c r="M123" s="28"/>
      <c r="N123" s="28"/>
      <c r="O123" s="28"/>
      <c r="P123" s="30">
        <f>L122</f>
        <v>0.35460000000000003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s="10" customFormat="1" x14ac:dyDescent="0.5">
      <c r="C124" s="10" t="s">
        <v>159</v>
      </c>
      <c r="D124" s="10" t="s">
        <v>85</v>
      </c>
      <c r="E124" s="10" t="s">
        <v>61</v>
      </c>
      <c r="G124" s="18"/>
      <c r="H124" s="18"/>
      <c r="I124" s="18"/>
      <c r="J124" s="22"/>
      <c r="K124" s="18"/>
      <c r="L124" s="27"/>
      <c r="M124" s="28"/>
      <c r="N124" s="28"/>
      <c r="O124" s="28"/>
      <c r="P124" s="30"/>
      <c r="Q124" s="28"/>
      <c r="R124" s="28"/>
      <c r="S124" s="28"/>
      <c r="T124" s="28">
        <f>(86+12.5)*3.6/1000</f>
        <v>0.35460000000000003</v>
      </c>
      <c r="U124" s="28"/>
      <c r="V124" s="28"/>
      <c r="W124" s="28"/>
      <c r="X124" s="28"/>
      <c r="Y124" s="28">
        <f>(86+12.5)*3.6/1000</f>
        <v>0.35460000000000003</v>
      </c>
      <c r="Z124" s="28"/>
    </row>
    <row r="125" spans="1:26" x14ac:dyDescent="0.5">
      <c r="A125" t="s">
        <v>24</v>
      </c>
      <c r="B125" t="s">
        <v>125</v>
      </c>
      <c r="C125" t="s">
        <v>128</v>
      </c>
      <c r="D125" t="s">
        <v>118</v>
      </c>
      <c r="E125" t="s">
        <v>119</v>
      </c>
      <c r="G125" s="16"/>
      <c r="H125" s="16"/>
      <c r="I125" s="16"/>
      <c r="J125" s="14"/>
      <c r="K125" s="16"/>
      <c r="L125" s="24">
        <v>270</v>
      </c>
      <c r="M125" s="24">
        <f>L125</f>
        <v>270</v>
      </c>
      <c r="N125" s="24">
        <f>L125</f>
        <v>270</v>
      </c>
      <c r="O125" s="24">
        <f>L125</f>
        <v>270</v>
      </c>
      <c r="P125" s="26">
        <f t="shared" si="23"/>
        <v>270</v>
      </c>
      <c r="S125" s="20">
        <v>180</v>
      </c>
    </row>
    <row r="126" spans="1:26" x14ac:dyDescent="0.5">
      <c r="A126" t="s">
        <v>24</v>
      </c>
      <c r="B126" t="s">
        <v>125</v>
      </c>
      <c r="C126" t="s">
        <v>128</v>
      </c>
      <c r="D126" t="s">
        <v>129</v>
      </c>
      <c r="E126" t="s">
        <v>130</v>
      </c>
      <c r="G126" s="16"/>
      <c r="H126" s="16"/>
      <c r="I126" s="16"/>
      <c r="J126" s="14"/>
      <c r="K126" s="16"/>
      <c r="L126" s="24">
        <v>0.08</v>
      </c>
      <c r="M126" s="24">
        <f>L126</f>
        <v>0.08</v>
      </c>
      <c r="N126" s="24">
        <f>L126</f>
        <v>0.08</v>
      </c>
      <c r="O126" s="19">
        <f>L126</f>
        <v>0.08</v>
      </c>
      <c r="P126" s="26">
        <f t="shared" si="23"/>
        <v>0.08</v>
      </c>
      <c r="S126" s="11">
        <v>0.08</v>
      </c>
      <c r="T126" s="11">
        <v>0.08</v>
      </c>
      <c r="Y126" s="11">
        <v>0.08</v>
      </c>
    </row>
    <row r="127" spans="1:26" x14ac:dyDescent="0.5">
      <c r="A127" t="s">
        <v>24</v>
      </c>
      <c r="B127" t="s">
        <v>131</v>
      </c>
      <c r="C127" t="s">
        <v>78</v>
      </c>
      <c r="D127" t="s">
        <v>132</v>
      </c>
      <c r="E127" t="s">
        <v>105</v>
      </c>
      <c r="G127" s="16">
        <v>25.7</v>
      </c>
      <c r="H127" s="16">
        <v>25.7</v>
      </c>
      <c r="I127" s="16">
        <v>25.7</v>
      </c>
      <c r="J127" s="16">
        <v>25.7</v>
      </c>
      <c r="K127" s="16">
        <v>25.7</v>
      </c>
      <c r="U127" s="11">
        <v>25.7</v>
      </c>
      <c r="Z127" s="11">
        <v>25.7</v>
      </c>
    </row>
    <row r="128" spans="1:26" x14ac:dyDescent="0.5">
      <c r="A128" t="s">
        <v>24</v>
      </c>
      <c r="B128" t="s">
        <v>131</v>
      </c>
      <c r="C128" t="s">
        <v>78</v>
      </c>
      <c r="D128" t="s">
        <v>133</v>
      </c>
      <c r="E128" t="s">
        <v>119</v>
      </c>
      <c r="G128" s="16">
        <v>67</v>
      </c>
      <c r="H128" s="16">
        <v>67</v>
      </c>
      <c r="I128" s="16">
        <v>67</v>
      </c>
      <c r="J128" s="16">
        <v>67</v>
      </c>
      <c r="K128" s="16">
        <v>67</v>
      </c>
      <c r="Q128" s="11">
        <v>30</v>
      </c>
      <c r="R128" s="11">
        <f>Q128</f>
        <v>30</v>
      </c>
      <c r="U128" s="11">
        <v>67</v>
      </c>
      <c r="V128" s="11">
        <v>30</v>
      </c>
      <c r="W128" s="11">
        <f>V128</f>
        <v>30</v>
      </c>
      <c r="X128" s="20">
        <v>67</v>
      </c>
      <c r="Z128" s="11">
        <v>67</v>
      </c>
    </row>
    <row r="129" spans="1:26" x14ac:dyDescent="0.5">
      <c r="A129" t="s">
        <v>24</v>
      </c>
      <c r="B129" t="s">
        <v>134</v>
      </c>
      <c r="C129" t="s">
        <v>78</v>
      </c>
      <c r="D129" t="s">
        <v>82</v>
      </c>
      <c r="E129" t="s">
        <v>135</v>
      </c>
      <c r="G129" s="16">
        <f>1/$G$19*(G15+10%)</f>
        <v>1.25</v>
      </c>
      <c r="H129" s="14">
        <f>1/$H$19*(H15+10%)</f>
        <v>1</v>
      </c>
      <c r="I129" s="16">
        <f>1/$I$19*I15</f>
        <v>0.8</v>
      </c>
      <c r="J129" s="14">
        <f>1/$J$19*J15</f>
        <v>0.8</v>
      </c>
      <c r="K129" s="14">
        <f>1/$K$19*K15</f>
        <v>0.8</v>
      </c>
      <c r="U129" s="11">
        <f>1/U19*U15</f>
        <v>0.8</v>
      </c>
      <c r="Z129" s="11">
        <f t="shared" ref="Z129" si="25">1/Z19*Z15</f>
        <v>0.8</v>
      </c>
    </row>
    <row r="130" spans="1:26" x14ac:dyDescent="0.5">
      <c r="A130" t="s">
        <v>24</v>
      </c>
      <c r="B130" t="s">
        <v>134</v>
      </c>
      <c r="C130" t="s">
        <v>78</v>
      </c>
      <c r="D130" t="s">
        <v>84</v>
      </c>
      <c r="E130" t="s">
        <v>135</v>
      </c>
      <c r="G130" s="16">
        <f>1/$G$19*(G16-10%)</f>
        <v>1.25</v>
      </c>
      <c r="H130" s="14">
        <f>1/$H$19*(H16-10%)</f>
        <v>1</v>
      </c>
      <c r="I130" s="16">
        <f>1/$I$19*I16</f>
        <v>1.2</v>
      </c>
      <c r="J130" s="14">
        <f>1/$J$19*J16</f>
        <v>1.2</v>
      </c>
      <c r="K130" s="14">
        <f>1/$K$19*K16</f>
        <v>1.2</v>
      </c>
      <c r="U130" s="11">
        <f>1/U19*U16</f>
        <v>1.2</v>
      </c>
      <c r="Z130" s="11">
        <f t="shared" ref="Z130" si="26">1/Z19*Z16</f>
        <v>1.2</v>
      </c>
    </row>
    <row r="131" spans="1:26" x14ac:dyDescent="0.5">
      <c r="A131" t="s">
        <v>24</v>
      </c>
      <c r="B131" t="s">
        <v>134</v>
      </c>
      <c r="C131" t="s">
        <v>78</v>
      </c>
      <c r="D131" t="s">
        <v>109</v>
      </c>
      <c r="E131" t="s">
        <v>135</v>
      </c>
      <c r="G131" s="16"/>
      <c r="H131" s="14"/>
      <c r="I131" s="16"/>
      <c r="J131" s="14"/>
      <c r="K131" s="14"/>
      <c r="Q131" s="11">
        <f>1/Q19</f>
        <v>2</v>
      </c>
      <c r="R131" s="11">
        <f>1/R19</f>
        <v>2</v>
      </c>
    </row>
    <row r="132" spans="1:26" x14ac:dyDescent="0.5">
      <c r="A132" t="s">
        <v>24</v>
      </c>
      <c r="B132" t="s">
        <v>134</v>
      </c>
      <c r="C132" t="s">
        <v>78</v>
      </c>
      <c r="D132" t="s">
        <v>90</v>
      </c>
      <c r="E132" t="s">
        <v>136</v>
      </c>
      <c r="G132" s="16">
        <f>1/$G$20</f>
        <v>9.9999999999999995E-7</v>
      </c>
      <c r="H132" s="14"/>
      <c r="I132" s="14">
        <f>1/$I$20</f>
        <v>1.0000000000000001E-5</v>
      </c>
      <c r="J132" s="14">
        <f>1/$J$20</f>
        <v>1.0000000000000001E-5</v>
      </c>
      <c r="K132" s="14">
        <f>1/$K$20</f>
        <v>1.0000000000000001E-5</v>
      </c>
      <c r="Q132" s="11">
        <f>1/Q20</f>
        <v>1.0000000000000001E-5</v>
      </c>
      <c r="R132" s="11">
        <f>1/R20</f>
        <v>1.0000000000000001E-5</v>
      </c>
      <c r="U132" s="11">
        <f>1/U20</f>
        <v>1.0000000000000001E-5</v>
      </c>
    </row>
    <row r="133" spans="1:26" x14ac:dyDescent="0.5">
      <c r="A133" t="s">
        <v>24</v>
      </c>
      <c r="B133" t="s">
        <v>137</v>
      </c>
      <c r="D133" t="s">
        <v>138</v>
      </c>
      <c r="E133" t="s">
        <v>139</v>
      </c>
      <c r="G133" s="16"/>
      <c r="H133" s="14"/>
      <c r="I133" s="14"/>
      <c r="J133" s="14"/>
      <c r="K133" s="16">
        <v>1</v>
      </c>
      <c r="O133" s="16">
        <v>1</v>
      </c>
      <c r="R133" s="11">
        <v>1</v>
      </c>
      <c r="W133" s="11">
        <v>1</v>
      </c>
      <c r="Z133" s="11">
        <v>1</v>
      </c>
    </row>
    <row r="134" spans="1:26" x14ac:dyDescent="0.5">
      <c r="A134" t="s">
        <v>24</v>
      </c>
      <c r="B134" t="s">
        <v>137</v>
      </c>
      <c r="C134" t="s">
        <v>140</v>
      </c>
      <c r="D134" t="s">
        <v>85</v>
      </c>
      <c r="E134" t="s">
        <v>141</v>
      </c>
      <c r="G134" s="16"/>
      <c r="H134" s="14"/>
      <c r="I134" s="14"/>
      <c r="J134" s="14"/>
      <c r="K134" s="16">
        <v>3.6</v>
      </c>
      <c r="O134" s="11">
        <v>3.6</v>
      </c>
      <c r="W134" s="11">
        <v>3.6</v>
      </c>
      <c r="Z134" s="11">
        <v>3.6</v>
      </c>
    </row>
    <row r="135" spans="1:26" x14ac:dyDescent="0.5">
      <c r="A135" t="s">
        <v>24</v>
      </c>
      <c r="B135" t="s">
        <v>137</v>
      </c>
      <c r="C135" t="s">
        <v>142</v>
      </c>
      <c r="D135" t="s">
        <v>85</v>
      </c>
      <c r="E135" t="s">
        <v>141</v>
      </c>
      <c r="G135" s="16"/>
      <c r="H135" s="14"/>
      <c r="I135" s="14"/>
      <c r="J135" s="14"/>
      <c r="K135" s="16">
        <f>100*3.6/1000</f>
        <v>0.36</v>
      </c>
      <c r="O135" s="11">
        <f>100*3.6/1000</f>
        <v>0.36</v>
      </c>
      <c r="R135" s="20">
        <v>2.16</v>
      </c>
      <c r="W135" s="11">
        <f>100*3.6/1000</f>
        <v>0.36</v>
      </c>
      <c r="Z135" s="11">
        <f>100*3.6/1000</f>
        <v>0.36</v>
      </c>
    </row>
    <row r="136" spans="1:26" x14ac:dyDescent="0.5">
      <c r="A136" t="s">
        <v>24</v>
      </c>
      <c r="B136" t="s">
        <v>137</v>
      </c>
      <c r="D136" t="s">
        <v>143</v>
      </c>
      <c r="E136" t="s">
        <v>139</v>
      </c>
      <c r="G136" s="16"/>
      <c r="H136" s="14"/>
      <c r="I136" s="14"/>
      <c r="J136" s="14"/>
      <c r="K136" s="14">
        <f>K12*K133</f>
        <v>0.9</v>
      </c>
      <c r="O136" s="11">
        <f>O133*O12</f>
        <v>0.9</v>
      </c>
      <c r="R136" s="11">
        <f>R133*R12</f>
        <v>0.9</v>
      </c>
      <c r="W136" s="11">
        <f>W133*K12</f>
        <v>0.9</v>
      </c>
      <c r="Z136" s="11">
        <f>Z133*Z12</f>
        <v>0.9</v>
      </c>
    </row>
    <row r="137" spans="1:26" x14ac:dyDescent="0.5">
      <c r="A137" t="s">
        <v>28</v>
      </c>
      <c r="B137" t="s">
        <v>28</v>
      </c>
      <c r="C137" t="s">
        <v>81</v>
      </c>
      <c r="D137" s="7" t="s">
        <v>144</v>
      </c>
      <c r="E137" s="7" t="s">
        <v>145</v>
      </c>
      <c r="F137" s="6">
        <v>0.47265002739006901</v>
      </c>
      <c r="G137" s="14"/>
      <c r="H137" s="14"/>
      <c r="I137" s="14"/>
      <c r="J137" s="14"/>
      <c r="K137" s="14"/>
    </row>
    <row r="138" spans="1:26" x14ac:dyDescent="0.5">
      <c r="A138" t="s">
        <v>24</v>
      </c>
      <c r="B138" t="s">
        <v>150</v>
      </c>
      <c r="C138" t="s">
        <v>78</v>
      </c>
      <c r="D138" t="s">
        <v>98</v>
      </c>
      <c r="E138" t="s">
        <v>99</v>
      </c>
      <c r="Q138" s="11">
        <v>0</v>
      </c>
    </row>
    <row r="139" spans="1:26" x14ac:dyDescent="0.5">
      <c r="A139" t="s">
        <v>24</v>
      </c>
      <c r="B139" t="s">
        <v>150</v>
      </c>
      <c r="C139" t="s">
        <v>78</v>
      </c>
      <c r="D139" t="s">
        <v>88</v>
      </c>
      <c r="E139" t="s">
        <v>99</v>
      </c>
      <c r="Q139" s="11">
        <v>1.42</v>
      </c>
      <c r="R139" s="11">
        <v>1.42</v>
      </c>
    </row>
    <row r="140" spans="1:26" x14ac:dyDescent="0.5">
      <c r="A140" t="s">
        <v>24</v>
      </c>
      <c r="B140" t="s">
        <v>150</v>
      </c>
      <c r="C140" t="s">
        <v>78</v>
      </c>
      <c r="D140" t="s">
        <v>100</v>
      </c>
      <c r="E140" t="s">
        <v>99</v>
      </c>
      <c r="Q140" s="11">
        <v>0</v>
      </c>
    </row>
    <row r="141" spans="1:26" x14ac:dyDescent="0.5">
      <c r="A141" t="s">
        <v>24</v>
      </c>
      <c r="B141" t="s">
        <v>150</v>
      </c>
      <c r="C141" t="s">
        <v>78</v>
      </c>
      <c r="D141" t="s">
        <v>101</v>
      </c>
      <c r="E141" t="s">
        <v>99</v>
      </c>
      <c r="Q141" s="11">
        <v>0</v>
      </c>
    </row>
    <row r="142" spans="1:26" x14ac:dyDescent="0.5">
      <c r="A142" t="s">
        <v>24</v>
      </c>
      <c r="B142" t="s">
        <v>150</v>
      </c>
      <c r="C142" t="s">
        <v>78</v>
      </c>
      <c r="D142" t="s">
        <v>102</v>
      </c>
      <c r="E142" t="s">
        <v>99</v>
      </c>
      <c r="Q142" s="11">
        <v>0</v>
      </c>
    </row>
    <row r="143" spans="1:26" x14ac:dyDescent="0.5">
      <c r="A143" t="s">
        <v>24</v>
      </c>
      <c r="B143" t="s">
        <v>150</v>
      </c>
      <c r="C143" t="s">
        <v>103</v>
      </c>
      <c r="D143" t="s">
        <v>90</v>
      </c>
      <c r="E143" t="s">
        <v>108</v>
      </c>
      <c r="Q143" s="11">
        <v>12.7</v>
      </c>
      <c r="R143" s="11">
        <v>12.7</v>
      </c>
    </row>
    <row r="144" spans="1:26" x14ac:dyDescent="0.5">
      <c r="A144" t="s">
        <v>24</v>
      </c>
      <c r="B144" t="s">
        <v>150</v>
      </c>
      <c r="C144" t="s">
        <v>107</v>
      </c>
      <c r="D144" t="s">
        <v>84</v>
      </c>
      <c r="E144" t="s">
        <v>108</v>
      </c>
      <c r="Q144" s="11">
        <v>0</v>
      </c>
    </row>
    <row r="145" spans="1:25" x14ac:dyDescent="0.5">
      <c r="A145" t="s">
        <v>24</v>
      </c>
      <c r="B145" t="s">
        <v>150</v>
      </c>
      <c r="C145" t="s">
        <v>107</v>
      </c>
      <c r="D145" t="s">
        <v>82</v>
      </c>
      <c r="E145" t="s">
        <v>108</v>
      </c>
      <c r="Q145" s="11">
        <v>0</v>
      </c>
    </row>
    <row r="146" spans="1:25" x14ac:dyDescent="0.5">
      <c r="A146" t="s">
        <v>24</v>
      </c>
      <c r="B146" t="s">
        <v>150</v>
      </c>
      <c r="C146" t="s">
        <v>107</v>
      </c>
      <c r="D146" t="s">
        <v>151</v>
      </c>
      <c r="E146" t="s">
        <v>108</v>
      </c>
      <c r="Q146" s="24">
        <f>0.95-Q81-Q88</f>
        <v>0.8899999999999999</v>
      </c>
      <c r="R146" s="11">
        <v>0.89</v>
      </c>
    </row>
    <row r="147" spans="1:25" x14ac:dyDescent="0.5">
      <c r="A147" t="s">
        <v>24</v>
      </c>
      <c r="B147" t="s">
        <v>150</v>
      </c>
      <c r="C147" t="s">
        <v>107</v>
      </c>
      <c r="D147" t="s">
        <v>109</v>
      </c>
      <c r="E147" t="s">
        <v>108</v>
      </c>
      <c r="Q147" s="11">
        <v>0</v>
      </c>
    </row>
    <row r="148" spans="1:25" x14ac:dyDescent="0.5">
      <c r="A148" t="s">
        <v>24</v>
      </c>
      <c r="B148" t="s">
        <v>150</v>
      </c>
      <c r="C148" t="s">
        <v>110</v>
      </c>
      <c r="D148" t="s">
        <v>85</v>
      </c>
      <c r="E148" t="s">
        <v>108</v>
      </c>
      <c r="Q148" s="24">
        <f>0.95-Q85-Q89</f>
        <v>0.83</v>
      </c>
      <c r="R148" s="11">
        <v>0.83</v>
      </c>
    </row>
    <row r="149" spans="1:25" x14ac:dyDescent="0.5">
      <c r="A149" t="s">
        <v>24</v>
      </c>
      <c r="B149" t="s">
        <v>150</v>
      </c>
      <c r="C149" t="s">
        <v>111</v>
      </c>
      <c r="D149" t="s">
        <v>86</v>
      </c>
      <c r="E149" t="s">
        <v>108</v>
      </c>
      <c r="Q149" s="11">
        <v>0</v>
      </c>
      <c r="R149" s="11">
        <v>0</v>
      </c>
    </row>
    <row r="150" spans="1:25" x14ac:dyDescent="0.5">
      <c r="A150" t="s">
        <v>24</v>
      </c>
      <c r="B150" t="s">
        <v>154</v>
      </c>
      <c r="C150" t="s">
        <v>78</v>
      </c>
      <c r="D150" t="s">
        <v>88</v>
      </c>
      <c r="E150" t="s">
        <v>155</v>
      </c>
      <c r="T150" s="11">
        <v>1.44</v>
      </c>
      <c r="Y150" s="11">
        <v>1.51</v>
      </c>
    </row>
    <row r="151" spans="1:25" x14ac:dyDescent="0.5">
      <c r="A151" t="s">
        <v>24</v>
      </c>
      <c r="B151" t="s">
        <v>154</v>
      </c>
      <c r="C151" t="s">
        <v>110</v>
      </c>
      <c r="D151" t="s">
        <v>85</v>
      </c>
      <c r="E151" t="s">
        <v>156</v>
      </c>
      <c r="T151" s="11">
        <f>(90*3.6/1000)/0.952</f>
        <v>0.34033613445378152</v>
      </c>
    </row>
    <row r="152" spans="1:25" x14ac:dyDescent="0.5">
      <c r="A152" t="s">
        <v>24</v>
      </c>
      <c r="B152" t="s">
        <v>154</v>
      </c>
      <c r="C152" t="s">
        <v>157</v>
      </c>
      <c r="D152" t="s">
        <v>85</v>
      </c>
      <c r="E152" t="s">
        <v>156</v>
      </c>
      <c r="T152" s="11">
        <v>13.33</v>
      </c>
      <c r="Y152" s="11">
        <v>11.96</v>
      </c>
    </row>
    <row r="153" spans="1:25" x14ac:dyDescent="0.5">
      <c r="A153" t="s">
        <v>24</v>
      </c>
      <c r="B153" t="s">
        <v>161</v>
      </c>
      <c r="D153" t="s">
        <v>162</v>
      </c>
      <c r="E153" t="s">
        <v>163</v>
      </c>
      <c r="U153" s="11">
        <f>0.52*44/12</f>
        <v>1.906666666666667</v>
      </c>
    </row>
    <row r="154" spans="1:25" x14ac:dyDescent="0.5">
      <c r="A154" t="s">
        <v>24</v>
      </c>
      <c r="B154" t="s">
        <v>161</v>
      </c>
      <c r="D154" t="s">
        <v>85</v>
      </c>
      <c r="E154" t="s">
        <v>164</v>
      </c>
      <c r="U154" s="11">
        <f>2*3.6</f>
        <v>7.2</v>
      </c>
    </row>
    <row r="155" spans="1:25" x14ac:dyDescent="0.5">
      <c r="A155" t="s">
        <v>24</v>
      </c>
      <c r="B155" t="s">
        <v>165</v>
      </c>
      <c r="D155" t="s">
        <v>138</v>
      </c>
      <c r="E155" t="s">
        <v>139</v>
      </c>
      <c r="U155" s="24">
        <f>K133</f>
        <v>1</v>
      </c>
    </row>
    <row r="156" spans="1:25" x14ac:dyDescent="0.5">
      <c r="A156" t="s">
        <v>24</v>
      </c>
      <c r="B156" t="s">
        <v>165</v>
      </c>
      <c r="D156" t="s">
        <v>85</v>
      </c>
      <c r="E156" t="s">
        <v>141</v>
      </c>
      <c r="U156" s="24">
        <f t="shared" ref="U156:U158" si="27">K134</f>
        <v>3.6</v>
      </c>
    </row>
    <row r="157" spans="1:25" x14ac:dyDescent="0.5">
      <c r="A157" t="s">
        <v>24</v>
      </c>
      <c r="B157" t="s">
        <v>165</v>
      </c>
      <c r="D157" t="s">
        <v>85</v>
      </c>
      <c r="E157" t="s">
        <v>141</v>
      </c>
      <c r="U157" s="24">
        <f t="shared" si="27"/>
        <v>0.36</v>
      </c>
    </row>
    <row r="158" spans="1:25" x14ac:dyDescent="0.5">
      <c r="A158" t="s">
        <v>24</v>
      </c>
      <c r="B158" t="s">
        <v>165</v>
      </c>
      <c r="D158" t="s">
        <v>143</v>
      </c>
      <c r="E158" t="s">
        <v>139</v>
      </c>
      <c r="U158" s="24">
        <f t="shared" si="27"/>
        <v>0.9</v>
      </c>
    </row>
    <row r="159" spans="1:25" x14ac:dyDescent="0.5">
      <c r="A159" t="s">
        <v>24</v>
      </c>
      <c r="B159" t="s">
        <v>175</v>
      </c>
      <c r="C159" t="s">
        <v>78</v>
      </c>
      <c r="D159" t="s">
        <v>176</v>
      </c>
      <c r="E159" t="s">
        <v>177</v>
      </c>
      <c r="V159" s="11">
        <v>1</v>
      </c>
      <c r="W159" s="11">
        <f>V159</f>
        <v>1</v>
      </c>
      <c r="X159" s="11">
        <v>1</v>
      </c>
    </row>
    <row r="160" spans="1:25" x14ac:dyDescent="0.5">
      <c r="A160" t="s">
        <v>24</v>
      </c>
      <c r="B160" t="s">
        <v>175</v>
      </c>
      <c r="C160" t="s">
        <v>178</v>
      </c>
      <c r="D160" t="s">
        <v>95</v>
      </c>
      <c r="E160" t="s">
        <v>108</v>
      </c>
      <c r="V160" s="11">
        <f>((1538-$V$37)*V40/1000+$V$42+($V$38-1538)*$V$41/1000)/$V$39-V161</f>
        <v>1.3350380259623991</v>
      </c>
      <c r="W160" s="11">
        <f t="shared" ref="W160:W161" si="28">V160</f>
        <v>1.3350380259623991</v>
      </c>
    </row>
    <row r="161" spans="1:24" x14ac:dyDescent="0.5">
      <c r="A161" t="s">
        <v>24</v>
      </c>
      <c r="B161" t="s">
        <v>175</v>
      </c>
      <c r="C161" t="s">
        <v>178</v>
      </c>
      <c r="D161" t="s">
        <v>109</v>
      </c>
      <c r="E161" t="s">
        <v>108</v>
      </c>
      <c r="V161" s="11">
        <v>0.2</v>
      </c>
      <c r="W161" s="11">
        <f t="shared" si="28"/>
        <v>0.2</v>
      </c>
    </row>
    <row r="162" spans="1:24" x14ac:dyDescent="0.5">
      <c r="B162" t="s">
        <v>175</v>
      </c>
      <c r="C162" t="s">
        <v>178</v>
      </c>
      <c r="D162" t="s">
        <v>85</v>
      </c>
      <c r="E162" t="s">
        <v>108</v>
      </c>
      <c r="X162" s="11">
        <f>((1538-$X$37)*X40/1000+$X$42+($X$38-1538)*$X$41/1000)/$X$39</f>
        <v>1.0340519801751746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Isabirye</dc:creator>
  <cp:keywords/>
  <dc:description/>
  <cp:lastModifiedBy>Andrew Isabirye</cp:lastModifiedBy>
  <cp:revision/>
  <dcterms:created xsi:type="dcterms:W3CDTF">2021-11-01T21:42:04Z</dcterms:created>
  <dcterms:modified xsi:type="dcterms:W3CDTF">2021-11-10T11:36:26Z</dcterms:modified>
  <cp:category/>
  <cp:contentStatus/>
</cp:coreProperties>
</file>