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systemiq.sharepoint.com/Projects/MPP0006/Shared Documents/6_ Working documents/03 Steel python model/Data Sources/"/>
    </mc:Choice>
  </mc:AlternateContent>
  <xr:revisionPtr revIDLastSave="1625" documentId="8_{E5ECF8DE-F7F7-4DAE-A1FD-DC27A0AAFB42}" xr6:coauthVersionLast="47" xr6:coauthVersionMax="47" xr10:uidLastSave="{A233D31D-566A-4C2B-A564-4DBF5B3656C4}"/>
  <bookViews>
    <workbookView xWindow="-93" yWindow="-93" windowWidth="25786" windowHeight="13373" xr2:uid="{0B6EB920-BFAC-40B8-A9D9-6AEA75F19191}"/>
  </bookViews>
  <sheets>
    <sheet name="Data" sheetId="1" r:id="rId1"/>
  </sheets>
  <definedNames>
    <definedName name="_xlnm._FilterDatabase" localSheetId="0" hidden="1">Data!$A$2:$AB$161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3" i="1" l="1"/>
  <c r="E44" i="1"/>
  <c r="E45" i="1"/>
  <c r="E46" i="1"/>
  <c r="E47" i="1"/>
  <c r="E48" i="1"/>
  <c r="E49" i="1"/>
  <c r="E50" i="1"/>
  <c r="E51" i="1"/>
  <c r="E52" i="1"/>
  <c r="E53" i="1"/>
  <c r="E54" i="1"/>
  <c r="E55" i="1"/>
  <c r="E56" i="1"/>
  <c r="E58" i="1"/>
  <c r="E59" i="1"/>
  <c r="E61" i="1"/>
  <c r="E63" i="1"/>
  <c r="E64" i="1"/>
  <c r="E65" i="1"/>
  <c r="E66" i="1"/>
  <c r="E67" i="1"/>
  <c r="E68" i="1"/>
  <c r="E69" i="1"/>
  <c r="E70" i="1"/>
  <c r="E71" i="1"/>
  <c r="E72" i="1"/>
  <c r="E73" i="1"/>
  <c r="E74" i="1"/>
  <c r="E75" i="1"/>
  <c r="E76" i="1"/>
  <c r="E77" i="1"/>
  <c r="E79" i="1"/>
  <c r="E80" i="1"/>
  <c r="E81" i="1"/>
  <c r="E82" i="1"/>
  <c r="E83" i="1"/>
  <c r="E84" i="1"/>
  <c r="E85" i="1"/>
  <c r="E86" i="1"/>
  <c r="E87" i="1"/>
  <c r="E88" i="1"/>
  <c r="E89" i="1"/>
  <c r="E90" i="1"/>
  <c r="E91" i="1"/>
  <c r="E93" i="1"/>
  <c r="E94" i="1"/>
  <c r="E95" i="1"/>
  <c r="E96" i="1"/>
  <c r="E97" i="1"/>
  <c r="E98" i="1"/>
  <c r="E99" i="1"/>
  <c r="E100" i="1"/>
  <c r="E101" i="1"/>
  <c r="E102" i="1"/>
  <c r="E103" i="1"/>
  <c r="E104" i="1"/>
  <c r="E105" i="1"/>
  <c r="E106" i="1"/>
  <c r="E107" i="1"/>
  <c r="E108" i="1"/>
  <c r="E109" i="1"/>
  <c r="E111" i="1"/>
  <c r="E113" i="1"/>
  <c r="E114" i="1"/>
  <c r="E115" i="1"/>
  <c r="E116" i="1"/>
  <c r="E117" i="1"/>
  <c r="E118" i="1"/>
  <c r="E119" i="1"/>
  <c r="E120" i="1"/>
  <c r="E121" i="1"/>
  <c r="E122" i="1"/>
  <c r="E123" i="1"/>
  <c r="E124" i="1"/>
  <c r="E125" i="1"/>
  <c r="E128" i="1"/>
  <c r="E129" i="1"/>
  <c r="E130" i="1"/>
  <c r="E131" i="1"/>
  <c r="E133" i="1"/>
  <c r="E134" i="1"/>
  <c r="E135" i="1"/>
  <c r="E138" i="1"/>
  <c r="E140" i="1"/>
  <c r="E141" i="1"/>
  <c r="E142" i="1"/>
  <c r="E143" i="1"/>
  <c r="E144" i="1"/>
  <c r="E145" i="1"/>
  <c r="E146" i="1"/>
  <c r="E147" i="1"/>
  <c r="E148" i="1"/>
  <c r="E149" i="1"/>
  <c r="E150" i="1"/>
  <c r="E151" i="1"/>
  <c r="E153" i="1"/>
  <c r="E155" i="1"/>
  <c r="E156" i="1"/>
  <c r="E157" i="1"/>
  <c r="E159" i="1"/>
  <c r="E160" i="1"/>
  <c r="E161" i="1"/>
  <c r="E42" i="1"/>
  <c r="Y85" i="1"/>
  <c r="Y40" i="1"/>
  <c r="Y39" i="1"/>
  <c r="Y12" i="1"/>
  <c r="Y17" i="1"/>
  <c r="Z123" i="1"/>
  <c r="Z118" i="1"/>
  <c r="Z25" i="1"/>
  <c r="Y25" i="1"/>
  <c r="AA135" i="1"/>
  <c r="AA134" i="1"/>
  <c r="AA129" i="1"/>
  <c r="AA128" i="1"/>
  <c r="AA89" i="1"/>
  <c r="AA71" i="1"/>
  <c r="AA68" i="1"/>
  <c r="AA65" i="1" s="1"/>
  <c r="AA57" i="1"/>
  <c r="AA63" i="1" l="1"/>
  <c r="X135" i="1" l="1"/>
  <c r="X134" i="1"/>
  <c r="X127" i="1"/>
  <c r="X160" i="1"/>
  <c r="X158" i="1"/>
  <c r="X91" i="1"/>
  <c r="X40" i="1"/>
  <c r="X39" i="1"/>
  <c r="X37" i="1"/>
  <c r="X36" i="1"/>
  <c r="X25" i="1"/>
  <c r="W25" i="1"/>
  <c r="X17" i="1"/>
  <c r="X12" i="1"/>
  <c r="W89" i="1"/>
  <c r="X89" i="1" s="1"/>
  <c r="Y89" i="1" s="1"/>
  <c r="W85" i="1"/>
  <c r="W78" i="1"/>
  <c r="X78" i="1" s="1"/>
  <c r="W77" i="1"/>
  <c r="Y77" i="1" s="1"/>
  <c r="W100" i="1"/>
  <c r="X100" i="1" s="1"/>
  <c r="W91" i="1"/>
  <c r="W90" i="1"/>
  <c r="X90" i="1" s="1"/>
  <c r="W53" i="1"/>
  <c r="Y53" i="1" s="1"/>
  <c r="W54" i="1"/>
  <c r="Y54" i="1" s="1"/>
  <c r="W56" i="1"/>
  <c r="Y56" i="1" s="1"/>
  <c r="W57" i="1"/>
  <c r="Y57" i="1" s="1"/>
  <c r="W41" i="1"/>
  <c r="Y41" i="1" s="1"/>
  <c r="Y161" i="1" s="1"/>
  <c r="V155" i="1"/>
  <c r="V154" i="1"/>
  <c r="V153" i="1"/>
  <c r="V152" i="1"/>
  <c r="V131" i="1"/>
  <c r="V129" i="1"/>
  <c r="V82" i="1"/>
  <c r="V85" i="1"/>
  <c r="V86" i="1"/>
  <c r="V89" i="1"/>
  <c r="V71" i="1"/>
  <c r="V69" i="1"/>
  <c r="V44" i="1"/>
  <c r="V50" i="1"/>
  <c r="V54" i="1"/>
  <c r="V57" i="1"/>
  <c r="V59" i="1"/>
  <c r="U123" i="1"/>
  <c r="U118" i="1"/>
  <c r="U150" i="1"/>
  <c r="T121" i="1"/>
  <c r="T120" i="1"/>
  <c r="T118" i="1"/>
  <c r="T109" i="1"/>
  <c r="S135" i="1"/>
  <c r="S131" i="1"/>
  <c r="S127" i="1"/>
  <c r="S89" i="1"/>
  <c r="S88" i="1"/>
  <c r="S87" i="1"/>
  <c r="S84" i="1"/>
  <c r="S83" i="1"/>
  <c r="S80" i="1"/>
  <c r="S17" i="1"/>
  <c r="S12" i="1"/>
  <c r="R131" i="1"/>
  <c r="R77" i="1"/>
  <c r="S77" i="1" s="1"/>
  <c r="R147" i="1"/>
  <c r="R145" i="1"/>
  <c r="R18" i="1"/>
  <c r="S18" i="1" s="1"/>
  <c r="S130" i="1" s="1"/>
  <c r="R17" i="1"/>
  <c r="R3" i="1"/>
  <c r="S3" i="1" s="1"/>
  <c r="Q117" i="1"/>
  <c r="Q100" i="1"/>
  <c r="Y100" i="1" s="1"/>
  <c r="Q91" i="1"/>
  <c r="Y91" i="1" s="1"/>
  <c r="Q102" i="1"/>
  <c r="Y102" i="1" s="1"/>
  <c r="Q90" i="1"/>
  <c r="Q29" i="1"/>
  <c r="P135" i="1"/>
  <c r="P134" i="1"/>
  <c r="P125" i="1"/>
  <c r="P124" i="1"/>
  <c r="P119" i="1"/>
  <c r="P117" i="1"/>
  <c r="P91" i="1"/>
  <c r="P93" i="1"/>
  <c r="P94" i="1"/>
  <c r="P95" i="1"/>
  <c r="P96" i="1"/>
  <c r="P97" i="1"/>
  <c r="P98" i="1"/>
  <c r="P99" i="1"/>
  <c r="P90" i="1"/>
  <c r="P53" i="1"/>
  <c r="P54" i="1"/>
  <c r="P56" i="1"/>
  <c r="O125" i="1"/>
  <c r="O124" i="1"/>
  <c r="O119" i="1"/>
  <c r="O120" i="1" s="1"/>
  <c r="O117" i="1"/>
  <c r="O91" i="1"/>
  <c r="O99" i="1"/>
  <c r="O90" i="1" s="1"/>
  <c r="N125" i="1"/>
  <c r="N124" i="1"/>
  <c r="N117" i="1"/>
  <c r="N91" i="1"/>
  <c r="N90" i="1"/>
  <c r="N26" i="1"/>
  <c r="N102" i="1" s="1"/>
  <c r="L10" i="1"/>
  <c r="L9" i="1"/>
  <c r="K89" i="1"/>
  <c r="K20" i="1"/>
  <c r="K18" i="1"/>
  <c r="K16" i="1"/>
  <c r="J131" i="1"/>
  <c r="J20" i="1"/>
  <c r="J18" i="1"/>
  <c r="J16" i="1"/>
  <c r="H43" i="1"/>
  <c r="H12" i="1"/>
  <c r="H77" i="1" s="1"/>
  <c r="I88" i="1"/>
  <c r="AA88" i="1" s="1"/>
  <c r="I84" i="1"/>
  <c r="AA84" i="1" s="1"/>
  <c r="I76" i="1"/>
  <c r="AA76" i="1" s="1"/>
  <c r="I75" i="1"/>
  <c r="AA75" i="1" s="1"/>
  <c r="I74" i="1"/>
  <c r="AA74" i="1" s="1"/>
  <c r="I73" i="1"/>
  <c r="AA73" i="1" s="1"/>
  <c r="I72" i="1"/>
  <c r="AA72" i="1" s="1"/>
  <c r="I58" i="1"/>
  <c r="V58" i="1" s="1"/>
  <c r="I45" i="1"/>
  <c r="V45" i="1" s="1"/>
  <c r="I17" i="1"/>
  <c r="V17" i="1" s="1"/>
  <c r="AA17" i="1" s="1"/>
  <c r="I14" i="1"/>
  <c r="V14" i="1" s="1"/>
  <c r="V128" i="1" s="1"/>
  <c r="I8" i="1"/>
  <c r="V8" i="1" s="1"/>
  <c r="U25" i="1"/>
  <c r="T25" i="1"/>
  <c r="T113" i="1" s="1"/>
  <c r="X57" i="1" l="1"/>
  <c r="R130" i="1"/>
  <c r="K7" i="1"/>
  <c r="V84" i="1"/>
  <c r="W88" i="1"/>
  <c r="X88" i="1" s="1"/>
  <c r="I12" i="1"/>
  <c r="V73" i="1"/>
  <c r="W84" i="1"/>
  <c r="Y84" i="1" s="1"/>
  <c r="V88" i="1"/>
  <c r="X41" i="1"/>
  <c r="J17" i="1"/>
  <c r="V74" i="1"/>
  <c r="X56" i="1"/>
  <c r="L17" i="1"/>
  <c r="V75" i="1"/>
  <c r="V76" i="1"/>
  <c r="X77" i="1"/>
  <c r="K17" i="1"/>
  <c r="X54" i="1"/>
  <c r="L8" i="1"/>
  <c r="R79" i="1"/>
  <c r="V63" i="1"/>
  <c r="W159" i="1"/>
  <c r="X159" i="1" s="1"/>
  <c r="X53" i="1"/>
  <c r="H44" i="1"/>
  <c r="I43" i="1" s="1"/>
  <c r="V43" i="1" s="1"/>
  <c r="Q103" i="1"/>
  <c r="P25" i="1"/>
  <c r="I9" i="1"/>
  <c r="Q113" i="1"/>
  <c r="Q114" i="1" s="1"/>
  <c r="Q115" i="1"/>
  <c r="Q116" i="1"/>
  <c r="Q124" i="1"/>
  <c r="Q125" i="1"/>
  <c r="Q53" i="1"/>
  <c r="Q54" i="1"/>
  <c r="Q57" i="1"/>
  <c r="M121" i="1"/>
  <c r="M120" i="1"/>
  <c r="M118" i="1"/>
  <c r="M110" i="1"/>
  <c r="M100" i="1"/>
  <c r="M58" i="1"/>
  <c r="M25" i="1"/>
  <c r="L135" i="1"/>
  <c r="V157" i="1" s="1"/>
  <c r="L134" i="1"/>
  <c r="V156" i="1" s="1"/>
  <c r="L131" i="1"/>
  <c r="L89" i="1"/>
  <c r="L64" i="1"/>
  <c r="L66" i="1"/>
  <c r="L68" i="1"/>
  <c r="L14" i="1"/>
  <c r="L128" i="1" s="1"/>
  <c r="K131" i="1"/>
  <c r="K66" i="1"/>
  <c r="K64" i="1"/>
  <c r="K14" i="1"/>
  <c r="K15" i="1" s="1"/>
  <c r="K129" i="1" s="1"/>
  <c r="K6" i="1"/>
  <c r="J89" i="1"/>
  <c r="J68" i="1"/>
  <c r="J64" i="1"/>
  <c r="J14" i="1"/>
  <c r="J10" i="1"/>
  <c r="I128" i="1"/>
  <c r="X84" i="1" l="1"/>
  <c r="R78" i="1"/>
  <c r="S78" i="1" s="1"/>
  <c r="S79" i="1"/>
  <c r="N121" i="1"/>
  <c r="O121" i="1"/>
  <c r="Q122" i="1"/>
  <c r="P121" i="1"/>
  <c r="Q121" i="1"/>
  <c r="N120" i="1"/>
  <c r="P120" i="1"/>
  <c r="N58" i="1"/>
  <c r="W58" i="1"/>
  <c r="P58" i="1"/>
  <c r="O58" i="1"/>
  <c r="O100" i="1"/>
  <c r="P100" i="1"/>
  <c r="N100" i="1"/>
  <c r="N107" i="1"/>
  <c r="Y103" i="1"/>
  <c r="M92" i="1"/>
  <c r="P92" i="1" s="1"/>
  <c r="P110" i="1"/>
  <c r="O110" i="1"/>
  <c r="Q110" i="1"/>
  <c r="Y78" i="1" s="1"/>
  <c r="N110" i="1"/>
  <c r="Q118" i="1"/>
  <c r="P118" i="1"/>
  <c r="N118" i="1"/>
  <c r="O118" i="1"/>
  <c r="L15" i="1"/>
  <c r="L129" i="1" s="1"/>
  <c r="K128" i="1"/>
  <c r="J128" i="1"/>
  <c r="Y58" i="1" l="1"/>
  <c r="X58" i="1"/>
  <c r="Y88" i="1"/>
  <c r="Z121" i="1"/>
  <c r="U121" i="1"/>
  <c r="I89" i="1"/>
  <c r="L88" i="1"/>
  <c r="I87" i="1"/>
  <c r="I81" i="1"/>
  <c r="L82" i="1"/>
  <c r="I83" i="1"/>
  <c r="L84" i="1"/>
  <c r="I80" i="1"/>
  <c r="I79" i="1"/>
  <c r="I77" i="1"/>
  <c r="I67" i="1"/>
  <c r="K67" i="1" s="1"/>
  <c r="I61" i="1"/>
  <c r="I62" i="1"/>
  <c r="I60" i="1"/>
  <c r="I55" i="1"/>
  <c r="I56" i="1"/>
  <c r="I46" i="1"/>
  <c r="L45" i="1"/>
  <c r="I42" i="1"/>
  <c r="V42" i="1" s="1"/>
  <c r="I10" i="1"/>
  <c r="L81" i="1" l="1"/>
  <c r="V81" i="1"/>
  <c r="L87" i="1"/>
  <c r="AA87" i="1"/>
  <c r="W87" i="1"/>
  <c r="X87" i="1" s="1"/>
  <c r="V87" i="1"/>
  <c r="L46" i="1"/>
  <c r="V46" i="1"/>
  <c r="AA77" i="1"/>
  <c r="V77" i="1"/>
  <c r="L77" i="1"/>
  <c r="L83" i="1"/>
  <c r="AA83" i="1"/>
  <c r="W83" i="1"/>
  <c r="V83" i="1"/>
  <c r="L61" i="1"/>
  <c r="V61" i="1"/>
  <c r="L56" i="1"/>
  <c r="V56" i="1"/>
  <c r="L80" i="1"/>
  <c r="W86" i="1"/>
  <c r="X86" i="1" s="1"/>
  <c r="AA80" i="1"/>
  <c r="V80" i="1"/>
  <c r="L62" i="1"/>
  <c r="V62" i="1"/>
  <c r="L67" i="1"/>
  <c r="AA79" i="1"/>
  <c r="Z109" i="1"/>
  <c r="U109" i="1"/>
  <c r="V79" i="1"/>
  <c r="I78" i="1"/>
  <c r="L78" i="1" s="1"/>
  <c r="L55" i="1"/>
  <c r="V55" i="1"/>
  <c r="L60" i="1"/>
  <c r="V60" i="1"/>
  <c r="K42" i="1"/>
  <c r="L42" i="1"/>
  <c r="J58" i="1"/>
  <c r="AA58" i="1" s="1"/>
  <c r="L58" i="1"/>
  <c r="K71" i="1"/>
  <c r="L71" i="1"/>
  <c r="K79" i="1"/>
  <c r="L79" i="1"/>
  <c r="J77" i="1"/>
  <c r="K77" i="1"/>
  <c r="J80" i="1"/>
  <c r="K80" i="1"/>
  <c r="J84" i="1"/>
  <c r="K84" i="1"/>
  <c r="J83" i="1"/>
  <c r="K83" i="1"/>
  <c r="J82" i="1"/>
  <c r="K82" i="1"/>
  <c r="J81" i="1"/>
  <c r="AA81" i="1" s="1"/>
  <c r="K81" i="1"/>
  <c r="J87" i="1"/>
  <c r="K87" i="1"/>
  <c r="J88" i="1"/>
  <c r="K88" i="1"/>
  <c r="J62" i="1"/>
  <c r="AA62" i="1" s="1"/>
  <c r="K62" i="1"/>
  <c r="J45" i="1"/>
  <c r="AA45" i="1" s="1"/>
  <c r="K45" i="1"/>
  <c r="J46" i="1"/>
  <c r="AA46" i="1" s="1"/>
  <c r="K46" i="1"/>
  <c r="K58" i="1"/>
  <c r="J56" i="1"/>
  <c r="AA56" i="1" s="1"/>
  <c r="K56" i="1"/>
  <c r="J55" i="1"/>
  <c r="AA55" i="1" s="1"/>
  <c r="K55" i="1"/>
  <c r="J60" i="1"/>
  <c r="AA60" i="1" s="1"/>
  <c r="K60" i="1"/>
  <c r="J61" i="1"/>
  <c r="AA61" i="1" s="1"/>
  <c r="K61" i="1"/>
  <c r="J42" i="1"/>
  <c r="AA42" i="1" s="1"/>
  <c r="L72" i="1"/>
  <c r="I63" i="1"/>
  <c r="L63" i="1" s="1"/>
  <c r="J71" i="1"/>
  <c r="J79" i="1"/>
  <c r="H131" i="1"/>
  <c r="H128" i="1"/>
  <c r="H79" i="1"/>
  <c r="H78" i="1" s="1"/>
  <c r="H67" i="1"/>
  <c r="H63" i="1" s="1"/>
  <c r="H53" i="1"/>
  <c r="H52" i="1"/>
  <c r="H51" i="1"/>
  <c r="I51" i="1" s="1"/>
  <c r="V51" i="1" s="1"/>
  <c r="H49" i="1"/>
  <c r="H48" i="1"/>
  <c r="I48" i="1" s="1"/>
  <c r="H47" i="1"/>
  <c r="I47" i="1" s="1"/>
  <c r="H15" i="1"/>
  <c r="AA78" i="1" l="1"/>
  <c r="V78" i="1"/>
  <c r="X83" i="1"/>
  <c r="Y83" i="1"/>
  <c r="L47" i="1"/>
  <c r="V47" i="1"/>
  <c r="Z112" i="1"/>
  <c r="Z111" i="1"/>
  <c r="I15" i="1"/>
  <c r="H129" i="1"/>
  <c r="U111" i="1"/>
  <c r="U112" i="1"/>
  <c r="L48" i="1"/>
  <c r="V48" i="1"/>
  <c r="I52" i="1"/>
  <c r="M52" i="1"/>
  <c r="K51" i="1"/>
  <c r="L51" i="1"/>
  <c r="K73" i="1"/>
  <c r="L73" i="1"/>
  <c r="J78" i="1"/>
  <c r="K78" i="1"/>
  <c r="L76" i="1"/>
  <c r="K72" i="1"/>
  <c r="J63" i="1"/>
  <c r="K63" i="1"/>
  <c r="J72" i="1"/>
  <c r="J47" i="1"/>
  <c r="AA47" i="1" s="1"/>
  <c r="K47" i="1"/>
  <c r="J48" i="1"/>
  <c r="AA48" i="1" s="1"/>
  <c r="K48" i="1"/>
  <c r="J51" i="1"/>
  <c r="AA51" i="1" s="1"/>
  <c r="L75" i="1"/>
  <c r="J73" i="1"/>
  <c r="L44" i="1"/>
  <c r="H54" i="1"/>
  <c r="L54" i="1" s="1"/>
  <c r="H50" i="1"/>
  <c r="I49" i="1" s="1"/>
  <c r="V49" i="1" s="1"/>
  <c r="L50" i="1" l="1"/>
  <c r="I70" i="1"/>
  <c r="P52" i="1"/>
  <c r="W52" i="1"/>
  <c r="Q52" i="1"/>
  <c r="N52" i="1"/>
  <c r="O52" i="1"/>
  <c r="I129" i="1"/>
  <c r="J15" i="1"/>
  <c r="J129" i="1" s="1"/>
  <c r="J52" i="1"/>
  <c r="AA52" i="1" s="1"/>
  <c r="V52" i="1"/>
  <c r="I53" i="1"/>
  <c r="V53" i="1" s="1"/>
  <c r="K52" i="1"/>
  <c r="L52" i="1"/>
  <c r="J74" i="1"/>
  <c r="K49" i="1"/>
  <c r="L49" i="1"/>
  <c r="K43" i="1"/>
  <c r="L43" i="1"/>
  <c r="K74" i="1"/>
  <c r="L74" i="1"/>
  <c r="J75" i="1"/>
  <c r="K75" i="1"/>
  <c r="J76" i="1"/>
  <c r="K76" i="1"/>
  <c r="J49" i="1"/>
  <c r="AA49" i="1" s="1"/>
  <c r="J50" i="1"/>
  <c r="AA50" i="1" s="1"/>
  <c r="K50" i="1"/>
  <c r="J54" i="1"/>
  <c r="AA54" i="1" s="1"/>
  <c r="K54" i="1"/>
  <c r="J43" i="1"/>
  <c r="AA43" i="1" s="1"/>
  <c r="J44" i="1"/>
  <c r="AA44" i="1" s="1"/>
  <c r="K44" i="1"/>
  <c r="K53" i="1" l="1"/>
  <c r="M55" i="1"/>
  <c r="N55" i="1" s="1"/>
  <c r="J53" i="1"/>
  <c r="AA53" i="1" s="1"/>
  <c r="L53" i="1"/>
  <c r="AA70" i="1"/>
  <c r="W72" i="1"/>
  <c r="V72" i="1"/>
  <c r="L70" i="1"/>
  <c r="K70" i="1"/>
  <c r="J70" i="1"/>
  <c r="Y52" i="1"/>
  <c r="X52" i="1"/>
  <c r="O59" i="1" l="1"/>
  <c r="W55" i="1"/>
  <c r="Y55" i="1" s="1"/>
  <c r="Q58" i="1"/>
  <c r="O55" i="1"/>
  <c r="P55" i="1"/>
  <c r="X5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tc={5E9A9670-D107-4DD6-BE9F-22B2B0972DA1}</author>
    <author>tc={BB625ECD-A04C-4D1E-8FF6-3FC2D0FC230B}</author>
  </authors>
  <commentList>
    <comment ref="E2" authorId="0" shapeId="0" xr:uid="{5E9A9670-D107-4DD6-BE9F-22B2B0972DA1}">
      <text>
        <t>[Threaded comment]
Your version of Excel allows you to read this threaded comment; however, any edits to it will get removed if the file is opened in a newer version of Excel. Learn more: https://go.microsoft.com/fwlink/?linkid=870924
Comment:
    @Hannah Maral should be one of the following 
Iron ore
Scrap
DRI
Met coal
Coke
Thermal coal
BF gas
COG
BOF gas
Natural gas
Plastic waste
Biomass
Biomethane
Hydrogen
Electricity
Steam
BF slag
Other slag
Process emissions
Emissivity wout CCS
Captured CO2
Used CO2
Emissivity</t>
      </text>
    </comment>
    <comment ref="Q26" authorId="1" shapeId="0" xr:uid="{BB625ECD-A04C-4D1E-8FF6-3FC2D0FC230B}">
      <text>
        <t>[Threaded comment]
Your version of Excel allows you to read this threaded comment; however, any edits to it will get removed if the file is opened in a newer version of Excel. Learn more: https://go.microsoft.com/fwlink/?linkid=870924
Comment:
    Based on stoichiometry of reactions:
1. 3Fe2O3 + H2 -&gt; 2Fe3O4 + H2O
2. 2 Fe3O4 + 2H2 -&gt; 6FeO + 2H2O
3. 6FeO + 6H2 -&gt; 6Fe + 6H2O
Hence, total of 9 moles of H2 (9*2=18g) per 6 moles of Fe (6*56 = 336), which translates into 18/336 = 0.0536 g/g = 53.6 kg H2/t</t>
      </text>
    </comment>
  </commentList>
</comments>
</file>

<file path=xl/sharedStrings.xml><?xml version="1.0" encoding="utf-8"?>
<sst xmlns="http://schemas.openxmlformats.org/spreadsheetml/2006/main" count="821" uniqueCount="176">
  <si>
    <t>Steel Business Cases</t>
  </si>
  <si>
    <t>Section</t>
  </si>
  <si>
    <t>Process</t>
  </si>
  <si>
    <t>Process Detail</t>
  </si>
  <si>
    <t>Step</t>
  </si>
  <si>
    <t>Material Category</t>
  </si>
  <si>
    <t>Unit</t>
  </si>
  <si>
    <t>Non-Furnace</t>
  </si>
  <si>
    <t>Avg BF-BOF</t>
  </si>
  <si>
    <t>BAT BF-BOF</t>
  </si>
  <si>
    <t>BAT BF-BOF_bio PCI</t>
  </si>
  <si>
    <t>BAT BF-BOF_H2 PCI</t>
  </si>
  <si>
    <t>BAT BF-BOF+CCUS</t>
  </si>
  <si>
    <t>DRI-EAF</t>
  </si>
  <si>
    <t>DRI-EAF_50% green H2</t>
  </si>
  <si>
    <t>DRI-EAF_50% bio-CH4</t>
  </si>
  <si>
    <t>DRI-EAF+CCUS</t>
  </si>
  <si>
    <t>DRI-EAF_100% green H2</t>
  </si>
  <si>
    <t>Smelting Reduction</t>
  </si>
  <si>
    <t>Smelting Reduction+CCUS</t>
  </si>
  <si>
    <t>EAF</t>
  </si>
  <si>
    <t>Electrolyzer-EAF</t>
  </si>
  <si>
    <t>BAT BF-BOF+CCU</t>
  </si>
  <si>
    <t>DRI-Melt-BOF</t>
  </si>
  <si>
    <t>DRI-Melt-BOF+CCUS</t>
  </si>
  <si>
    <t>DRI-Melt-BOF_100% zero-C H2</t>
  </si>
  <si>
    <t>Electrowinning-EAF</t>
  </si>
  <si>
    <t>BAT BF-BOF+BECCUS</t>
  </si>
  <si>
    <t>Charcoal mini furnace</t>
  </si>
  <si>
    <t>Parameters</t>
  </si>
  <si>
    <t>Important</t>
  </si>
  <si>
    <t>Scrap steel used for cooling</t>
  </si>
  <si>
    <t>Pulverized Coal (Reductant) Injection</t>
  </si>
  <si>
    <t>Reductant Injection - hydrogen</t>
  </si>
  <si>
    <t>Hydrogen / PCI replacement ratio</t>
  </si>
  <si>
    <t>PCI replacement ratio</t>
  </si>
  <si>
    <t>PCI reductant / coke replacement ratio</t>
  </si>
  <si>
    <t>Supplementary</t>
  </si>
  <si>
    <t>LCV of injected reductant</t>
  </si>
  <si>
    <t>Share of electricity purchased in total demand</t>
  </si>
  <si>
    <t>%</t>
  </si>
  <si>
    <t>CCS Capture rate</t>
  </si>
  <si>
    <t>Oxygen consumption</t>
  </si>
  <si>
    <t>TGR-driven reduction in coal input to BF</t>
  </si>
  <si>
    <t>Coke Oven Gas energy share in Factory Gas</t>
  </si>
  <si>
    <t>Blast Furnace Gas energy share in Factory Gas</t>
  </si>
  <si>
    <t>Coke LCV</t>
  </si>
  <si>
    <t>Mass lost in oxygen furnace</t>
  </si>
  <si>
    <t>Efficiency of on-site power generation</t>
  </si>
  <si>
    <t>Efficiency of steam generation</t>
  </si>
  <si>
    <t>Energy efficiency gain vs Old BF</t>
  </si>
  <si>
    <t>Scrap steel per t of steel produced</t>
  </si>
  <si>
    <t>Share of energy delivered with natural gas</t>
  </si>
  <si>
    <t>Electricity required assuming no preheating</t>
  </si>
  <si>
    <t>DRI metallic Fe concentration</t>
  </si>
  <si>
    <t>% Fe</t>
  </si>
  <si>
    <t>Natural gas combustion efficiency</t>
  </si>
  <si>
    <t>H2 required per 1 t of Fe</t>
  </si>
  <si>
    <t>% of NG mass replaced with H2</t>
  </si>
  <si>
    <t>Amount of methane in NG</t>
  </si>
  <si>
    <t>Enthalpy of iron ore reduction with H2</t>
  </si>
  <si>
    <t>GJ of NG replaced with 1 GJ of H2</t>
  </si>
  <si>
    <t>Hydrogen LCV</t>
  </si>
  <si>
    <t>Natural gas LCV</t>
  </si>
  <si>
    <t>Molar mass of H2</t>
  </si>
  <si>
    <t>Efficiency of electric heating</t>
  </si>
  <si>
    <t>Biomethane share in methane input</t>
  </si>
  <si>
    <t xml:space="preserve">Temperature of DRI pellets when reaching remelter </t>
  </si>
  <si>
    <t>deg C</t>
  </si>
  <si>
    <t>Temperature of DRI after remelter</t>
  </si>
  <si>
    <t>Coke Production</t>
  </si>
  <si>
    <t>Raw Materials</t>
  </si>
  <si>
    <t>Met coal</t>
  </si>
  <si>
    <t>Energy</t>
  </si>
  <si>
    <t>COG</t>
  </si>
  <si>
    <t>BF gas</t>
  </si>
  <si>
    <t>Electricity</t>
  </si>
  <si>
    <t>Steam</t>
  </si>
  <si>
    <t>Sintering</t>
  </si>
  <si>
    <t>Iron ore</t>
  </si>
  <si>
    <t>Thermal coal</t>
  </si>
  <si>
    <t>Pelletisation</t>
  </si>
  <si>
    <t>Natural gas</t>
  </si>
  <si>
    <t>Solid fuels</t>
  </si>
  <si>
    <t xml:space="preserve">Biomethane </t>
  </si>
  <si>
    <t>Blast Furnace</t>
  </si>
  <si>
    <t>Sinter</t>
  </si>
  <si>
    <t>Pellets</t>
  </si>
  <si>
    <t>Coke</t>
  </si>
  <si>
    <t>DRI</t>
  </si>
  <si>
    <t>Biomass</t>
  </si>
  <si>
    <t>Tuyere injection</t>
  </si>
  <si>
    <t>Hydrogen</t>
  </si>
  <si>
    <t>Stoves</t>
  </si>
  <si>
    <t>BOF gas</t>
  </si>
  <si>
    <t>Machine drive</t>
  </si>
  <si>
    <t>Other</t>
  </si>
  <si>
    <t>BF slag</t>
  </si>
  <si>
    <t>Oxygen Generation</t>
  </si>
  <si>
    <t>Basic Oxygen Steelmaking + Casting</t>
  </si>
  <si>
    <t>Hot metal required</t>
  </si>
  <si>
    <t>Scrap</t>
  </si>
  <si>
    <t>Energy-oxygen furnace</t>
  </si>
  <si>
    <t>Energy-casting</t>
  </si>
  <si>
    <t>Other slag</t>
  </si>
  <si>
    <t>Shaft Furnace</t>
  </si>
  <si>
    <t>Coal</t>
  </si>
  <si>
    <t>Biomethane</t>
  </si>
  <si>
    <t>Heating</t>
  </si>
  <si>
    <t>EAF (Steel-making) + Casting</t>
  </si>
  <si>
    <t>DRI - captive</t>
  </si>
  <si>
    <t>Pre-heating and process control</t>
  </si>
  <si>
    <t>Process emissions</t>
  </si>
  <si>
    <t>Limestone</t>
  </si>
  <si>
    <t>Blast furnace lime</t>
  </si>
  <si>
    <t>BOF lime</t>
  </si>
  <si>
    <t>Self-Generation Of Electricity</t>
  </si>
  <si>
    <t>CCS</t>
  </si>
  <si>
    <t>Total CO2 to capture</t>
  </si>
  <si>
    <t>Reboiler duty</t>
  </si>
  <si>
    <t>Compression</t>
  </si>
  <si>
    <t>Captured CO2</t>
  </si>
  <si>
    <t>25 MW Steel</t>
  </si>
  <si>
    <t>Electrolyzer</t>
  </si>
  <si>
    <t>Electrolysis</t>
  </si>
  <si>
    <t>CCU -CO-based</t>
  </si>
  <si>
    <t>CO2</t>
  </si>
  <si>
    <t>CCU -CO2-based</t>
  </si>
  <si>
    <t>Remelt</t>
  </si>
  <si>
    <t>Fuel</t>
  </si>
  <si>
    <t>Used CO2</t>
  </si>
  <si>
    <t>kg reductant / t HM</t>
  </si>
  <si>
    <t>t reductant / t coke</t>
  </si>
  <si>
    <t>t / t coke</t>
  </si>
  <si>
    <t>t / t sinter</t>
  </si>
  <si>
    <t>t / t pellet</t>
  </si>
  <si>
    <t>t / t HM</t>
  </si>
  <si>
    <t>t / t LS</t>
  </si>
  <si>
    <t>t / t DRI</t>
  </si>
  <si>
    <t>t / t Fe</t>
  </si>
  <si>
    <t>GJ / t reductant</t>
  </si>
  <si>
    <t>GJ / t</t>
  </si>
  <si>
    <t>GJ / t LS</t>
  </si>
  <si>
    <t>GJ / t H2</t>
  </si>
  <si>
    <t>GJ / t iron</t>
  </si>
  <si>
    <t>GJ / t coke</t>
  </si>
  <si>
    <t>GJ / t sinter</t>
  </si>
  <si>
    <t>GJ / t pellet</t>
  </si>
  <si>
    <t>GJ / t HM</t>
  </si>
  <si>
    <t>GJ / t DRI</t>
  </si>
  <si>
    <t>GJ / t Fe</t>
  </si>
  <si>
    <t>GJ / t ethanol</t>
  </si>
  <si>
    <t>GJ / GJ</t>
  </si>
  <si>
    <t>GJ / GJ electricity</t>
  </si>
  <si>
    <t>GJ / GJ steam</t>
  </si>
  <si>
    <t>kg / t HM</t>
  </si>
  <si>
    <t>kg / t LS</t>
  </si>
  <si>
    <t>kg H2 / t Fe</t>
  </si>
  <si>
    <t>kg H2 / kg PCI</t>
  </si>
  <si>
    <t>kg / kmol</t>
  </si>
  <si>
    <t>t CO2 / t CO2</t>
  </si>
  <si>
    <t>GJ / t CO2</t>
  </si>
  <si>
    <t>t CO2 / t ethanol</t>
  </si>
  <si>
    <t>t scrap / t LS</t>
  </si>
  <si>
    <t>t coal / t coke</t>
  </si>
  <si>
    <t>t CO2 / t LS</t>
  </si>
  <si>
    <t>kWh / NM3</t>
  </si>
  <si>
    <t>Nm3 / t cs</t>
  </si>
  <si>
    <t>MJ / t*K</t>
  </si>
  <si>
    <t>Smelting Furnace</t>
  </si>
  <si>
    <t>Iron in steel</t>
  </si>
  <si>
    <t>Efficiency of remelter heating</t>
  </si>
  <si>
    <t>Plastic waste</t>
  </si>
  <si>
    <t>Iron heat capacity - solid</t>
  </si>
  <si>
    <t>Iron heat capacity - liquid</t>
  </si>
  <si>
    <t>Iron heat of fusion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</si>
</sst>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x14ac:knownFonts="1">
    <font>
      <sz val="11"/>
      <color theme="1"/>
      <name val="Calibri"/>
      <family val="2"/>
      <scheme val="minor"/>
    </font>
    <font>
      <b/>
      <sz val="11"/>
      <color theme="1"/>
      <name val="Calibri"/>
      <family val="2"/>
      <scheme val="minor"/>
    </font>
    <font>
      <sz val="22"/>
      <color theme="1"/>
      <name val="Calibri"/>
      <family val="2"/>
      <scheme val="minor"/>
    </font>
    <font>
      <b/>
      <u/>
      <sz val="11"/>
      <color theme="1"/>
      <name val="Calibri"/>
      <family val="2"/>
      <scheme val="minor"/>
    </font>
    <font>
      <sz val="11"/>
      <color rgb="FF006100"/>
      <name val="Calibri"/>
      <family val="2"/>
      <scheme val="minor"/>
    </font>
    <font>
      <sz val="11"/>
      <color rgb="FF9C0006"/>
      <name val="Calibri"/>
      <family val="2"/>
      <scheme val="minor"/>
    </font>
    <font>
      <b/>
      <sz val="11"/>
      <color theme="2"/>
      <name val="Calibri"/>
      <family val="2"/>
      <scheme val="minor"/>
    </font>
    <font>
      <sz val="11"/>
      <name val="Calibri"/>
      <family val="2"/>
      <scheme val="minor"/>
    </font>
    <font>
      <b/>
      <sz val="11"/>
      <name val="Calibri"/>
      <family val="2"/>
      <scheme val="minor"/>
    </font>
  </fonts>
  <fills count="4">
    <fill>
      <patternFill patternType="none"/>
    </fill>
    <fill>
      <patternFill patternType="gray125"/>
    </fill>
    <fill>
      <patternFill patternType="solid">
        <fgColor rgb="FFC6EFCE"/>
      </patternFill>
    </fill>
    <fill>
      <patternFill patternType="solid">
        <fgColor rgb="FFFFC7CE"/>
      </patternFill>
    </fill>
  </fills>
  <borders count="1">
    <border>
      <left/>
      <right/>
      <top/>
      <bottom/>
      <diagonal/>
    </border>
  </borders>
  <cellStyleXfs count="3">
    <xf numFmtId="0" fontId="0" fillId="0" borderId="0"/>
    <xf numFmtId="0" fontId="4" fillId="2" borderId="0" applyNumberFormat="0" applyBorder="0" applyAlignment="0" applyProtection="0"/>
    <xf numFmtId="0" fontId="5" fillId="3" borderId="0" applyNumberFormat="0" applyBorder="0" applyAlignment="0" applyProtection="0"/>
  </cellStyleXfs>
  <cellXfs count="20">
    <xf numFmtId="0" fontId="0" fillId="0" borderId="0" xfId="0"/>
    <xf numFmtId="0" fontId="2" fillId="0" borderId="0" xfId="0" applyFont="1"/>
    <xf numFmtId="0" fontId="3" fillId="0" borderId="0" xfId="0" applyFont="1"/>
    <xf numFmtId="0" fontId="1" fillId="0" borderId="0" xfId="0" applyFont="1" applyAlignment="1">
      <alignment horizontal="center" textRotation="90"/>
    </xf>
    <xf numFmtId="9" fontId="0" fillId="0" borderId="0" xfId="0" applyNumberFormat="1"/>
    <xf numFmtId="0" fontId="0" fillId="0" borderId="0" xfId="0" quotePrefix="1"/>
    <xf numFmtId="0" fontId="0" fillId="0" borderId="0" xfId="0" applyAlignment="1">
      <alignment horizontal="left" vertical="center"/>
    </xf>
    <xf numFmtId="0" fontId="5" fillId="3" borderId="0" xfId="2"/>
    <xf numFmtId="0" fontId="6" fillId="0" borderId="0" xfId="0" applyFont="1" applyAlignment="1">
      <alignment horizontal="center" textRotation="90"/>
    </xf>
    <xf numFmtId="0" fontId="7" fillId="0" borderId="0" xfId="0" applyFont="1"/>
    <xf numFmtId="0" fontId="8" fillId="0" borderId="0" xfId="0" applyFont="1" applyAlignment="1">
      <alignment horizontal="center" textRotation="90"/>
    </xf>
    <xf numFmtId="9" fontId="7" fillId="0" borderId="0" xfId="0" applyNumberFormat="1" applyFont="1"/>
    <xf numFmtId="2" fontId="7" fillId="0" borderId="0" xfId="0" applyNumberFormat="1" applyFont="1"/>
    <xf numFmtId="1" fontId="7" fillId="0" borderId="0" xfId="0" applyNumberFormat="1" applyFont="1"/>
    <xf numFmtId="2" fontId="7" fillId="3" borderId="0" xfId="2" applyNumberFormat="1" applyFont="1"/>
    <xf numFmtId="0" fontId="7" fillId="3" borderId="0" xfId="2" applyFont="1"/>
    <xf numFmtId="2" fontId="7" fillId="2" borderId="0" xfId="1" applyNumberFormat="1" applyFont="1"/>
    <xf numFmtId="164" fontId="7" fillId="0" borderId="0" xfId="0" applyNumberFormat="1" applyFont="1"/>
    <xf numFmtId="164" fontId="7" fillId="3" borderId="0" xfId="2" applyNumberFormat="1" applyFont="1"/>
    <xf numFmtId="9" fontId="7" fillId="3" borderId="0" xfId="2" applyNumberFormat="1" applyFont="1"/>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Hannah Maral" id="{79C54B45-4529-466C-899F-9255A468143D}" userId="hannah.maral@systemiq.earth" providerId="PeoplePicker"/>
  <person displayName="Hannah Maral" id="{F820716F-A7D7-4239-B571-09E09B4F50FA}" userId="S::hannah.maral@systemiq.earth::c3fb30d1-382a-49df-b1e2-426cc94c068f" providerId="AD"/>
  <person displayName="Andrew Isabirye" id="{1910EF16-BD85-4D13-93DA-AE46D8C75A12}" userId="S::Andrew.Isabirye@systemiq.earth::13d04113-49bf-4d00-ac89-37d471f6857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 dT="2021-11-13T11:24:11.44" personId="{1910EF16-BD85-4D13-93DA-AE46D8C75A12}" id="{5E9A9670-D107-4DD6-BE9F-22B2B0972DA1}" done="1">
    <text>@Hannah Maral should be one of the following 
Iron ore
Scrap
DRI
Met coal
Coke
Thermal coal
BF gas
COG
BOF gas
Natural gas
Plastic waste
Biomass
Biomethane
Hydrogen
Electricity
Steam
BF slag
Other slag
Process emissions
Emissivity wout CCS
Captured CO2
Used CO2
Emissivity</text>
    <mentions>
      <mention mentionpersonId="{79C54B45-4529-466C-899F-9255A468143D}" mentionId="{CB7A01C4-CF79-42B5-B554-67AE09384B7C}" startIndex="0" length="13"/>
    </mentions>
  </threadedComment>
  <threadedComment ref="Q26" dT="2021-11-09T12:09:45.72" personId="{F820716F-A7D7-4239-B571-09E09B4F50FA}" id="{BB625ECD-A04C-4D1E-8FF6-3FC2D0FC230B}">
    <text>Based on stoichiometry of reactions:
1. 3Fe2O3 + H2 -&gt; 2Fe3O4 + H2O
2. 2 Fe3O4 + 2H2 -&gt; 6FeO + 2H2O
3. 6FeO + 6H2 -&gt; 6Fe + 6H2O
Hence, total of 9 moles of H2 (9*2=18g) per 6 moles of Fe (6*56 = 336), which translates into 18/336 = 0.0536 g/g = 53.6 kg H2/t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4BE5B-48FB-4F9E-83ED-5B539B3F5C30}">
  <sheetPr filterMode="1"/>
  <dimension ref="A1:AB161"/>
  <sheetViews>
    <sheetView tabSelected="1" zoomScale="80" zoomScaleNormal="80" workbookViewId="0">
      <pane xSplit="6" ySplit="2" topLeftCell="G3" activePane="bottomRight" state="frozen"/>
      <selection pane="topRight" activeCell="G1" sqref="G1"/>
      <selection pane="bottomLeft" activeCell="A4" sqref="A4"/>
      <selection pane="bottomRight" activeCell="D10" sqref="D10"/>
    </sheetView>
  </sheetViews>
  <sheetFormatPr defaultRowHeight="14.35" x14ac:dyDescent="0.5"/>
  <cols>
    <col min="1" max="1" width="25" bestFit="1" customWidth="1"/>
    <col min="2" max="2" width="30.52734375" bestFit="1" customWidth="1"/>
    <col min="3" max="3" width="30.52734375" customWidth="1"/>
    <col min="4" max="4" width="39.52734375" bestFit="1" customWidth="1"/>
    <col min="5" max="5" width="26" customWidth="1"/>
    <col min="6" max="6" width="17.29296875" bestFit="1" customWidth="1"/>
    <col min="7" max="7" width="7.52734375" customWidth="1"/>
    <col min="8" max="8" width="9.17578125" style="9" customWidth="1"/>
    <col min="9" max="9" width="14.17578125" style="9" bestFit="1" customWidth="1"/>
    <col min="10" max="10" width="11.17578125" style="9" bestFit="1" customWidth="1"/>
    <col min="11" max="11" width="14.17578125" style="9" bestFit="1" customWidth="1"/>
    <col min="12" max="12" width="11.17578125" style="9" bestFit="1" customWidth="1"/>
    <col min="13" max="16" width="9.17578125" style="9" customWidth="1"/>
    <col min="17" max="17" width="9.703125" style="9" bestFit="1" customWidth="1"/>
    <col min="18" max="19" width="11.17578125" style="9" bestFit="1" customWidth="1"/>
    <col min="20" max="20" width="9.17578125" style="9" customWidth="1"/>
    <col min="21" max="21" width="14.17578125" style="9" bestFit="1" customWidth="1"/>
    <col min="22" max="22" width="11.17578125" style="9" bestFit="1" customWidth="1"/>
    <col min="23" max="23" width="14.17578125" style="9" bestFit="1" customWidth="1"/>
    <col min="24" max="26" width="9.17578125" style="9" customWidth="1"/>
    <col min="27" max="27" width="11.17578125" style="9" bestFit="1" customWidth="1"/>
  </cols>
  <sheetData>
    <row r="1" spans="1:28" ht="35.25" customHeight="1" x14ac:dyDescent="0.95">
      <c r="A1" s="1" t="s">
        <v>0</v>
      </c>
    </row>
    <row r="2" spans="1:28" ht="146" x14ac:dyDescent="0.5">
      <c r="A2" s="2" t="s">
        <v>1</v>
      </c>
      <c r="B2" s="2" t="s">
        <v>2</v>
      </c>
      <c r="C2" s="2" t="s">
        <v>3</v>
      </c>
      <c r="D2" s="2" t="s">
        <v>4</v>
      </c>
      <c r="E2" s="2" t="s">
        <v>5</v>
      </c>
      <c r="F2" s="2" t="s">
        <v>6</v>
      </c>
      <c r="G2" s="3" t="s">
        <v>7</v>
      </c>
      <c r="H2" s="10" t="s">
        <v>8</v>
      </c>
      <c r="I2" s="10" t="s">
        <v>9</v>
      </c>
      <c r="J2" s="10" t="s">
        <v>10</v>
      </c>
      <c r="K2" s="10" t="s">
        <v>11</v>
      </c>
      <c r="L2" s="10" t="s">
        <v>12</v>
      </c>
      <c r="M2" s="10" t="s">
        <v>13</v>
      </c>
      <c r="N2" s="10" t="s">
        <v>14</v>
      </c>
      <c r="O2" s="10" t="s">
        <v>15</v>
      </c>
      <c r="P2" s="10" t="s">
        <v>16</v>
      </c>
      <c r="Q2" s="10" t="s">
        <v>17</v>
      </c>
      <c r="R2" s="10" t="s">
        <v>18</v>
      </c>
      <c r="S2" s="10" t="s">
        <v>19</v>
      </c>
      <c r="T2" s="10" t="s">
        <v>20</v>
      </c>
      <c r="U2" s="10" t="s">
        <v>21</v>
      </c>
      <c r="V2" s="10" t="s">
        <v>22</v>
      </c>
      <c r="W2" s="10" t="s">
        <v>23</v>
      </c>
      <c r="X2" s="10" t="s">
        <v>24</v>
      </c>
      <c r="Y2" s="10" t="s">
        <v>25</v>
      </c>
      <c r="Z2" s="10" t="s">
        <v>26</v>
      </c>
      <c r="AA2" s="10" t="s">
        <v>27</v>
      </c>
      <c r="AB2" s="8" t="s">
        <v>28</v>
      </c>
    </row>
    <row r="3" spans="1:28" hidden="1" x14ac:dyDescent="0.5">
      <c r="A3" t="s">
        <v>29</v>
      </c>
      <c r="B3" t="s">
        <v>29</v>
      </c>
      <c r="C3" t="s">
        <v>30</v>
      </c>
      <c r="D3" t="s">
        <v>31</v>
      </c>
      <c r="F3" t="s">
        <v>163</v>
      </c>
      <c r="H3" s="9">
        <v>0.16500000000000001</v>
      </c>
      <c r="I3" s="12">
        <v>0.3</v>
      </c>
      <c r="J3" s="12">
        <v>0.3</v>
      </c>
      <c r="K3" s="12">
        <v>0.3</v>
      </c>
      <c r="L3" s="12">
        <v>0.3</v>
      </c>
      <c r="R3" s="12">
        <f>I3</f>
        <v>0.3</v>
      </c>
      <c r="S3" s="12">
        <f>R3</f>
        <v>0.3</v>
      </c>
      <c r="V3" s="9">
        <v>0.3</v>
      </c>
      <c r="AA3" s="9">
        <v>0.3</v>
      </c>
    </row>
    <row r="4" spans="1:28" hidden="1" x14ac:dyDescent="0.5">
      <c r="A4" t="s">
        <v>29</v>
      </c>
      <c r="B4" t="s">
        <v>29</v>
      </c>
      <c r="C4" t="s">
        <v>30</v>
      </c>
      <c r="D4" t="s">
        <v>32</v>
      </c>
      <c r="F4" t="s">
        <v>131</v>
      </c>
      <c r="H4" s="9">
        <v>195</v>
      </c>
      <c r="I4" s="12">
        <v>230</v>
      </c>
      <c r="J4" s="12">
        <v>270</v>
      </c>
      <c r="L4" s="12">
        <v>270</v>
      </c>
      <c r="V4" s="9">
        <v>270</v>
      </c>
      <c r="AA4" s="9">
        <v>270</v>
      </c>
    </row>
    <row r="5" spans="1:28" hidden="1" x14ac:dyDescent="0.5">
      <c r="A5" t="s">
        <v>29</v>
      </c>
      <c r="B5" t="s">
        <v>29</v>
      </c>
      <c r="C5" t="s">
        <v>30</v>
      </c>
      <c r="D5" t="s">
        <v>33</v>
      </c>
      <c r="F5" t="s">
        <v>131</v>
      </c>
      <c r="I5" s="12"/>
      <c r="J5" s="12"/>
      <c r="K5" s="12">
        <v>27.5</v>
      </c>
    </row>
    <row r="6" spans="1:28" hidden="1" x14ac:dyDescent="0.5">
      <c r="A6" t="s">
        <v>29</v>
      </c>
      <c r="B6" t="s">
        <v>29</v>
      </c>
      <c r="C6" t="s">
        <v>30</v>
      </c>
      <c r="D6" t="s">
        <v>34</v>
      </c>
      <c r="F6" t="s">
        <v>158</v>
      </c>
      <c r="I6" s="12"/>
      <c r="J6" s="12"/>
      <c r="K6" s="12">
        <f>27.5/120</f>
        <v>0.22916666666666666</v>
      </c>
    </row>
    <row r="7" spans="1:28" hidden="1" x14ac:dyDescent="0.5">
      <c r="A7" t="s">
        <v>29</v>
      </c>
      <c r="B7" t="s">
        <v>29</v>
      </c>
      <c r="C7" t="s">
        <v>30</v>
      </c>
      <c r="D7" t="s">
        <v>35</v>
      </c>
      <c r="F7" t="s">
        <v>164</v>
      </c>
      <c r="I7" s="12"/>
      <c r="J7" s="12"/>
      <c r="K7" s="12">
        <f>I8</f>
        <v>0.9</v>
      </c>
    </row>
    <row r="8" spans="1:28" hidden="1" x14ac:dyDescent="0.5">
      <c r="A8" t="s">
        <v>29</v>
      </c>
      <c r="B8" t="s">
        <v>29</v>
      </c>
      <c r="C8" t="s">
        <v>30</v>
      </c>
      <c r="D8" t="s">
        <v>36</v>
      </c>
      <c r="F8" t="s">
        <v>132</v>
      </c>
      <c r="H8" s="9">
        <v>0.9</v>
      </c>
      <c r="I8" s="12">
        <f>H8</f>
        <v>0.9</v>
      </c>
      <c r="J8" s="12">
        <v>0.85</v>
      </c>
      <c r="L8" s="12">
        <f>I8</f>
        <v>0.9</v>
      </c>
      <c r="V8" s="12">
        <f>I8</f>
        <v>0.9</v>
      </c>
      <c r="AA8" s="9">
        <v>0.9</v>
      </c>
    </row>
    <row r="9" spans="1:28" hidden="1" x14ac:dyDescent="0.5">
      <c r="A9" t="s">
        <v>29</v>
      </c>
      <c r="B9" t="s">
        <v>29</v>
      </c>
      <c r="C9" t="s">
        <v>37</v>
      </c>
      <c r="D9" t="s">
        <v>38</v>
      </c>
      <c r="F9" t="s">
        <v>140</v>
      </c>
      <c r="H9" s="9">
        <v>23</v>
      </c>
      <c r="I9" s="9">
        <f>H9</f>
        <v>23</v>
      </c>
      <c r="J9" s="12">
        <v>28.4</v>
      </c>
      <c r="K9" s="12">
        <v>120</v>
      </c>
      <c r="L9" s="9">
        <f>H9</f>
        <v>23</v>
      </c>
      <c r="V9" s="9">
        <v>40</v>
      </c>
      <c r="AA9" s="9">
        <v>28.4</v>
      </c>
    </row>
    <row r="10" spans="1:28" x14ac:dyDescent="0.5">
      <c r="A10" t="s">
        <v>29</v>
      </c>
      <c r="B10" t="s">
        <v>29</v>
      </c>
      <c r="C10" t="s">
        <v>30</v>
      </c>
      <c r="D10" t="s">
        <v>39</v>
      </c>
      <c r="F10" t="s">
        <v>40</v>
      </c>
      <c r="H10" s="9">
        <v>0</v>
      </c>
      <c r="I10" s="9">
        <f>H10</f>
        <v>0</v>
      </c>
      <c r="J10" s="9">
        <f>H10</f>
        <v>0</v>
      </c>
      <c r="L10" s="11">
        <f>V10</f>
        <v>0.01</v>
      </c>
      <c r="R10" s="11">
        <v>0.94</v>
      </c>
      <c r="S10" s="11">
        <v>0.96</v>
      </c>
      <c r="V10" s="19">
        <v>0.01</v>
      </c>
      <c r="AA10" s="15">
        <v>0.4</v>
      </c>
    </row>
    <row r="11" spans="1:28" hidden="1" x14ac:dyDescent="0.5">
      <c r="A11" t="s">
        <v>29</v>
      </c>
      <c r="B11" t="s">
        <v>29</v>
      </c>
      <c r="C11" t="s">
        <v>30</v>
      </c>
      <c r="D11" t="s">
        <v>41</v>
      </c>
      <c r="F11" t="s">
        <v>40</v>
      </c>
      <c r="L11" s="9">
        <v>0.9</v>
      </c>
      <c r="P11" s="9">
        <v>0.9</v>
      </c>
      <c r="S11" s="9">
        <v>0.9</v>
      </c>
      <c r="V11" s="9">
        <v>0.9</v>
      </c>
      <c r="AA11" s="9">
        <v>0.9</v>
      </c>
    </row>
    <row r="12" spans="1:28" hidden="1" x14ac:dyDescent="0.5">
      <c r="A12" t="s">
        <v>29</v>
      </c>
      <c r="B12" t="s">
        <v>29</v>
      </c>
      <c r="C12" t="s">
        <v>30</v>
      </c>
      <c r="D12" t="s">
        <v>42</v>
      </c>
      <c r="F12" t="s">
        <v>167</v>
      </c>
      <c r="H12" s="9">
        <f>54+60</f>
        <v>114</v>
      </c>
      <c r="I12" s="12">
        <f>H12</f>
        <v>114</v>
      </c>
      <c r="R12" s="9">
        <v>764</v>
      </c>
      <c r="S12" s="9">
        <f>R12</f>
        <v>764</v>
      </c>
      <c r="W12" s="9">
        <v>50</v>
      </c>
      <c r="X12" s="9">
        <f>W12</f>
        <v>50</v>
      </c>
      <c r="Y12" s="9">
        <f>W12</f>
        <v>50</v>
      </c>
    </row>
    <row r="13" spans="1:28" hidden="1" x14ac:dyDescent="0.5">
      <c r="A13" t="s">
        <v>29</v>
      </c>
      <c r="B13" t="s">
        <v>29</v>
      </c>
      <c r="C13" t="s">
        <v>30</v>
      </c>
      <c r="D13" t="s">
        <v>43</v>
      </c>
      <c r="F13" t="s">
        <v>40</v>
      </c>
      <c r="I13" s="12">
        <v>0.15</v>
      </c>
    </row>
    <row r="14" spans="1:28" hidden="1" x14ac:dyDescent="0.5">
      <c r="A14" t="s">
        <v>29</v>
      </c>
      <c r="B14" t="s">
        <v>29</v>
      </c>
      <c r="C14" t="s">
        <v>37</v>
      </c>
      <c r="D14" t="s">
        <v>44</v>
      </c>
      <c r="F14" t="s">
        <v>40</v>
      </c>
      <c r="H14" s="11">
        <v>0.4</v>
      </c>
      <c r="I14" s="11">
        <f>H14</f>
        <v>0.4</v>
      </c>
      <c r="J14" s="11">
        <f>I14</f>
        <v>0.4</v>
      </c>
      <c r="K14" s="11">
        <f>I14</f>
        <v>0.4</v>
      </c>
      <c r="L14" s="11">
        <f>I14</f>
        <v>0.4</v>
      </c>
      <c r="V14" s="19">
        <f>I14</f>
        <v>0.4</v>
      </c>
      <c r="AA14" s="19">
        <v>0.4</v>
      </c>
    </row>
    <row r="15" spans="1:28" hidden="1" x14ac:dyDescent="0.5">
      <c r="A15" t="s">
        <v>29</v>
      </c>
      <c r="B15" t="s">
        <v>29</v>
      </c>
      <c r="C15" t="s">
        <v>37</v>
      </c>
      <c r="D15" t="s">
        <v>45</v>
      </c>
      <c r="F15" t="s">
        <v>40</v>
      </c>
      <c r="H15" s="11">
        <f>1-H14</f>
        <v>0.6</v>
      </c>
      <c r="I15" s="11">
        <f>H15</f>
        <v>0.6</v>
      </c>
      <c r="J15" s="11">
        <f>I15</f>
        <v>0.6</v>
      </c>
      <c r="K15" s="11">
        <f>1-K14</f>
        <v>0.6</v>
      </c>
      <c r="L15" s="11">
        <f>1-L14</f>
        <v>0.6</v>
      </c>
      <c r="V15" s="19">
        <v>0.6</v>
      </c>
      <c r="AA15" s="19">
        <v>0.6</v>
      </c>
    </row>
    <row r="16" spans="1:28" hidden="1" x14ac:dyDescent="0.5">
      <c r="A16" t="s">
        <v>29</v>
      </c>
      <c r="B16" t="s">
        <v>29</v>
      </c>
      <c r="C16" t="s">
        <v>37</v>
      </c>
      <c r="D16" t="s">
        <v>46</v>
      </c>
      <c r="F16" t="s">
        <v>141</v>
      </c>
      <c r="H16" s="12">
        <v>26</v>
      </c>
      <c r="I16" s="12">
        <v>26</v>
      </c>
      <c r="J16" s="12">
        <f>I16</f>
        <v>26</v>
      </c>
      <c r="K16" s="12">
        <f>I16</f>
        <v>26</v>
      </c>
      <c r="L16" s="12">
        <v>26</v>
      </c>
      <c r="V16" s="9">
        <v>26</v>
      </c>
      <c r="AA16" s="9">
        <v>26</v>
      </c>
    </row>
    <row r="17" spans="1:27" hidden="1" x14ac:dyDescent="0.5">
      <c r="A17" t="s">
        <v>29</v>
      </c>
      <c r="B17" t="s">
        <v>29</v>
      </c>
      <c r="C17" t="s">
        <v>30</v>
      </c>
      <c r="D17" t="s">
        <v>47</v>
      </c>
      <c r="F17" t="s">
        <v>40</v>
      </c>
      <c r="H17" s="12">
        <v>0.08</v>
      </c>
      <c r="I17" s="12">
        <f>H17</f>
        <v>0.08</v>
      </c>
      <c r="J17" s="12">
        <f>I17</f>
        <v>0.08</v>
      </c>
      <c r="K17" s="12">
        <f>I17</f>
        <v>0.08</v>
      </c>
      <c r="L17" s="12">
        <f>I17</f>
        <v>0.08</v>
      </c>
      <c r="R17" s="12">
        <f>H17</f>
        <v>0.08</v>
      </c>
      <c r="S17" s="12">
        <f>H17</f>
        <v>0.08</v>
      </c>
      <c r="V17" s="12">
        <f>I17</f>
        <v>0.08</v>
      </c>
      <c r="W17" s="11">
        <v>0.05</v>
      </c>
      <c r="X17" s="11">
        <f>W17</f>
        <v>0.05</v>
      </c>
      <c r="Y17" s="11">
        <f>W17</f>
        <v>0.05</v>
      </c>
      <c r="AA17" s="12">
        <f>V17</f>
        <v>0.08</v>
      </c>
    </row>
    <row r="18" spans="1:27" hidden="1" x14ac:dyDescent="0.5">
      <c r="A18" t="s">
        <v>29</v>
      </c>
      <c r="B18" t="s">
        <v>29</v>
      </c>
      <c r="C18" t="s">
        <v>30</v>
      </c>
      <c r="D18" t="s">
        <v>48</v>
      </c>
      <c r="F18" t="s">
        <v>40</v>
      </c>
      <c r="H18" s="12">
        <v>0.4</v>
      </c>
      <c r="I18" s="12">
        <v>0.5</v>
      </c>
      <c r="J18" s="12">
        <f>I18</f>
        <v>0.5</v>
      </c>
      <c r="K18" s="12">
        <f>I18</f>
        <v>0.5</v>
      </c>
      <c r="L18" s="12">
        <v>0.5</v>
      </c>
      <c r="R18" s="12">
        <f>I18</f>
        <v>0.5</v>
      </c>
      <c r="S18" s="12">
        <f>R18</f>
        <v>0.5</v>
      </c>
      <c r="V18" s="9">
        <v>0.5</v>
      </c>
      <c r="AA18" s="9">
        <v>0.5</v>
      </c>
    </row>
    <row r="19" spans="1:27" hidden="1" x14ac:dyDescent="0.5">
      <c r="A19" t="s">
        <v>29</v>
      </c>
      <c r="B19" t="s">
        <v>29</v>
      </c>
      <c r="C19" t="s">
        <v>37</v>
      </c>
      <c r="D19" t="s">
        <v>49</v>
      </c>
      <c r="F19" t="s">
        <v>40</v>
      </c>
      <c r="H19" s="13">
        <v>1000000</v>
      </c>
      <c r="I19" s="12">
        <v>100000</v>
      </c>
      <c r="J19" s="12">
        <v>100000</v>
      </c>
      <c r="K19" s="12">
        <v>100000</v>
      </c>
      <c r="L19" s="12">
        <v>100000</v>
      </c>
      <c r="R19" s="12">
        <v>100000</v>
      </c>
      <c r="S19" s="12">
        <v>100000</v>
      </c>
      <c r="V19" s="12">
        <v>100000</v>
      </c>
      <c r="AA19" s="12">
        <v>100000</v>
      </c>
    </row>
    <row r="20" spans="1:27" hidden="1" x14ac:dyDescent="0.5">
      <c r="A20" t="s">
        <v>29</v>
      </c>
      <c r="B20" t="s">
        <v>29</v>
      </c>
      <c r="C20" t="s">
        <v>30</v>
      </c>
      <c r="D20" t="s">
        <v>50</v>
      </c>
      <c r="F20" t="s">
        <v>40</v>
      </c>
      <c r="I20" s="12">
        <v>0.1</v>
      </c>
      <c r="J20" s="12">
        <f>I20</f>
        <v>0.1</v>
      </c>
      <c r="K20" s="12">
        <f>I20</f>
        <v>0.1</v>
      </c>
      <c r="L20" s="14">
        <v>0.3</v>
      </c>
      <c r="V20" s="9">
        <v>0.3</v>
      </c>
      <c r="AA20" s="9">
        <v>0.3</v>
      </c>
    </row>
    <row r="21" spans="1:27" hidden="1" x14ac:dyDescent="0.5">
      <c r="A21" t="s">
        <v>29</v>
      </c>
      <c r="B21" t="s">
        <v>29</v>
      </c>
      <c r="C21" t="s">
        <v>30</v>
      </c>
      <c r="D21" t="s">
        <v>51</v>
      </c>
      <c r="F21" t="s">
        <v>163</v>
      </c>
      <c r="I21" s="12"/>
      <c r="J21" s="12"/>
      <c r="K21" s="12"/>
      <c r="L21" s="12"/>
      <c r="M21" s="12">
        <v>1.23</v>
      </c>
      <c r="P21" s="9">
        <v>1.1160000000000001</v>
      </c>
      <c r="T21" s="9">
        <v>1.1160000000000001</v>
      </c>
      <c r="U21" s="9">
        <v>1.23</v>
      </c>
      <c r="Z21" s="9">
        <v>1.23</v>
      </c>
    </row>
    <row r="22" spans="1:27" hidden="1" x14ac:dyDescent="0.5">
      <c r="A22" t="s">
        <v>29</v>
      </c>
      <c r="B22" t="s">
        <v>29</v>
      </c>
      <c r="C22" t="s">
        <v>30</v>
      </c>
      <c r="D22" t="s">
        <v>52</v>
      </c>
      <c r="F22" t="s">
        <v>40</v>
      </c>
      <c r="I22" s="12"/>
      <c r="J22" s="12"/>
      <c r="K22" s="12"/>
      <c r="L22" s="12"/>
      <c r="M22" s="12">
        <v>0</v>
      </c>
    </row>
    <row r="23" spans="1:27" hidden="1" x14ac:dyDescent="0.5">
      <c r="A23" t="s">
        <v>29</v>
      </c>
      <c r="B23" t="s">
        <v>29</v>
      </c>
      <c r="C23" t="s">
        <v>30</v>
      </c>
      <c r="D23" t="s">
        <v>53</v>
      </c>
      <c r="F23" t="s">
        <v>142</v>
      </c>
      <c r="I23" s="12"/>
      <c r="J23" s="12"/>
      <c r="K23" s="12"/>
      <c r="L23" s="12"/>
      <c r="M23" s="12">
        <v>2.69</v>
      </c>
      <c r="N23" s="15"/>
      <c r="O23" s="15"/>
      <c r="P23" s="12">
        <v>2.69</v>
      </c>
      <c r="Q23" s="15"/>
      <c r="T23" s="9">
        <v>2.69</v>
      </c>
      <c r="U23" s="9">
        <v>2.69</v>
      </c>
      <c r="Z23" s="9">
        <v>2.69</v>
      </c>
    </row>
    <row r="24" spans="1:27" hidden="1" x14ac:dyDescent="0.5">
      <c r="A24" t="s">
        <v>29</v>
      </c>
      <c r="B24" t="s">
        <v>29</v>
      </c>
      <c r="C24" t="s">
        <v>30</v>
      </c>
      <c r="D24" t="s">
        <v>54</v>
      </c>
      <c r="F24" t="s">
        <v>55</v>
      </c>
      <c r="I24" s="12"/>
      <c r="J24" s="12"/>
      <c r="K24" s="12"/>
      <c r="L24" s="12"/>
      <c r="M24" s="12">
        <v>0.88</v>
      </c>
    </row>
    <row r="25" spans="1:27" hidden="1" x14ac:dyDescent="0.5">
      <c r="A25" t="s">
        <v>29</v>
      </c>
      <c r="B25" t="s">
        <v>29</v>
      </c>
      <c r="C25" t="s">
        <v>37</v>
      </c>
      <c r="D25" t="s">
        <v>56</v>
      </c>
      <c r="F25" s="5" t="s">
        <v>40</v>
      </c>
      <c r="I25" s="12"/>
      <c r="J25" s="12"/>
      <c r="K25" s="12"/>
      <c r="L25" s="12"/>
      <c r="M25" s="11">
        <f>1250/1450</f>
        <v>0.86206896551724133</v>
      </c>
      <c r="P25" s="11">
        <f>1250/1450</f>
        <v>0.86206896551724133</v>
      </c>
      <c r="T25" s="11">
        <f>1250/1450</f>
        <v>0.86206896551724133</v>
      </c>
      <c r="U25" s="11">
        <f>1250/1450</f>
        <v>0.86206896551724133</v>
      </c>
      <c r="W25" s="11">
        <f>1250/1450</f>
        <v>0.86206896551724133</v>
      </c>
      <c r="X25" s="11">
        <f>1250/1450</f>
        <v>0.86206896551724133</v>
      </c>
      <c r="Y25" s="11">
        <f>1250/1450</f>
        <v>0.86206896551724133</v>
      </c>
      <c r="Z25" s="11">
        <f>1250/1450</f>
        <v>0.86206896551724133</v>
      </c>
    </row>
    <row r="26" spans="1:27" hidden="1" x14ac:dyDescent="0.5">
      <c r="A26" t="s">
        <v>29</v>
      </c>
      <c r="B26" t="s">
        <v>29</v>
      </c>
      <c r="C26" t="s">
        <v>30</v>
      </c>
      <c r="D26" t="s">
        <v>57</v>
      </c>
      <c r="F26" t="s">
        <v>157</v>
      </c>
      <c r="I26" s="12"/>
      <c r="J26" s="12"/>
      <c r="K26" s="12"/>
      <c r="L26" s="12"/>
      <c r="M26" s="11"/>
      <c r="N26" s="12">
        <f>Q26</f>
        <v>63</v>
      </c>
      <c r="Q26" s="12">
        <v>63</v>
      </c>
    </row>
    <row r="27" spans="1:27" hidden="1" x14ac:dyDescent="0.5">
      <c r="A27" t="s">
        <v>29</v>
      </c>
      <c r="B27" t="s">
        <v>29</v>
      </c>
      <c r="C27" t="s">
        <v>30</v>
      </c>
      <c r="D27" t="s">
        <v>58</v>
      </c>
      <c r="F27" t="s">
        <v>40</v>
      </c>
      <c r="I27" s="12"/>
      <c r="J27" s="12"/>
      <c r="K27" s="12"/>
      <c r="L27" s="12"/>
      <c r="M27" s="11"/>
      <c r="N27" s="11">
        <v>0.5</v>
      </c>
      <c r="Q27" s="11">
        <v>1</v>
      </c>
    </row>
    <row r="28" spans="1:27" hidden="1" x14ac:dyDescent="0.5">
      <c r="A28" t="s">
        <v>29</v>
      </c>
      <c r="B28" t="s">
        <v>29</v>
      </c>
      <c r="C28" t="s">
        <v>30</v>
      </c>
      <c r="D28" t="s">
        <v>59</v>
      </c>
      <c r="F28" t="s">
        <v>40</v>
      </c>
      <c r="I28" s="12"/>
      <c r="J28" s="12"/>
      <c r="K28" s="12"/>
      <c r="L28" s="12"/>
      <c r="M28" s="11"/>
      <c r="N28" s="11">
        <v>0.97</v>
      </c>
      <c r="Q28" s="11">
        <v>0.97</v>
      </c>
    </row>
    <row r="29" spans="1:27" hidden="1" x14ac:dyDescent="0.5">
      <c r="A29" t="s">
        <v>29</v>
      </c>
      <c r="B29" t="s">
        <v>29</v>
      </c>
      <c r="C29" t="s">
        <v>30</v>
      </c>
      <c r="D29" t="s">
        <v>60</v>
      </c>
      <c r="F29" t="s">
        <v>143</v>
      </c>
      <c r="I29" s="12"/>
      <c r="J29" s="12"/>
      <c r="K29" s="12"/>
      <c r="L29" s="12"/>
      <c r="M29" s="11"/>
      <c r="Q29" s="12">
        <f>24.3/2</f>
        <v>12.15</v>
      </c>
    </row>
    <row r="30" spans="1:27" hidden="1" x14ac:dyDescent="0.5">
      <c r="A30" t="s">
        <v>29</v>
      </c>
      <c r="B30" t="s">
        <v>29</v>
      </c>
      <c r="C30" t="s">
        <v>37</v>
      </c>
      <c r="D30" t="s">
        <v>61</v>
      </c>
      <c r="F30" t="s">
        <v>152</v>
      </c>
      <c r="I30" s="12"/>
      <c r="J30" s="12"/>
      <c r="K30" s="12"/>
      <c r="L30" s="12"/>
      <c r="M30" s="11"/>
    </row>
    <row r="31" spans="1:27" hidden="1" x14ac:dyDescent="0.5">
      <c r="A31" t="s">
        <v>29</v>
      </c>
      <c r="B31" t="s">
        <v>29</v>
      </c>
      <c r="C31" t="s">
        <v>37</v>
      </c>
      <c r="D31" t="s">
        <v>62</v>
      </c>
      <c r="F31" s="5" t="s">
        <v>141</v>
      </c>
      <c r="I31" s="12"/>
      <c r="J31" s="12"/>
      <c r="K31" s="12"/>
      <c r="L31" s="12"/>
      <c r="M31" s="11"/>
      <c r="N31" s="12">
        <v>120</v>
      </c>
      <c r="Q31" s="12">
        <v>120</v>
      </c>
    </row>
    <row r="32" spans="1:27" hidden="1" x14ac:dyDescent="0.5">
      <c r="A32" t="s">
        <v>29</v>
      </c>
      <c r="B32" t="s">
        <v>29</v>
      </c>
      <c r="C32" t="s">
        <v>37</v>
      </c>
      <c r="D32" t="s">
        <v>63</v>
      </c>
      <c r="F32" s="5" t="s">
        <v>141</v>
      </c>
      <c r="I32" s="12"/>
      <c r="J32" s="12"/>
      <c r="K32" s="12"/>
      <c r="L32" s="12"/>
      <c r="M32" s="11"/>
      <c r="N32" s="9">
        <v>47.1</v>
      </c>
      <c r="Q32" s="9">
        <v>47.1</v>
      </c>
    </row>
    <row r="33" spans="1:27" hidden="1" x14ac:dyDescent="0.5">
      <c r="A33" t="s">
        <v>29</v>
      </c>
      <c r="B33" t="s">
        <v>29</v>
      </c>
      <c r="C33" t="s">
        <v>37</v>
      </c>
      <c r="D33" t="s">
        <v>64</v>
      </c>
      <c r="F33" s="4" t="s">
        <v>159</v>
      </c>
      <c r="I33" s="12"/>
      <c r="J33" s="12"/>
      <c r="K33" s="12"/>
      <c r="L33" s="12"/>
      <c r="M33" s="11"/>
      <c r="Q33" s="12">
        <v>2</v>
      </c>
    </row>
    <row r="34" spans="1:27" hidden="1" x14ac:dyDescent="0.5">
      <c r="A34" t="s">
        <v>29</v>
      </c>
      <c r="B34" t="s">
        <v>29</v>
      </c>
      <c r="C34" t="s">
        <v>37</v>
      </c>
      <c r="D34" t="s">
        <v>65</v>
      </c>
      <c r="F34" s="4" t="s">
        <v>40</v>
      </c>
      <c r="I34" s="12"/>
      <c r="J34" s="12"/>
      <c r="K34" s="12"/>
      <c r="L34" s="12"/>
      <c r="M34" s="11"/>
      <c r="Q34" s="12">
        <v>0.97</v>
      </c>
    </row>
    <row r="35" spans="1:27" hidden="1" x14ac:dyDescent="0.5">
      <c r="A35" t="s">
        <v>29</v>
      </c>
      <c r="B35" t="s">
        <v>29</v>
      </c>
      <c r="C35" t="s">
        <v>30</v>
      </c>
      <c r="D35" t="s">
        <v>66</v>
      </c>
      <c r="F35" s="4" t="s">
        <v>40</v>
      </c>
      <c r="I35" s="12"/>
      <c r="J35" s="12"/>
      <c r="K35" s="12"/>
      <c r="L35" s="12"/>
      <c r="M35" s="11"/>
      <c r="O35" s="9">
        <v>0.5</v>
      </c>
      <c r="Q35" s="12"/>
    </row>
    <row r="36" spans="1:27" hidden="1" x14ac:dyDescent="0.5">
      <c r="A36" t="s">
        <v>29</v>
      </c>
      <c r="B36" t="s">
        <v>29</v>
      </c>
      <c r="C36" t="s">
        <v>30</v>
      </c>
      <c r="D36" t="s">
        <v>67</v>
      </c>
      <c r="F36" s="4" t="s">
        <v>68</v>
      </c>
      <c r="I36" s="12"/>
      <c r="J36" s="12"/>
      <c r="K36" s="12"/>
      <c r="L36" s="12"/>
      <c r="M36" s="11"/>
      <c r="Q36" s="12"/>
      <c r="W36" s="9">
        <v>200</v>
      </c>
      <c r="X36" s="9">
        <f>W36</f>
        <v>200</v>
      </c>
      <c r="Y36" s="15">
        <v>700</v>
      </c>
    </row>
    <row r="37" spans="1:27" hidden="1" x14ac:dyDescent="0.5">
      <c r="A37" t="s">
        <v>29</v>
      </c>
      <c r="B37" t="s">
        <v>29</v>
      </c>
      <c r="C37" t="s">
        <v>30</v>
      </c>
      <c r="D37" t="s">
        <v>69</v>
      </c>
      <c r="F37" s="4" t="s">
        <v>142</v>
      </c>
      <c r="I37" s="12"/>
      <c r="J37" s="12"/>
      <c r="K37" s="12"/>
      <c r="L37" s="12"/>
      <c r="M37" s="11"/>
      <c r="Q37" s="12"/>
      <c r="W37" s="9">
        <v>2000</v>
      </c>
      <c r="X37" s="9">
        <f>W37</f>
        <v>2000</v>
      </c>
      <c r="Y37" s="9">
        <v>2000</v>
      </c>
    </row>
    <row r="38" spans="1:27" hidden="1" x14ac:dyDescent="0.5">
      <c r="A38" t="s">
        <v>29</v>
      </c>
      <c r="B38" t="s">
        <v>29</v>
      </c>
      <c r="C38" t="s">
        <v>30</v>
      </c>
      <c r="D38" t="s">
        <v>171</v>
      </c>
      <c r="F38" s="4" t="s">
        <v>40</v>
      </c>
      <c r="I38" s="12"/>
      <c r="J38" s="12"/>
      <c r="K38" s="12"/>
      <c r="L38" s="12"/>
      <c r="M38" s="11"/>
      <c r="Q38" s="12"/>
      <c r="W38" s="9">
        <v>0.8</v>
      </c>
      <c r="X38" s="15">
        <v>0.9</v>
      </c>
      <c r="Y38" s="15">
        <v>0.97</v>
      </c>
    </row>
    <row r="39" spans="1:27" hidden="1" x14ac:dyDescent="0.5">
      <c r="A39" t="s">
        <v>29</v>
      </c>
      <c r="B39" t="s">
        <v>29</v>
      </c>
      <c r="C39" t="s">
        <v>37</v>
      </c>
      <c r="D39" t="s">
        <v>173</v>
      </c>
      <c r="F39" s="4" t="s">
        <v>168</v>
      </c>
      <c r="I39" s="12"/>
      <c r="J39" s="12"/>
      <c r="K39" s="12"/>
      <c r="L39" s="12"/>
      <c r="M39" s="11"/>
      <c r="Q39" s="12"/>
      <c r="W39" s="9">
        <v>0.45</v>
      </c>
      <c r="X39" s="9">
        <f>W39</f>
        <v>0.45</v>
      </c>
      <c r="Y39" s="9">
        <f>W39</f>
        <v>0.45</v>
      </c>
    </row>
    <row r="40" spans="1:27" hidden="1" x14ac:dyDescent="0.5">
      <c r="A40" t="s">
        <v>29</v>
      </c>
      <c r="B40" t="s">
        <v>29</v>
      </c>
      <c r="C40" t="s">
        <v>37</v>
      </c>
      <c r="D40" t="s">
        <v>174</v>
      </c>
      <c r="F40" s="4" t="s">
        <v>168</v>
      </c>
      <c r="I40" s="12"/>
      <c r="J40" s="12"/>
      <c r="K40" s="12"/>
      <c r="L40" s="12"/>
      <c r="M40" s="11"/>
      <c r="Q40" s="12"/>
      <c r="W40" s="9">
        <v>0.82</v>
      </c>
      <c r="X40" s="9">
        <f>W40</f>
        <v>0.82</v>
      </c>
      <c r="Y40" s="9">
        <f>W40</f>
        <v>0.82</v>
      </c>
    </row>
    <row r="41" spans="1:27" hidden="1" x14ac:dyDescent="0.5">
      <c r="A41" t="s">
        <v>29</v>
      </c>
      <c r="B41" t="s">
        <v>29</v>
      </c>
      <c r="C41" t="s">
        <v>37</v>
      </c>
      <c r="D41" t="s">
        <v>175</v>
      </c>
      <c r="F41" s="4" t="s">
        <v>144</v>
      </c>
      <c r="I41" s="12"/>
      <c r="J41" s="12"/>
      <c r="K41" s="12"/>
      <c r="L41" s="12"/>
      <c r="M41" s="11"/>
      <c r="Q41" s="12"/>
      <c r="W41" s="9">
        <f>13.8/55.85</f>
        <v>0.24709042076991944</v>
      </c>
      <c r="X41" s="9">
        <f>W41</f>
        <v>0.24709042076991944</v>
      </c>
      <c r="Y41" s="9">
        <f>W41</f>
        <v>0.24709042076991944</v>
      </c>
    </row>
    <row r="42" spans="1:27" ht="11.5" hidden="1" customHeight="1" x14ac:dyDescent="0.5">
      <c r="A42" t="s">
        <v>2</v>
      </c>
      <c r="B42" t="s">
        <v>70</v>
      </c>
      <c r="C42" t="s">
        <v>71</v>
      </c>
      <c r="D42" t="s">
        <v>72</v>
      </c>
      <c r="E42" t="str">
        <f>D42</f>
        <v>Met coal</v>
      </c>
      <c r="F42" t="s">
        <v>133</v>
      </c>
      <c r="H42" s="12">
        <v>1.2849999999999999</v>
      </c>
      <c r="I42" s="14">
        <f>H42</f>
        <v>1.2849999999999999</v>
      </c>
      <c r="J42" s="12">
        <f>I42</f>
        <v>1.2849999999999999</v>
      </c>
      <c r="K42" s="12">
        <f>I42</f>
        <v>1.2849999999999999</v>
      </c>
      <c r="L42" s="12">
        <f>I42</f>
        <v>1.2849999999999999</v>
      </c>
      <c r="M42" s="12">
        <v>0</v>
      </c>
      <c r="N42" s="12">
        <v>0</v>
      </c>
      <c r="O42" s="12">
        <v>0</v>
      </c>
      <c r="P42" s="12">
        <v>0</v>
      </c>
      <c r="Q42" s="12">
        <v>0</v>
      </c>
      <c r="R42" s="12">
        <v>0</v>
      </c>
      <c r="V42" s="12">
        <f>I42</f>
        <v>1.2849999999999999</v>
      </c>
      <c r="AA42" s="12">
        <f>J42</f>
        <v>1.2849999999999999</v>
      </c>
    </row>
    <row r="43" spans="1:27" hidden="1" x14ac:dyDescent="0.5">
      <c r="A43" t="s">
        <v>2</v>
      </c>
      <c r="B43" t="s">
        <v>70</v>
      </c>
      <c r="C43" t="s">
        <v>73</v>
      </c>
      <c r="D43" t="s">
        <v>74</v>
      </c>
      <c r="E43" t="str">
        <f t="shared" ref="E43:E106" si="0">D43</f>
        <v>COG</v>
      </c>
      <c r="F43" t="s">
        <v>145</v>
      </c>
      <c r="H43" s="12">
        <f>3.3*H14</f>
        <v>1.32</v>
      </c>
      <c r="I43" s="15">
        <f>H43*(1-$I$20)+H44*(1-$I$20)</f>
        <v>2.9699999999999998</v>
      </c>
      <c r="J43" s="12">
        <f t="shared" ref="J43:J88" si="1">I43</f>
        <v>2.9699999999999998</v>
      </c>
      <c r="K43" s="12">
        <f>I43</f>
        <v>2.9699999999999998</v>
      </c>
      <c r="L43" s="12">
        <f t="shared" ref="L43:L76" si="2">I43</f>
        <v>2.9699999999999998</v>
      </c>
      <c r="M43" s="12">
        <v>0</v>
      </c>
      <c r="N43" s="12">
        <v>0</v>
      </c>
      <c r="O43" s="12">
        <v>0</v>
      </c>
      <c r="P43" s="12">
        <v>0</v>
      </c>
      <c r="Q43" s="12">
        <v>0</v>
      </c>
      <c r="R43" s="12">
        <v>0</v>
      </c>
      <c r="V43" s="12">
        <f t="shared" ref="V43:V62" si="3">I43</f>
        <v>2.9699999999999998</v>
      </c>
      <c r="AA43" s="12">
        <f t="shared" ref="AA43:AA58" si="4">J43</f>
        <v>2.9699999999999998</v>
      </c>
    </row>
    <row r="44" spans="1:27" hidden="1" x14ac:dyDescent="0.5">
      <c r="A44" t="s">
        <v>2</v>
      </c>
      <c r="B44" t="s">
        <v>70</v>
      </c>
      <c r="C44" t="s">
        <v>73</v>
      </c>
      <c r="D44" t="s">
        <v>75</v>
      </c>
      <c r="E44" t="str">
        <f t="shared" si="0"/>
        <v>BF gas</v>
      </c>
      <c r="F44" t="s">
        <v>145</v>
      </c>
      <c r="H44" s="12">
        <f>3.3-H43</f>
        <v>1.9799999999999998</v>
      </c>
      <c r="J44" s="12">
        <f t="shared" si="1"/>
        <v>0</v>
      </c>
      <c r="K44" s="12">
        <f t="shared" ref="K44:K64" si="5">I44</f>
        <v>0</v>
      </c>
      <c r="L44" s="12">
        <f t="shared" si="2"/>
        <v>0</v>
      </c>
      <c r="M44" s="12">
        <v>0</v>
      </c>
      <c r="N44" s="12">
        <v>0</v>
      </c>
      <c r="O44" s="12">
        <v>0</v>
      </c>
      <c r="P44" s="12">
        <v>0</v>
      </c>
      <c r="Q44" s="12">
        <v>0</v>
      </c>
      <c r="R44" s="12">
        <v>0</v>
      </c>
      <c r="V44" s="12">
        <f t="shared" si="3"/>
        <v>0</v>
      </c>
      <c r="AA44" s="12">
        <f t="shared" si="4"/>
        <v>0</v>
      </c>
    </row>
    <row r="45" spans="1:27" hidden="1" x14ac:dyDescent="0.5">
      <c r="A45" t="s">
        <v>2</v>
      </c>
      <c r="B45" t="s">
        <v>70</v>
      </c>
      <c r="C45" t="s">
        <v>73</v>
      </c>
      <c r="D45" t="s">
        <v>76</v>
      </c>
      <c r="E45" t="str">
        <f t="shared" si="0"/>
        <v>Electricity</v>
      </c>
      <c r="F45" t="s">
        <v>145</v>
      </c>
      <c r="H45" s="12">
        <v>0.125</v>
      </c>
      <c r="I45" s="14">
        <f>H45</f>
        <v>0.125</v>
      </c>
      <c r="J45" s="12">
        <f t="shared" si="1"/>
        <v>0.125</v>
      </c>
      <c r="K45" s="12">
        <f t="shared" si="5"/>
        <v>0.125</v>
      </c>
      <c r="L45" s="12">
        <f t="shared" si="2"/>
        <v>0.125</v>
      </c>
      <c r="M45" s="12">
        <v>0</v>
      </c>
      <c r="N45" s="12">
        <v>0</v>
      </c>
      <c r="O45" s="12">
        <v>0</v>
      </c>
      <c r="P45" s="12">
        <v>0</v>
      </c>
      <c r="Q45" s="12">
        <v>0</v>
      </c>
      <c r="R45" s="12">
        <v>0</v>
      </c>
      <c r="V45" s="12">
        <f t="shared" si="3"/>
        <v>0.125</v>
      </c>
      <c r="AA45" s="12">
        <f t="shared" si="4"/>
        <v>0.125</v>
      </c>
    </row>
    <row r="46" spans="1:27" hidden="1" x14ac:dyDescent="0.5">
      <c r="A46" t="s">
        <v>2</v>
      </c>
      <c r="B46" t="s">
        <v>70</v>
      </c>
      <c r="C46" t="s">
        <v>73</v>
      </c>
      <c r="D46" t="s">
        <v>77</v>
      </c>
      <c r="E46" t="str">
        <f t="shared" si="0"/>
        <v>Steam</v>
      </c>
      <c r="F46" t="s">
        <v>145</v>
      </c>
      <c r="H46" s="12">
        <v>0.42</v>
      </c>
      <c r="I46" s="9">
        <f t="shared" ref="I46" si="6">H46*(1-$I$20)</f>
        <v>0.378</v>
      </c>
      <c r="J46" s="12">
        <f t="shared" si="1"/>
        <v>0.378</v>
      </c>
      <c r="K46" s="12">
        <f t="shared" si="5"/>
        <v>0.378</v>
      </c>
      <c r="L46" s="12">
        <f t="shared" si="2"/>
        <v>0.378</v>
      </c>
      <c r="M46" s="12">
        <v>0</v>
      </c>
      <c r="N46" s="12">
        <v>0</v>
      </c>
      <c r="O46" s="12">
        <v>0</v>
      </c>
      <c r="P46" s="12">
        <v>0</v>
      </c>
      <c r="Q46" s="12">
        <v>0</v>
      </c>
      <c r="R46" s="12">
        <v>0</v>
      </c>
      <c r="V46" s="12">
        <f t="shared" si="3"/>
        <v>0.378</v>
      </c>
      <c r="AA46" s="12">
        <f t="shared" si="4"/>
        <v>0.378</v>
      </c>
    </row>
    <row r="47" spans="1:27" hidden="1" x14ac:dyDescent="0.5">
      <c r="A47" t="s">
        <v>2</v>
      </c>
      <c r="B47" t="s">
        <v>78</v>
      </c>
      <c r="C47" t="s">
        <v>71</v>
      </c>
      <c r="D47" t="s">
        <v>79</v>
      </c>
      <c r="E47" t="str">
        <f t="shared" si="0"/>
        <v>Iron ore</v>
      </c>
      <c r="F47" t="s">
        <v>134</v>
      </c>
      <c r="H47" s="12">
        <f>0.81/(62%/67%)</f>
        <v>0.87532258064516144</v>
      </c>
      <c r="I47" s="12">
        <f>H47</f>
        <v>0.87532258064516144</v>
      </c>
      <c r="J47" s="12">
        <f t="shared" si="1"/>
        <v>0.87532258064516144</v>
      </c>
      <c r="K47" s="12">
        <f t="shared" si="5"/>
        <v>0.87532258064516144</v>
      </c>
      <c r="L47" s="12">
        <f t="shared" si="2"/>
        <v>0.87532258064516144</v>
      </c>
      <c r="M47" s="12">
        <v>0</v>
      </c>
      <c r="N47" s="12">
        <v>0</v>
      </c>
      <c r="O47" s="12">
        <v>0</v>
      </c>
      <c r="P47" s="12">
        <v>0</v>
      </c>
      <c r="Q47" s="12">
        <v>0</v>
      </c>
      <c r="R47" s="12">
        <v>0</v>
      </c>
      <c r="V47" s="12">
        <f t="shared" si="3"/>
        <v>0.87532258064516144</v>
      </c>
      <c r="AA47" s="12">
        <f t="shared" si="4"/>
        <v>0.87532258064516144</v>
      </c>
    </row>
    <row r="48" spans="1:27" hidden="1" x14ac:dyDescent="0.5">
      <c r="A48" t="s">
        <v>2</v>
      </c>
      <c r="B48" t="s">
        <v>78</v>
      </c>
      <c r="C48" t="s">
        <v>73</v>
      </c>
      <c r="D48" t="s">
        <v>80</v>
      </c>
      <c r="E48" t="str">
        <f t="shared" si="0"/>
        <v>Thermal coal</v>
      </c>
      <c r="F48" t="s">
        <v>146</v>
      </c>
      <c r="H48" s="12">
        <f>1.277</f>
        <v>1.2769999999999999</v>
      </c>
      <c r="I48" s="9">
        <f>H48*(1-$I$20)</f>
        <v>1.1493</v>
      </c>
      <c r="J48" s="12">
        <f t="shared" si="1"/>
        <v>1.1493</v>
      </c>
      <c r="K48" s="12">
        <f t="shared" si="5"/>
        <v>1.1493</v>
      </c>
      <c r="L48" s="12">
        <f t="shared" si="2"/>
        <v>1.1493</v>
      </c>
      <c r="M48" s="12">
        <v>0</v>
      </c>
      <c r="N48" s="12">
        <v>0</v>
      </c>
      <c r="O48" s="12">
        <v>0</v>
      </c>
      <c r="P48" s="12">
        <v>0</v>
      </c>
      <c r="Q48" s="12">
        <v>0</v>
      </c>
      <c r="R48" s="12">
        <v>0</v>
      </c>
      <c r="V48" s="12">
        <f t="shared" si="3"/>
        <v>1.1493</v>
      </c>
      <c r="AA48" s="12">
        <f t="shared" si="4"/>
        <v>1.1493</v>
      </c>
    </row>
    <row r="49" spans="1:27" hidden="1" x14ac:dyDescent="0.5">
      <c r="A49" t="s">
        <v>2</v>
      </c>
      <c r="B49" t="s">
        <v>78</v>
      </c>
      <c r="C49" t="s">
        <v>73</v>
      </c>
      <c r="D49" t="s">
        <v>74</v>
      </c>
      <c r="E49" t="str">
        <f t="shared" si="0"/>
        <v>COG</v>
      </c>
      <c r="F49" t="s">
        <v>146</v>
      </c>
      <c r="H49" s="12">
        <f>0.67*$H$14</f>
        <v>0.26800000000000002</v>
      </c>
      <c r="I49" s="9">
        <f>H49*(1-$I$20)+H50*(1-$I$20)</f>
        <v>0.60299999999999998</v>
      </c>
      <c r="J49" s="12">
        <f t="shared" si="1"/>
        <v>0.60299999999999998</v>
      </c>
      <c r="K49" s="12">
        <f>I49</f>
        <v>0.60299999999999998</v>
      </c>
      <c r="L49" s="12">
        <f t="shared" si="2"/>
        <v>0.60299999999999998</v>
      </c>
      <c r="M49" s="12">
        <v>0</v>
      </c>
      <c r="N49" s="12">
        <v>0</v>
      </c>
      <c r="O49" s="12">
        <v>0</v>
      </c>
      <c r="P49" s="12">
        <v>0</v>
      </c>
      <c r="Q49" s="12">
        <v>0</v>
      </c>
      <c r="R49" s="12">
        <v>0</v>
      </c>
      <c r="V49" s="12">
        <f t="shared" si="3"/>
        <v>0.60299999999999998</v>
      </c>
      <c r="AA49" s="12">
        <f t="shared" si="4"/>
        <v>0.60299999999999998</v>
      </c>
    </row>
    <row r="50" spans="1:27" hidden="1" x14ac:dyDescent="0.5">
      <c r="A50" t="s">
        <v>2</v>
      </c>
      <c r="B50" t="s">
        <v>78</v>
      </c>
      <c r="C50" t="s">
        <v>73</v>
      </c>
      <c r="D50" t="s">
        <v>75</v>
      </c>
      <c r="E50" t="str">
        <f t="shared" si="0"/>
        <v>BF gas</v>
      </c>
      <c r="F50" t="s">
        <v>146</v>
      </c>
      <c r="H50" s="12">
        <f>(0.67-H49)</f>
        <v>0.40200000000000002</v>
      </c>
      <c r="J50" s="12">
        <f t="shared" si="1"/>
        <v>0</v>
      </c>
      <c r="K50" s="12">
        <f t="shared" si="5"/>
        <v>0</v>
      </c>
      <c r="L50" s="12">
        <f t="shared" si="2"/>
        <v>0</v>
      </c>
      <c r="M50" s="12">
        <v>0</v>
      </c>
      <c r="N50" s="12">
        <v>0</v>
      </c>
      <c r="O50" s="12">
        <v>0</v>
      </c>
      <c r="P50" s="12">
        <v>0</v>
      </c>
      <c r="Q50" s="12">
        <v>0</v>
      </c>
      <c r="R50" s="12">
        <v>0</v>
      </c>
      <c r="V50" s="12">
        <f t="shared" si="3"/>
        <v>0</v>
      </c>
      <c r="AA50" s="12">
        <f t="shared" si="4"/>
        <v>0</v>
      </c>
    </row>
    <row r="51" spans="1:27" hidden="1" x14ac:dyDescent="0.5">
      <c r="A51" t="s">
        <v>2</v>
      </c>
      <c r="B51" t="s">
        <v>78</v>
      </c>
      <c r="C51" t="s">
        <v>73</v>
      </c>
      <c r="D51" t="s">
        <v>76</v>
      </c>
      <c r="E51" t="str">
        <f t="shared" si="0"/>
        <v>Electricity</v>
      </c>
      <c r="F51" t="s">
        <v>146</v>
      </c>
      <c r="H51" s="12">
        <f>0.04</f>
        <v>0.04</v>
      </c>
      <c r="I51" s="12">
        <f>H51</f>
        <v>0.04</v>
      </c>
      <c r="J51" s="12">
        <f t="shared" si="1"/>
        <v>0.04</v>
      </c>
      <c r="K51" s="12">
        <f>I51</f>
        <v>0.04</v>
      </c>
      <c r="L51" s="12">
        <f t="shared" si="2"/>
        <v>0.04</v>
      </c>
      <c r="M51" s="12">
        <v>0</v>
      </c>
      <c r="N51" s="12">
        <v>0</v>
      </c>
      <c r="O51" s="12">
        <v>0</v>
      </c>
      <c r="P51" s="12">
        <v>0</v>
      </c>
      <c r="Q51" s="12">
        <v>0</v>
      </c>
      <c r="R51" s="12">
        <v>0</v>
      </c>
      <c r="V51" s="12">
        <f t="shared" si="3"/>
        <v>0.04</v>
      </c>
      <c r="AA51" s="12">
        <f t="shared" si="4"/>
        <v>0.04</v>
      </c>
    </row>
    <row r="52" spans="1:27" hidden="1" x14ac:dyDescent="0.5">
      <c r="A52" t="s">
        <v>2</v>
      </c>
      <c r="B52" t="s">
        <v>81</v>
      </c>
      <c r="C52" t="s">
        <v>71</v>
      </c>
      <c r="D52" t="s">
        <v>79</v>
      </c>
      <c r="E52" t="str">
        <f t="shared" si="0"/>
        <v>Iron ore</v>
      </c>
      <c r="F52" t="s">
        <v>135</v>
      </c>
      <c r="H52" s="12">
        <f>0.95/(62%/67%)</f>
        <v>1.0266129032258065</v>
      </c>
      <c r="I52" s="12">
        <f>H52</f>
        <v>1.0266129032258065</v>
      </c>
      <c r="J52" s="12">
        <f t="shared" si="1"/>
        <v>1.0266129032258065</v>
      </c>
      <c r="K52" s="12">
        <f t="shared" si="5"/>
        <v>1.0266129032258065</v>
      </c>
      <c r="L52" s="12">
        <f t="shared" si="2"/>
        <v>1.0266129032258065</v>
      </c>
      <c r="M52" s="12">
        <f>H52</f>
        <v>1.0266129032258065</v>
      </c>
      <c r="N52" s="12">
        <f>M52</f>
        <v>1.0266129032258065</v>
      </c>
      <c r="O52" s="12">
        <f>M52</f>
        <v>1.0266129032258065</v>
      </c>
      <c r="P52" s="12">
        <f>M52</f>
        <v>1.0266129032258065</v>
      </c>
      <c r="Q52" s="12">
        <f>M52</f>
        <v>1.0266129032258065</v>
      </c>
      <c r="R52" s="12">
        <v>0</v>
      </c>
      <c r="V52" s="12">
        <f t="shared" si="3"/>
        <v>1.0266129032258065</v>
      </c>
      <c r="W52" s="12">
        <f>M52</f>
        <v>1.0266129032258065</v>
      </c>
      <c r="X52" s="12">
        <f>W52</f>
        <v>1.0266129032258065</v>
      </c>
      <c r="Y52" s="12">
        <f>W52</f>
        <v>1.0266129032258065</v>
      </c>
      <c r="AA52" s="12">
        <f t="shared" si="4"/>
        <v>1.0266129032258065</v>
      </c>
    </row>
    <row r="53" spans="1:27" hidden="1" x14ac:dyDescent="0.5">
      <c r="A53" t="s">
        <v>2</v>
      </c>
      <c r="B53" t="s">
        <v>81</v>
      </c>
      <c r="C53" t="s">
        <v>73</v>
      </c>
      <c r="D53" t="s">
        <v>74</v>
      </c>
      <c r="E53" t="str">
        <f t="shared" si="0"/>
        <v>COG</v>
      </c>
      <c r="F53" t="s">
        <v>147</v>
      </c>
      <c r="H53" s="12">
        <f>0.31*$H$14</f>
        <v>0.124</v>
      </c>
      <c r="I53" s="9">
        <f>H53*(1-$I$20)+H54*(1-$I$20)</f>
        <v>0.27900000000000003</v>
      </c>
      <c r="J53" s="12">
        <f t="shared" si="1"/>
        <v>0.27900000000000003</v>
      </c>
      <c r="K53" s="12">
        <f t="shared" si="5"/>
        <v>0.27900000000000003</v>
      </c>
      <c r="L53" s="12">
        <f t="shared" si="2"/>
        <v>0.27900000000000003</v>
      </c>
      <c r="M53" s="12">
        <v>0</v>
      </c>
      <c r="N53" s="12">
        <v>0</v>
      </c>
      <c r="O53" s="12">
        <v>0</v>
      </c>
      <c r="P53" s="12">
        <f t="shared" ref="P53:P56" si="7">M53</f>
        <v>0</v>
      </c>
      <c r="Q53" s="12">
        <f t="shared" ref="Q53:Q54" si="8">M53</f>
        <v>0</v>
      </c>
      <c r="R53" s="12">
        <v>0</v>
      </c>
      <c r="V53" s="12">
        <f t="shared" si="3"/>
        <v>0.27900000000000003</v>
      </c>
      <c r="W53" s="12">
        <f t="shared" ref="W53:W58" si="9">M53</f>
        <v>0</v>
      </c>
      <c r="X53" s="12">
        <f t="shared" ref="X53:X58" si="10">W53</f>
        <v>0</v>
      </c>
      <c r="Y53" s="12">
        <f t="shared" ref="Y53:Y58" si="11">W53</f>
        <v>0</v>
      </c>
      <c r="AA53" s="12">
        <f t="shared" si="4"/>
        <v>0.27900000000000003</v>
      </c>
    </row>
    <row r="54" spans="1:27" hidden="1" x14ac:dyDescent="0.5">
      <c r="A54" t="s">
        <v>2</v>
      </c>
      <c r="B54" t="s">
        <v>81</v>
      </c>
      <c r="C54" t="s">
        <v>73</v>
      </c>
      <c r="D54" t="s">
        <v>75</v>
      </c>
      <c r="E54" t="str">
        <f t="shared" si="0"/>
        <v>BF gas</v>
      </c>
      <c r="F54" t="s">
        <v>147</v>
      </c>
      <c r="H54" s="12">
        <f>0.31-H53</f>
        <v>0.186</v>
      </c>
      <c r="J54" s="12">
        <f t="shared" si="1"/>
        <v>0</v>
      </c>
      <c r="K54" s="12">
        <f t="shared" si="5"/>
        <v>0</v>
      </c>
      <c r="L54" s="12">
        <f t="shared" si="2"/>
        <v>0</v>
      </c>
      <c r="M54" s="12">
        <v>0</v>
      </c>
      <c r="N54" s="12">
        <v>0</v>
      </c>
      <c r="O54" s="12">
        <v>0</v>
      </c>
      <c r="P54" s="12">
        <f t="shared" si="7"/>
        <v>0</v>
      </c>
      <c r="Q54" s="12">
        <f t="shared" si="8"/>
        <v>0</v>
      </c>
      <c r="R54" s="12">
        <v>0</v>
      </c>
      <c r="V54" s="12">
        <f t="shared" si="3"/>
        <v>0</v>
      </c>
      <c r="W54" s="12">
        <f t="shared" si="9"/>
        <v>0</v>
      </c>
      <c r="X54" s="12">
        <f t="shared" si="10"/>
        <v>0</v>
      </c>
      <c r="Y54" s="12">
        <f t="shared" si="11"/>
        <v>0</v>
      </c>
      <c r="AA54" s="12">
        <f t="shared" si="4"/>
        <v>0</v>
      </c>
    </row>
    <row r="55" spans="1:27" hidden="1" x14ac:dyDescent="0.5">
      <c r="A55" t="s">
        <v>2</v>
      </c>
      <c r="B55" t="s">
        <v>81</v>
      </c>
      <c r="C55" t="s">
        <v>73</v>
      </c>
      <c r="D55" t="s">
        <v>82</v>
      </c>
      <c r="E55" t="str">
        <f t="shared" si="0"/>
        <v>Natural gas</v>
      </c>
      <c r="F55" t="s">
        <v>147</v>
      </c>
      <c r="H55" s="12">
        <v>0.01</v>
      </c>
      <c r="I55" s="9">
        <f t="shared" ref="I55:I56" si="12">H55*(1-$I$20)</f>
        <v>9.0000000000000011E-3</v>
      </c>
      <c r="J55" s="12">
        <f t="shared" si="1"/>
        <v>9.0000000000000011E-3</v>
      </c>
      <c r="K55" s="12">
        <f t="shared" si="5"/>
        <v>9.0000000000000011E-3</v>
      </c>
      <c r="L55" s="12">
        <f t="shared" si="2"/>
        <v>9.0000000000000011E-3</v>
      </c>
      <c r="M55" s="12">
        <f>I53+I54+I56</f>
        <v>0.58500000000000008</v>
      </c>
      <c r="N55" s="12">
        <f>M55</f>
        <v>0.58500000000000008</v>
      </c>
      <c r="O55" s="12">
        <f>M55/2</f>
        <v>0.29250000000000004</v>
      </c>
      <c r="P55" s="12">
        <f t="shared" si="7"/>
        <v>0.58500000000000008</v>
      </c>
      <c r="Q55" s="14">
        <v>0</v>
      </c>
      <c r="R55" s="12">
        <v>0</v>
      </c>
      <c r="V55" s="12">
        <f t="shared" si="3"/>
        <v>9.0000000000000011E-3</v>
      </c>
      <c r="W55" s="12">
        <f t="shared" si="9"/>
        <v>0.58500000000000008</v>
      </c>
      <c r="X55" s="12">
        <f t="shared" si="10"/>
        <v>0.58500000000000008</v>
      </c>
      <c r="Y55" s="12">
        <f t="shared" si="11"/>
        <v>0.58500000000000008</v>
      </c>
      <c r="AA55" s="12">
        <f t="shared" si="4"/>
        <v>9.0000000000000011E-3</v>
      </c>
    </row>
    <row r="56" spans="1:27" hidden="1" x14ac:dyDescent="0.5">
      <c r="A56" t="s">
        <v>2</v>
      </c>
      <c r="B56" t="s">
        <v>81</v>
      </c>
      <c r="C56" t="s">
        <v>73</v>
      </c>
      <c r="D56" t="s">
        <v>80</v>
      </c>
      <c r="E56" t="str">
        <f t="shared" si="0"/>
        <v>Thermal coal</v>
      </c>
      <c r="F56" t="s">
        <v>147</v>
      </c>
      <c r="H56" s="12">
        <v>0.34</v>
      </c>
      <c r="I56" s="9">
        <f t="shared" si="12"/>
        <v>0.30600000000000005</v>
      </c>
      <c r="J56" s="12">
        <f t="shared" si="1"/>
        <v>0.30600000000000005</v>
      </c>
      <c r="K56" s="12">
        <f t="shared" si="5"/>
        <v>0.30600000000000005</v>
      </c>
      <c r="L56" s="12">
        <f t="shared" si="2"/>
        <v>0.30600000000000005</v>
      </c>
      <c r="M56" s="12">
        <v>0</v>
      </c>
      <c r="N56" s="12">
        <v>0</v>
      </c>
      <c r="O56" s="12">
        <v>0</v>
      </c>
      <c r="P56" s="12">
        <f t="shared" si="7"/>
        <v>0</v>
      </c>
      <c r="R56" s="12">
        <v>0</v>
      </c>
      <c r="V56" s="12">
        <f t="shared" si="3"/>
        <v>0.30600000000000005</v>
      </c>
      <c r="W56" s="12">
        <f t="shared" si="9"/>
        <v>0</v>
      </c>
      <c r="X56" s="12">
        <f t="shared" si="10"/>
        <v>0</v>
      </c>
      <c r="Y56" s="12">
        <f t="shared" si="11"/>
        <v>0</v>
      </c>
      <c r="AA56" s="12">
        <f t="shared" si="4"/>
        <v>0.30600000000000005</v>
      </c>
    </row>
    <row r="57" spans="1:27" hidden="1" x14ac:dyDescent="0.5">
      <c r="A57" t="s">
        <v>2</v>
      </c>
      <c r="B57" t="s">
        <v>81</v>
      </c>
      <c r="C57" t="s">
        <v>73</v>
      </c>
      <c r="D57" t="s">
        <v>83</v>
      </c>
      <c r="E57" s="7"/>
      <c r="F57" t="s">
        <v>147</v>
      </c>
      <c r="H57" s="12"/>
      <c r="J57" s="12"/>
      <c r="K57" s="12"/>
      <c r="L57" s="12"/>
      <c r="M57" s="12"/>
      <c r="N57" s="12">
        <v>0</v>
      </c>
      <c r="Q57" s="12">
        <f>M56</f>
        <v>0</v>
      </c>
      <c r="R57" s="12">
        <v>0</v>
      </c>
      <c r="V57" s="12">
        <f t="shared" si="3"/>
        <v>0</v>
      </c>
      <c r="W57" s="12">
        <f t="shared" si="9"/>
        <v>0</v>
      </c>
      <c r="X57" s="12">
        <f t="shared" si="10"/>
        <v>0</v>
      </c>
      <c r="Y57" s="12">
        <f t="shared" si="11"/>
        <v>0</v>
      </c>
      <c r="AA57" s="12">
        <f t="shared" si="4"/>
        <v>0</v>
      </c>
    </row>
    <row r="58" spans="1:27" hidden="1" x14ac:dyDescent="0.5">
      <c r="A58" t="s">
        <v>2</v>
      </c>
      <c r="B58" t="s">
        <v>81</v>
      </c>
      <c r="C58" t="s">
        <v>73</v>
      </c>
      <c r="D58" t="s">
        <v>76</v>
      </c>
      <c r="E58" t="str">
        <f t="shared" si="0"/>
        <v>Electricity</v>
      </c>
      <c r="F58" t="s">
        <v>147</v>
      </c>
      <c r="H58" s="12">
        <v>7.5999999999999998E-2</v>
      </c>
      <c r="I58" s="12">
        <f>H58</f>
        <v>7.5999999999999998E-2</v>
      </c>
      <c r="J58" s="12">
        <f t="shared" si="1"/>
        <v>7.5999999999999998E-2</v>
      </c>
      <c r="K58" s="12">
        <f t="shared" si="5"/>
        <v>7.5999999999999998E-2</v>
      </c>
      <c r="L58" s="12">
        <f t="shared" si="2"/>
        <v>7.5999999999999998E-2</v>
      </c>
      <c r="M58" s="12">
        <f>H58</f>
        <v>7.5999999999999998E-2</v>
      </c>
      <c r="N58" s="12">
        <f>M58</f>
        <v>7.5999999999999998E-2</v>
      </c>
      <c r="O58" s="12">
        <f>M58</f>
        <v>7.5999999999999998E-2</v>
      </c>
      <c r="P58" s="12">
        <f>M58</f>
        <v>7.5999999999999998E-2</v>
      </c>
      <c r="Q58" s="9">
        <f>M58+M55</f>
        <v>0.66100000000000003</v>
      </c>
      <c r="R58" s="12">
        <v>0</v>
      </c>
      <c r="V58" s="12">
        <f t="shared" si="3"/>
        <v>7.5999999999999998E-2</v>
      </c>
      <c r="W58" s="12">
        <f t="shared" si="9"/>
        <v>7.5999999999999998E-2</v>
      </c>
      <c r="X58" s="12">
        <f t="shared" si="10"/>
        <v>7.5999999999999998E-2</v>
      </c>
      <c r="Y58" s="12">
        <f t="shared" si="11"/>
        <v>7.5999999999999998E-2</v>
      </c>
      <c r="AA58" s="12">
        <f t="shared" si="4"/>
        <v>7.5999999999999998E-2</v>
      </c>
    </row>
    <row r="59" spans="1:27" hidden="1" x14ac:dyDescent="0.5">
      <c r="A59" t="s">
        <v>2</v>
      </c>
      <c r="B59" t="s">
        <v>81</v>
      </c>
      <c r="C59" t="s">
        <v>73</v>
      </c>
      <c r="D59" t="s">
        <v>84</v>
      </c>
      <c r="E59" t="str">
        <f t="shared" si="0"/>
        <v xml:space="preserve">Biomethane </v>
      </c>
      <c r="F59" t="s">
        <v>147</v>
      </c>
      <c r="H59" s="12"/>
      <c r="J59" s="12"/>
      <c r="K59" s="12"/>
      <c r="L59" s="12"/>
      <c r="M59" s="12"/>
      <c r="N59" s="12"/>
      <c r="O59" s="12">
        <f>M55/2</f>
        <v>0.29250000000000004</v>
      </c>
      <c r="Q59" s="12"/>
      <c r="R59" s="12">
        <v>0</v>
      </c>
      <c r="V59" s="12">
        <f t="shared" si="3"/>
        <v>0</v>
      </c>
    </row>
    <row r="60" spans="1:27" hidden="1" x14ac:dyDescent="0.5">
      <c r="A60" t="s">
        <v>2</v>
      </c>
      <c r="B60" t="s">
        <v>85</v>
      </c>
      <c r="C60" t="s">
        <v>71</v>
      </c>
      <c r="D60" t="s">
        <v>86</v>
      </c>
      <c r="E60" s="7"/>
      <c r="F60" t="s">
        <v>136</v>
      </c>
      <c r="H60" s="12">
        <v>0.99199999999999999</v>
      </c>
      <c r="I60" s="12">
        <f>H60</f>
        <v>0.99199999999999999</v>
      </c>
      <c r="J60" s="12">
        <f t="shared" si="1"/>
        <v>0.99199999999999999</v>
      </c>
      <c r="K60" s="12">
        <f t="shared" si="5"/>
        <v>0.99199999999999999</v>
      </c>
      <c r="L60" s="12">
        <f t="shared" si="2"/>
        <v>0.99199999999999999</v>
      </c>
      <c r="R60" s="12">
        <v>0</v>
      </c>
      <c r="V60" s="12">
        <f t="shared" si="3"/>
        <v>0.99199999999999999</v>
      </c>
      <c r="AA60" s="12">
        <f>J60</f>
        <v>0.99199999999999999</v>
      </c>
    </row>
    <row r="61" spans="1:27" hidden="1" x14ac:dyDescent="0.5">
      <c r="A61" t="s">
        <v>2</v>
      </c>
      <c r="B61" t="s">
        <v>85</v>
      </c>
      <c r="C61" t="s">
        <v>71</v>
      </c>
      <c r="D61" t="s">
        <v>79</v>
      </c>
      <c r="E61" t="str">
        <f t="shared" si="0"/>
        <v>Iron ore</v>
      </c>
      <c r="F61" t="s">
        <v>136</v>
      </c>
      <c r="H61" s="12">
        <v>0.15</v>
      </c>
      <c r="I61" s="12">
        <f t="shared" ref="I61:I62" si="13">H61</f>
        <v>0.15</v>
      </c>
      <c r="J61" s="12">
        <f t="shared" si="1"/>
        <v>0.15</v>
      </c>
      <c r="K61" s="12">
        <f t="shared" si="5"/>
        <v>0.15</v>
      </c>
      <c r="L61" s="12">
        <f t="shared" si="2"/>
        <v>0.15</v>
      </c>
      <c r="R61" s="12">
        <v>0</v>
      </c>
      <c r="V61" s="12">
        <f t="shared" si="3"/>
        <v>0.15</v>
      </c>
      <c r="AA61" s="12">
        <f t="shared" ref="AA61:AA62" si="14">J61</f>
        <v>0.15</v>
      </c>
    </row>
    <row r="62" spans="1:27" hidden="1" x14ac:dyDescent="0.5">
      <c r="A62" t="s">
        <v>2</v>
      </c>
      <c r="B62" t="s">
        <v>85</v>
      </c>
      <c r="C62" t="s">
        <v>71</v>
      </c>
      <c r="D62" t="s">
        <v>87</v>
      </c>
      <c r="E62" s="7"/>
      <c r="F62" t="s">
        <v>136</v>
      </c>
      <c r="H62" s="12">
        <v>0.435</v>
      </c>
      <c r="I62" s="12">
        <f t="shared" si="13"/>
        <v>0.435</v>
      </c>
      <c r="J62" s="12">
        <f t="shared" si="1"/>
        <v>0.435</v>
      </c>
      <c r="K62" s="12">
        <f t="shared" si="5"/>
        <v>0.435</v>
      </c>
      <c r="L62" s="12">
        <f t="shared" si="2"/>
        <v>0.435</v>
      </c>
      <c r="R62" s="12">
        <v>0</v>
      </c>
      <c r="V62" s="12">
        <f t="shared" si="3"/>
        <v>0.435</v>
      </c>
      <c r="AA62" s="12">
        <f t="shared" si="14"/>
        <v>0.435</v>
      </c>
    </row>
    <row r="63" spans="1:27" hidden="1" x14ac:dyDescent="0.5">
      <c r="A63" t="s">
        <v>2</v>
      </c>
      <c r="B63" t="s">
        <v>85</v>
      </c>
      <c r="C63" t="s">
        <v>71</v>
      </c>
      <c r="D63" t="s">
        <v>88</v>
      </c>
      <c r="E63" t="str">
        <f t="shared" si="0"/>
        <v>Coke</v>
      </c>
      <c r="F63" t="s">
        <v>136</v>
      </c>
      <c r="H63" s="12">
        <f>0.482-H67*$H$8/1000</f>
        <v>0.30649999999999999</v>
      </c>
      <c r="I63" s="9">
        <f>0.482*(1-$I$13)-I67*$I$8/1000</f>
        <v>0.23374999999999993</v>
      </c>
      <c r="J63" s="12">
        <f t="shared" si="1"/>
        <v>0.23374999999999993</v>
      </c>
      <c r="K63" s="12">
        <f t="shared" si="5"/>
        <v>0.23374999999999993</v>
      </c>
      <c r="L63" s="12">
        <f t="shared" si="2"/>
        <v>0.23374999999999993</v>
      </c>
      <c r="R63" s="12">
        <v>0</v>
      </c>
      <c r="V63" s="12">
        <f>0.482-V69*I8/1000</f>
        <v>0.27500000000000002</v>
      </c>
      <c r="AA63" s="15">
        <f>(0.482-AA68*$AA$8/1000)*0.9</f>
        <v>0.21509999999999999</v>
      </c>
    </row>
    <row r="64" spans="1:27" hidden="1" x14ac:dyDescent="0.5">
      <c r="A64" t="s">
        <v>2</v>
      </c>
      <c r="B64" t="s">
        <v>85</v>
      </c>
      <c r="C64" t="s">
        <v>71</v>
      </c>
      <c r="D64" t="s">
        <v>89</v>
      </c>
      <c r="E64" t="str">
        <f t="shared" si="0"/>
        <v>DRI</v>
      </c>
      <c r="F64" t="s">
        <v>136</v>
      </c>
      <c r="H64" s="12">
        <v>0</v>
      </c>
      <c r="I64" s="12">
        <v>0</v>
      </c>
      <c r="J64" s="12">
        <f t="shared" si="1"/>
        <v>0</v>
      </c>
      <c r="K64" s="12">
        <f t="shared" si="5"/>
        <v>0</v>
      </c>
      <c r="L64" s="12">
        <f t="shared" si="2"/>
        <v>0</v>
      </c>
      <c r="R64" s="12">
        <v>0</v>
      </c>
    </row>
    <row r="65" spans="1:27" hidden="1" x14ac:dyDescent="0.5">
      <c r="A65" t="s">
        <v>2</v>
      </c>
      <c r="B65" t="s">
        <v>85</v>
      </c>
      <c r="C65" t="s">
        <v>71</v>
      </c>
      <c r="D65" t="s">
        <v>90</v>
      </c>
      <c r="E65" t="str">
        <f t="shared" si="0"/>
        <v>Biomass</v>
      </c>
      <c r="F65" t="s">
        <v>148</v>
      </c>
      <c r="H65" s="12"/>
      <c r="I65" s="12"/>
      <c r="J65" s="12"/>
      <c r="K65" s="12"/>
      <c r="L65" s="12"/>
      <c r="R65" s="12"/>
      <c r="AA65" s="9">
        <f>(0.482-AA68*$AA$8/1000)*28.4*10%</f>
        <v>0.67876000000000003</v>
      </c>
    </row>
    <row r="66" spans="1:27" hidden="1" x14ac:dyDescent="0.5">
      <c r="A66" t="s">
        <v>2</v>
      </c>
      <c r="B66" t="s">
        <v>85</v>
      </c>
      <c r="C66" t="s">
        <v>91</v>
      </c>
      <c r="D66" t="s">
        <v>92</v>
      </c>
      <c r="E66" t="str">
        <f t="shared" si="0"/>
        <v>Hydrogen</v>
      </c>
      <c r="F66" t="s">
        <v>155</v>
      </c>
      <c r="H66" s="12"/>
      <c r="I66" s="12"/>
      <c r="J66" s="12"/>
      <c r="K66" s="12">
        <f>K5</f>
        <v>27.5</v>
      </c>
      <c r="L66" s="12">
        <f t="shared" si="2"/>
        <v>0</v>
      </c>
      <c r="R66" s="12">
        <v>0</v>
      </c>
    </row>
    <row r="67" spans="1:27" hidden="1" x14ac:dyDescent="0.5">
      <c r="A67" t="s">
        <v>2</v>
      </c>
      <c r="B67" t="s">
        <v>85</v>
      </c>
      <c r="C67" t="s">
        <v>91</v>
      </c>
      <c r="D67" t="s">
        <v>80</v>
      </c>
      <c r="E67" t="str">
        <f t="shared" si="0"/>
        <v>Thermal coal</v>
      </c>
      <c r="F67" t="s">
        <v>155</v>
      </c>
      <c r="H67" s="12">
        <f>H4</f>
        <v>195</v>
      </c>
      <c r="I67" s="9">
        <f>I4*(1-$I$13)</f>
        <v>195.5</v>
      </c>
      <c r="J67" s="16"/>
      <c r="K67" s="9">
        <f>I67-K5/K6</f>
        <v>75.5</v>
      </c>
      <c r="L67" s="12">
        <f t="shared" si="2"/>
        <v>195.5</v>
      </c>
      <c r="R67" s="12">
        <v>0</v>
      </c>
    </row>
    <row r="68" spans="1:27" hidden="1" x14ac:dyDescent="0.5">
      <c r="A68" t="s">
        <v>2</v>
      </c>
      <c r="B68" t="s">
        <v>85</v>
      </c>
      <c r="C68" t="s">
        <v>91</v>
      </c>
      <c r="D68" t="s">
        <v>90</v>
      </c>
      <c r="E68" t="str">
        <f t="shared" si="0"/>
        <v>Biomass</v>
      </c>
      <c r="F68" t="s">
        <v>155</v>
      </c>
      <c r="J68" s="12">
        <f>J4</f>
        <v>270</v>
      </c>
      <c r="L68" s="12">
        <f t="shared" si="2"/>
        <v>0</v>
      </c>
      <c r="R68" s="12">
        <v>0</v>
      </c>
      <c r="AA68" s="9">
        <f>AA4</f>
        <v>270</v>
      </c>
    </row>
    <row r="69" spans="1:27" hidden="1" x14ac:dyDescent="0.5">
      <c r="A69" t="s">
        <v>2</v>
      </c>
      <c r="B69" t="s">
        <v>85</v>
      </c>
      <c r="C69" t="s">
        <v>91</v>
      </c>
      <c r="D69" t="s">
        <v>172</v>
      </c>
      <c r="E69" t="str">
        <f t="shared" si="0"/>
        <v>Plastic waste</v>
      </c>
      <c r="F69" t="s">
        <v>155</v>
      </c>
      <c r="J69" s="12"/>
      <c r="L69" s="12"/>
      <c r="R69" s="12"/>
      <c r="V69" s="12">
        <f>I4</f>
        <v>230</v>
      </c>
    </row>
    <row r="70" spans="1:27" hidden="1" x14ac:dyDescent="0.5">
      <c r="A70" t="s">
        <v>2</v>
      </c>
      <c r="B70" t="s">
        <v>85</v>
      </c>
      <c r="C70" t="s">
        <v>93</v>
      </c>
      <c r="D70" t="s">
        <v>75</v>
      </c>
      <c r="E70" t="str">
        <f t="shared" si="0"/>
        <v>BF gas</v>
      </c>
      <c r="F70" t="s">
        <v>148</v>
      </c>
      <c r="H70" s="12">
        <v>2.2000000000000002</v>
      </c>
      <c r="I70" s="15">
        <f>SUM(H44,H50,H54,1.546,H82)*(1-$I$20)*(1-$I$3+H3)</f>
        <v>3.2261039999999999</v>
      </c>
      <c r="J70" s="12">
        <f t="shared" si="1"/>
        <v>3.2261039999999999</v>
      </c>
      <c r="K70" s="9">
        <f>I70</f>
        <v>3.2261039999999999</v>
      </c>
      <c r="L70" s="12">
        <f t="shared" si="2"/>
        <v>3.2261039999999999</v>
      </c>
      <c r="R70" s="12">
        <v>0</v>
      </c>
      <c r="AA70" s="9">
        <f>I70</f>
        <v>3.2261039999999999</v>
      </c>
    </row>
    <row r="71" spans="1:27" hidden="1" x14ac:dyDescent="0.5">
      <c r="A71" t="s">
        <v>2</v>
      </c>
      <c r="B71" t="s">
        <v>85</v>
      </c>
      <c r="C71" t="s">
        <v>93</v>
      </c>
      <c r="D71" t="s">
        <v>74</v>
      </c>
      <c r="E71" t="str">
        <f t="shared" si="0"/>
        <v>COG</v>
      </c>
      <c r="F71" t="s">
        <v>148</v>
      </c>
      <c r="H71" s="12">
        <v>0.32</v>
      </c>
      <c r="I71" s="15">
        <v>0.8</v>
      </c>
      <c r="J71" s="12">
        <f t="shared" si="1"/>
        <v>0.8</v>
      </c>
      <c r="K71" s="9">
        <f t="shared" ref="K71:K88" si="15">I71</f>
        <v>0.8</v>
      </c>
      <c r="L71" s="12">
        <f t="shared" si="2"/>
        <v>0.8</v>
      </c>
      <c r="R71" s="12">
        <v>0</v>
      </c>
      <c r="V71" s="14">
        <f>I71+H70</f>
        <v>3</v>
      </c>
      <c r="AA71" s="9">
        <f t="shared" ref="AA71:AA75" si="16">I71</f>
        <v>0.8</v>
      </c>
    </row>
    <row r="72" spans="1:27" hidden="1" x14ac:dyDescent="0.5">
      <c r="A72" t="s">
        <v>2</v>
      </c>
      <c r="B72" t="s">
        <v>85</v>
      </c>
      <c r="C72" t="s">
        <v>93</v>
      </c>
      <c r="D72" t="s">
        <v>82</v>
      </c>
      <c r="E72" t="str">
        <f t="shared" si="0"/>
        <v>Natural gas</v>
      </c>
      <c r="F72" t="s">
        <v>148</v>
      </c>
      <c r="H72" s="12">
        <v>0.25</v>
      </c>
      <c r="I72" s="9">
        <f>H72*(1-$I$20)</f>
        <v>0.22500000000000001</v>
      </c>
      <c r="J72" s="12">
        <f t="shared" si="1"/>
        <v>0.22500000000000001</v>
      </c>
      <c r="K72" s="9">
        <f t="shared" si="15"/>
        <v>0.22500000000000001</v>
      </c>
      <c r="L72" s="12">
        <f t="shared" si="2"/>
        <v>0.22500000000000001</v>
      </c>
      <c r="R72" s="12">
        <v>0</v>
      </c>
      <c r="V72" s="12">
        <f>I72+I70-V71</f>
        <v>0.45110399999999995</v>
      </c>
      <c r="W72" s="12">
        <f>I72+I70-V71</f>
        <v>0.45110399999999995</v>
      </c>
      <c r="AA72" s="9">
        <f t="shared" si="16"/>
        <v>0.22500000000000001</v>
      </c>
    </row>
    <row r="73" spans="1:27" hidden="1" x14ac:dyDescent="0.5">
      <c r="A73" t="s">
        <v>2</v>
      </c>
      <c r="B73" t="s">
        <v>85</v>
      </c>
      <c r="C73" t="s">
        <v>93</v>
      </c>
      <c r="D73" t="s">
        <v>94</v>
      </c>
      <c r="E73" t="str">
        <f t="shared" si="0"/>
        <v>BOF gas</v>
      </c>
      <c r="F73" t="s">
        <v>148</v>
      </c>
      <c r="H73" s="12">
        <v>0.35</v>
      </c>
      <c r="I73" s="9">
        <f>H73*(1-$I$20)</f>
        <v>0.315</v>
      </c>
      <c r="J73" s="12">
        <f t="shared" si="1"/>
        <v>0.315</v>
      </c>
      <c r="K73" s="9">
        <f t="shared" si="15"/>
        <v>0.315</v>
      </c>
      <c r="L73" s="12">
        <f t="shared" si="2"/>
        <v>0.315</v>
      </c>
      <c r="R73" s="12">
        <v>0</v>
      </c>
      <c r="V73" s="9">
        <f t="shared" ref="V73:V78" si="17">I73</f>
        <v>0.315</v>
      </c>
      <c r="AA73" s="9">
        <f t="shared" si="16"/>
        <v>0.315</v>
      </c>
    </row>
    <row r="74" spans="1:27" hidden="1" x14ac:dyDescent="0.5">
      <c r="A74" t="s">
        <v>2</v>
      </c>
      <c r="B74" t="s">
        <v>85</v>
      </c>
      <c r="C74" t="s">
        <v>95</v>
      </c>
      <c r="D74" t="s">
        <v>76</v>
      </c>
      <c r="E74" t="str">
        <f t="shared" si="0"/>
        <v>Electricity</v>
      </c>
      <c r="F74" t="s">
        <v>148</v>
      </c>
      <c r="H74" s="12">
        <v>0.26800000000000002</v>
      </c>
      <c r="I74" s="12">
        <f>H74</f>
        <v>0.26800000000000002</v>
      </c>
      <c r="J74" s="12">
        <f t="shared" si="1"/>
        <v>0.26800000000000002</v>
      </c>
      <c r="K74" s="9">
        <f t="shared" si="15"/>
        <v>0.26800000000000002</v>
      </c>
      <c r="L74" s="12">
        <f t="shared" si="2"/>
        <v>0.26800000000000002</v>
      </c>
      <c r="R74" s="12">
        <v>0</v>
      </c>
      <c r="V74" s="9">
        <f t="shared" si="17"/>
        <v>0.26800000000000002</v>
      </c>
      <c r="AA74" s="9">
        <f t="shared" si="16"/>
        <v>0.26800000000000002</v>
      </c>
    </row>
    <row r="75" spans="1:27" hidden="1" x14ac:dyDescent="0.5">
      <c r="A75" t="s">
        <v>2</v>
      </c>
      <c r="B75" t="s">
        <v>85</v>
      </c>
      <c r="C75" t="s">
        <v>96</v>
      </c>
      <c r="D75" t="s">
        <v>77</v>
      </c>
      <c r="E75" t="str">
        <f t="shared" si="0"/>
        <v>Steam</v>
      </c>
      <c r="F75" t="s">
        <v>148</v>
      </c>
      <c r="H75" s="12">
        <v>4.8000000000000001E-2</v>
      </c>
      <c r="I75" s="9">
        <f>H75*(1-$I$20)</f>
        <v>4.3200000000000002E-2</v>
      </c>
      <c r="J75" s="12">
        <f t="shared" si="1"/>
        <v>4.3200000000000002E-2</v>
      </c>
      <c r="K75" s="9">
        <f t="shared" si="15"/>
        <v>4.3200000000000002E-2</v>
      </c>
      <c r="L75" s="12">
        <f t="shared" si="2"/>
        <v>4.3200000000000002E-2</v>
      </c>
      <c r="R75" s="12">
        <v>0</v>
      </c>
      <c r="V75" s="9">
        <f t="shared" si="17"/>
        <v>4.3200000000000002E-2</v>
      </c>
      <c r="AA75" s="9">
        <f t="shared" si="16"/>
        <v>4.3200000000000002E-2</v>
      </c>
    </row>
    <row r="76" spans="1:27" hidden="1" x14ac:dyDescent="0.5">
      <c r="A76" t="s">
        <v>2</v>
      </c>
      <c r="B76" t="s">
        <v>85</v>
      </c>
      <c r="C76" t="s">
        <v>96</v>
      </c>
      <c r="D76" t="s">
        <v>97</v>
      </c>
      <c r="E76" t="str">
        <f t="shared" si="0"/>
        <v>BF slag</v>
      </c>
      <c r="F76" t="s">
        <v>155</v>
      </c>
      <c r="H76" s="12">
        <v>330</v>
      </c>
      <c r="I76" s="12">
        <f>H76</f>
        <v>330</v>
      </c>
      <c r="J76" s="12">
        <f t="shared" si="1"/>
        <v>330</v>
      </c>
      <c r="K76" s="9">
        <f t="shared" si="15"/>
        <v>330</v>
      </c>
      <c r="L76" s="12">
        <f t="shared" si="2"/>
        <v>330</v>
      </c>
      <c r="R76" s="12">
        <v>0</v>
      </c>
      <c r="V76" s="9">
        <f t="shared" si="17"/>
        <v>330</v>
      </c>
      <c r="AA76" s="9">
        <f>I76</f>
        <v>330</v>
      </c>
    </row>
    <row r="77" spans="1:27" hidden="1" x14ac:dyDescent="0.5">
      <c r="A77" t="s">
        <v>2</v>
      </c>
      <c r="B77" t="s">
        <v>98</v>
      </c>
      <c r="C77" t="s">
        <v>96</v>
      </c>
      <c r="D77" t="s">
        <v>76</v>
      </c>
      <c r="E77" t="str">
        <f t="shared" si="0"/>
        <v>Electricity</v>
      </c>
      <c r="F77" t="s">
        <v>142</v>
      </c>
      <c r="H77" s="9">
        <f>H12*G136*3.6/1000</f>
        <v>0.19397557124088433</v>
      </c>
      <c r="I77" s="9">
        <f>I12*G136*3.6/1000</f>
        <v>0.19397557124088433</v>
      </c>
      <c r="J77" s="12">
        <f t="shared" si="1"/>
        <v>0.19397557124088433</v>
      </c>
      <c r="K77" s="9">
        <f t="shared" si="15"/>
        <v>0.19397557124088433</v>
      </c>
      <c r="L77" s="12">
        <f>I77</f>
        <v>0.19397557124088433</v>
      </c>
      <c r="R77" s="12">
        <f>R12*G136*3.6/1000</f>
        <v>1.2999766353336459</v>
      </c>
      <c r="S77" s="12">
        <f>R77</f>
        <v>1.2999766353336459</v>
      </c>
      <c r="V77" s="9">
        <f t="shared" si="17"/>
        <v>0.19397557124088433</v>
      </c>
      <c r="W77" s="9">
        <f>W12*G136*3.6/1000</f>
        <v>8.5077004930212419E-2</v>
      </c>
      <c r="X77" s="9">
        <f>W77</f>
        <v>8.5077004930212419E-2</v>
      </c>
      <c r="Y77" s="9">
        <f>W77</f>
        <v>8.5077004930212419E-2</v>
      </c>
      <c r="AA77" s="9">
        <f>I77</f>
        <v>0.19397557124088433</v>
      </c>
    </row>
    <row r="78" spans="1:27" hidden="1" x14ac:dyDescent="0.5">
      <c r="A78" t="s">
        <v>2</v>
      </c>
      <c r="B78" t="s">
        <v>99</v>
      </c>
      <c r="C78" t="s">
        <v>71</v>
      </c>
      <c r="D78" t="s">
        <v>100</v>
      </c>
      <c r="E78" s="7"/>
      <c r="F78" t="s">
        <v>137</v>
      </c>
      <c r="H78" s="12">
        <f>(1+$H$17)-H79</f>
        <v>0.91500000000000004</v>
      </c>
      <c r="I78" s="12">
        <f>(1+$I$17)-I79</f>
        <v>0.78</v>
      </c>
      <c r="J78" s="12">
        <f t="shared" si="1"/>
        <v>0.78</v>
      </c>
      <c r="K78" s="9">
        <f t="shared" si="15"/>
        <v>0.78</v>
      </c>
      <c r="L78" s="12">
        <f>I78</f>
        <v>0.78</v>
      </c>
      <c r="R78" s="12">
        <f>(1+R17)-R79</f>
        <v>0.78</v>
      </c>
      <c r="S78" s="12">
        <f>R78</f>
        <v>0.78</v>
      </c>
      <c r="V78" s="12">
        <f t="shared" si="17"/>
        <v>0.78</v>
      </c>
      <c r="W78" s="9">
        <f>(1+W17)-W79/(1-W17)</f>
        <v>1.05</v>
      </c>
      <c r="X78" s="9">
        <f>W78</f>
        <v>1.05</v>
      </c>
      <c r="Y78" s="18">
        <f>Q110</f>
        <v>1.1363636363636365</v>
      </c>
      <c r="AA78" s="12">
        <f>I78</f>
        <v>0.78</v>
      </c>
    </row>
    <row r="79" spans="1:27" hidden="1" x14ac:dyDescent="0.5">
      <c r="A79" t="s">
        <v>2</v>
      </c>
      <c r="B79" t="s">
        <v>99</v>
      </c>
      <c r="C79" t="s">
        <v>71</v>
      </c>
      <c r="D79" t="s">
        <v>101</v>
      </c>
      <c r="E79" t="str">
        <f t="shared" si="0"/>
        <v>Scrap</v>
      </c>
      <c r="F79" t="s">
        <v>137</v>
      </c>
      <c r="H79" s="12">
        <f>H3</f>
        <v>0.16500000000000001</v>
      </c>
      <c r="I79" s="12">
        <f>I3</f>
        <v>0.3</v>
      </c>
      <c r="J79" s="12">
        <f t="shared" si="1"/>
        <v>0.3</v>
      </c>
      <c r="K79" s="9">
        <f t="shared" si="15"/>
        <v>0.3</v>
      </c>
      <c r="L79" s="12">
        <f t="shared" ref="L79:L88" si="18">I79</f>
        <v>0.3</v>
      </c>
      <c r="R79" s="12">
        <f>R3</f>
        <v>0.3</v>
      </c>
      <c r="S79" s="12">
        <f>R79</f>
        <v>0.3</v>
      </c>
      <c r="V79" s="12">
        <f t="shared" ref="V79:V88" si="19">I79</f>
        <v>0.3</v>
      </c>
      <c r="AA79" s="12">
        <f>I79</f>
        <v>0.3</v>
      </c>
    </row>
    <row r="80" spans="1:27" hidden="1" x14ac:dyDescent="0.5">
      <c r="A80" t="s">
        <v>2</v>
      </c>
      <c r="B80" t="s">
        <v>99</v>
      </c>
      <c r="C80" t="s">
        <v>102</v>
      </c>
      <c r="D80" t="s">
        <v>82</v>
      </c>
      <c r="E80" t="str">
        <f t="shared" si="0"/>
        <v>Natural gas</v>
      </c>
      <c r="F80" t="s">
        <v>142</v>
      </c>
      <c r="H80" s="12">
        <v>0.04</v>
      </c>
      <c r="I80" s="9">
        <f t="shared" ref="I80:I87" si="20">H80*(1-$I$20)</f>
        <v>3.6000000000000004E-2</v>
      </c>
      <c r="J80" s="12">
        <f t="shared" si="1"/>
        <v>3.6000000000000004E-2</v>
      </c>
      <c r="K80" s="9">
        <f t="shared" si="15"/>
        <v>3.6000000000000004E-2</v>
      </c>
      <c r="L80" s="12">
        <f t="shared" si="18"/>
        <v>3.6000000000000004E-2</v>
      </c>
      <c r="R80" s="12">
        <v>0.04</v>
      </c>
      <c r="S80" s="12">
        <f>R80</f>
        <v>0.04</v>
      </c>
      <c r="V80" s="12">
        <f t="shared" si="19"/>
        <v>3.6000000000000004E-2</v>
      </c>
      <c r="AA80" s="9">
        <f>I80</f>
        <v>3.6000000000000004E-2</v>
      </c>
    </row>
    <row r="81" spans="1:27" hidden="1" x14ac:dyDescent="0.5">
      <c r="A81" t="s">
        <v>2</v>
      </c>
      <c r="B81" t="s">
        <v>99</v>
      </c>
      <c r="C81" t="s">
        <v>102</v>
      </c>
      <c r="D81" t="s">
        <v>74</v>
      </c>
      <c r="E81" t="str">
        <f t="shared" si="0"/>
        <v>COG</v>
      </c>
      <c r="F81" t="s">
        <v>142</v>
      </c>
      <c r="H81" s="12">
        <v>0.01</v>
      </c>
      <c r="I81" s="9">
        <f t="shared" si="20"/>
        <v>9.0000000000000011E-3</v>
      </c>
      <c r="J81" s="12">
        <f t="shared" si="1"/>
        <v>9.0000000000000011E-3</v>
      </c>
      <c r="K81" s="9">
        <f t="shared" si="15"/>
        <v>9.0000000000000011E-3</v>
      </c>
      <c r="L81" s="12">
        <f t="shared" si="18"/>
        <v>9.0000000000000011E-3</v>
      </c>
      <c r="V81" s="12">
        <f t="shared" si="19"/>
        <v>9.0000000000000011E-3</v>
      </c>
      <c r="AA81" s="12">
        <f>J81</f>
        <v>9.0000000000000011E-3</v>
      </c>
    </row>
    <row r="82" spans="1:27" hidden="1" x14ac:dyDescent="0.5">
      <c r="A82" t="s">
        <v>2</v>
      </c>
      <c r="B82" t="s">
        <v>99</v>
      </c>
      <c r="C82" t="s">
        <v>102</v>
      </c>
      <c r="D82" t="s">
        <v>75</v>
      </c>
      <c r="E82" t="str">
        <f t="shared" si="0"/>
        <v>BF gas</v>
      </c>
      <c r="F82" t="s">
        <v>142</v>
      </c>
      <c r="H82" s="12">
        <v>0.03</v>
      </c>
      <c r="J82" s="12">
        <f t="shared" si="1"/>
        <v>0</v>
      </c>
      <c r="K82" s="9">
        <f t="shared" si="15"/>
        <v>0</v>
      </c>
      <c r="L82" s="12">
        <f t="shared" si="18"/>
        <v>0</v>
      </c>
      <c r="V82" s="12">
        <f t="shared" si="19"/>
        <v>0</v>
      </c>
    </row>
    <row r="83" spans="1:27" hidden="1" x14ac:dyDescent="0.5">
      <c r="A83" t="s">
        <v>2</v>
      </c>
      <c r="B83" t="s">
        <v>99</v>
      </c>
      <c r="C83" t="s">
        <v>102</v>
      </c>
      <c r="D83" t="s">
        <v>77</v>
      </c>
      <c r="E83" t="str">
        <f t="shared" si="0"/>
        <v>Steam</v>
      </c>
      <c r="F83" t="s">
        <v>142</v>
      </c>
      <c r="H83" s="12">
        <v>0.15</v>
      </c>
      <c r="I83" s="9">
        <f t="shared" si="20"/>
        <v>0.13500000000000001</v>
      </c>
      <c r="J83" s="12">
        <f t="shared" si="1"/>
        <v>0.13500000000000001</v>
      </c>
      <c r="K83" s="9">
        <f t="shared" si="15"/>
        <v>0.13500000000000001</v>
      </c>
      <c r="L83" s="12">
        <f t="shared" si="18"/>
        <v>0.13500000000000001</v>
      </c>
      <c r="R83" s="12">
        <v>0.15</v>
      </c>
      <c r="S83" s="12">
        <f>R83</f>
        <v>0.15</v>
      </c>
      <c r="V83" s="12">
        <f t="shared" si="19"/>
        <v>0.13500000000000001</v>
      </c>
      <c r="W83" s="9">
        <f>I83</f>
        <v>0.13500000000000001</v>
      </c>
      <c r="X83" s="9">
        <f>W83</f>
        <v>0.13500000000000001</v>
      </c>
      <c r="Y83" s="9">
        <f>W83</f>
        <v>0.13500000000000001</v>
      </c>
      <c r="AA83" s="9">
        <f>I83</f>
        <v>0.13500000000000001</v>
      </c>
    </row>
    <row r="84" spans="1:27" hidden="1" x14ac:dyDescent="0.5">
      <c r="A84" t="s">
        <v>2</v>
      </c>
      <c r="B84" t="s">
        <v>99</v>
      </c>
      <c r="C84" t="s">
        <v>102</v>
      </c>
      <c r="D84" t="s">
        <v>76</v>
      </c>
      <c r="E84" t="str">
        <f t="shared" si="0"/>
        <v>Electricity</v>
      </c>
      <c r="F84" t="s">
        <v>142</v>
      </c>
      <c r="H84" s="12">
        <v>0.08</v>
      </c>
      <c r="I84" s="12">
        <f>H84</f>
        <v>0.08</v>
      </c>
      <c r="J84" s="12">
        <f t="shared" si="1"/>
        <v>0.08</v>
      </c>
      <c r="K84" s="9">
        <f t="shared" si="15"/>
        <v>0.08</v>
      </c>
      <c r="L84" s="12">
        <f t="shared" si="18"/>
        <v>0.08</v>
      </c>
      <c r="R84" s="12">
        <v>0.08</v>
      </c>
      <c r="S84" s="12">
        <f>R84</f>
        <v>0.08</v>
      </c>
      <c r="V84" s="12">
        <f t="shared" si="19"/>
        <v>0.08</v>
      </c>
      <c r="W84" s="9">
        <f t="shared" ref="W84:W88" si="21">I84</f>
        <v>0.08</v>
      </c>
      <c r="X84" s="9">
        <f>W84</f>
        <v>0.08</v>
      </c>
      <c r="Y84" s="9">
        <f>W84</f>
        <v>0.08</v>
      </c>
      <c r="AA84" s="12">
        <f>I84</f>
        <v>0.08</v>
      </c>
    </row>
    <row r="85" spans="1:27" hidden="1" x14ac:dyDescent="0.5">
      <c r="A85" t="s">
        <v>2</v>
      </c>
      <c r="B85" t="s">
        <v>99</v>
      </c>
      <c r="C85" t="s">
        <v>102</v>
      </c>
      <c r="D85" t="s">
        <v>72</v>
      </c>
      <c r="E85" t="str">
        <f t="shared" si="0"/>
        <v>Met coal</v>
      </c>
      <c r="F85" t="s">
        <v>137</v>
      </c>
      <c r="H85" s="12"/>
      <c r="J85" s="12"/>
      <c r="L85" s="12"/>
      <c r="R85" s="12"/>
      <c r="V85" s="12">
        <f t="shared" si="19"/>
        <v>0</v>
      </c>
      <c r="W85" s="9">
        <f t="shared" si="21"/>
        <v>0</v>
      </c>
      <c r="Y85" s="15">
        <f>0.86/28.4*(1-Y79)</f>
        <v>3.0281690140845072E-2</v>
      </c>
    </row>
    <row r="86" spans="1:27" hidden="1" x14ac:dyDescent="0.5">
      <c r="A86" t="s">
        <v>2</v>
      </c>
      <c r="B86" t="s">
        <v>99</v>
      </c>
      <c r="C86" t="s">
        <v>102</v>
      </c>
      <c r="D86" t="s">
        <v>94</v>
      </c>
      <c r="E86" t="str">
        <f t="shared" si="0"/>
        <v>BOF gas</v>
      </c>
      <c r="F86" t="s">
        <v>142</v>
      </c>
      <c r="H86" s="12"/>
      <c r="J86" s="12"/>
      <c r="L86" s="12"/>
      <c r="R86" s="12"/>
      <c r="V86" s="12">
        <f t="shared" si="19"/>
        <v>0</v>
      </c>
      <c r="W86" s="9">
        <f>I80+I81+I82</f>
        <v>4.5000000000000005E-2</v>
      </c>
      <c r="X86" s="9">
        <f t="shared" ref="X86:X91" si="22">W86</f>
        <v>4.5000000000000005E-2</v>
      </c>
      <c r="Y86" s="15"/>
    </row>
    <row r="87" spans="1:27" hidden="1" x14ac:dyDescent="0.5">
      <c r="A87" t="s">
        <v>2</v>
      </c>
      <c r="B87" t="s">
        <v>99</v>
      </c>
      <c r="C87" t="s">
        <v>103</v>
      </c>
      <c r="D87" t="s">
        <v>82</v>
      </c>
      <c r="E87" t="str">
        <f t="shared" si="0"/>
        <v>Natural gas</v>
      </c>
      <c r="F87" t="s">
        <v>142</v>
      </c>
      <c r="H87" s="12">
        <v>2.4E-2</v>
      </c>
      <c r="I87" s="9">
        <f t="shared" si="20"/>
        <v>2.1600000000000001E-2</v>
      </c>
      <c r="J87" s="12">
        <f t="shared" si="1"/>
        <v>2.1600000000000001E-2</v>
      </c>
      <c r="K87" s="9">
        <f t="shared" si="15"/>
        <v>2.1600000000000001E-2</v>
      </c>
      <c r="L87" s="12">
        <f t="shared" si="18"/>
        <v>2.1600000000000001E-2</v>
      </c>
      <c r="R87" s="12">
        <v>0.02</v>
      </c>
      <c r="S87" s="12">
        <f>R87</f>
        <v>0.02</v>
      </c>
      <c r="V87" s="12">
        <f t="shared" si="19"/>
        <v>2.1600000000000001E-2</v>
      </c>
      <c r="W87" s="9">
        <f t="shared" si="21"/>
        <v>2.1600000000000001E-2</v>
      </c>
      <c r="X87" s="9">
        <f t="shared" si="22"/>
        <v>2.1600000000000001E-2</v>
      </c>
      <c r="AA87" s="9">
        <f>I87</f>
        <v>2.1600000000000001E-2</v>
      </c>
    </row>
    <row r="88" spans="1:27" hidden="1" x14ac:dyDescent="0.5">
      <c r="A88" t="s">
        <v>2</v>
      </c>
      <c r="B88" t="s">
        <v>99</v>
      </c>
      <c r="C88" t="s">
        <v>103</v>
      </c>
      <c r="D88" t="s">
        <v>76</v>
      </c>
      <c r="E88" t="str">
        <f t="shared" si="0"/>
        <v>Electricity</v>
      </c>
      <c r="F88" t="s">
        <v>142</v>
      </c>
      <c r="H88" s="12">
        <v>0.04</v>
      </c>
      <c r="I88" s="12">
        <f>H88</f>
        <v>0.04</v>
      </c>
      <c r="J88" s="12">
        <f t="shared" si="1"/>
        <v>0.04</v>
      </c>
      <c r="K88" s="9">
        <f t="shared" si="15"/>
        <v>0.04</v>
      </c>
      <c r="L88" s="12">
        <f t="shared" si="18"/>
        <v>0.04</v>
      </c>
      <c r="R88" s="12">
        <v>0.04</v>
      </c>
      <c r="S88" s="12">
        <f>R88</f>
        <v>0.04</v>
      </c>
      <c r="V88" s="12">
        <f t="shared" si="19"/>
        <v>0.04</v>
      </c>
      <c r="W88" s="9">
        <f t="shared" si="21"/>
        <v>0.04</v>
      </c>
      <c r="X88" s="9">
        <f t="shared" si="22"/>
        <v>0.04</v>
      </c>
      <c r="Y88" s="17">
        <f>Q121+Q122</f>
        <v>1.4778</v>
      </c>
      <c r="AA88" s="12">
        <f>I88</f>
        <v>0.04</v>
      </c>
    </row>
    <row r="89" spans="1:27" hidden="1" x14ac:dyDescent="0.5">
      <c r="A89" t="s">
        <v>2</v>
      </c>
      <c r="B89" t="s">
        <v>99</v>
      </c>
      <c r="C89" t="s">
        <v>103</v>
      </c>
      <c r="D89" t="s">
        <v>104</v>
      </c>
      <c r="E89" t="str">
        <f t="shared" si="0"/>
        <v>Other slag</v>
      </c>
      <c r="F89" t="s">
        <v>156</v>
      </c>
      <c r="H89" s="12">
        <v>125</v>
      </c>
      <c r="I89" s="12">
        <f>H89</f>
        <v>125</v>
      </c>
      <c r="J89" s="12">
        <f>H89</f>
        <v>125</v>
      </c>
      <c r="K89" s="12">
        <f>H89</f>
        <v>125</v>
      </c>
      <c r="L89" s="12">
        <f>H89</f>
        <v>125</v>
      </c>
      <c r="R89" s="12">
        <v>310</v>
      </c>
      <c r="S89" s="12">
        <f>R89</f>
        <v>310</v>
      </c>
      <c r="V89" s="12">
        <f>H89</f>
        <v>125</v>
      </c>
      <c r="W89" s="12">
        <f>R89</f>
        <v>310</v>
      </c>
      <c r="X89" s="12">
        <f t="shared" si="22"/>
        <v>310</v>
      </c>
      <c r="Y89" s="9">
        <f>X89</f>
        <v>310</v>
      </c>
      <c r="AA89" s="12">
        <f>H89</f>
        <v>125</v>
      </c>
    </row>
    <row r="90" spans="1:27" hidden="1" x14ac:dyDescent="0.5">
      <c r="A90" t="s">
        <v>2</v>
      </c>
      <c r="B90" t="s">
        <v>105</v>
      </c>
      <c r="C90" t="s">
        <v>71</v>
      </c>
      <c r="D90" t="s">
        <v>82</v>
      </c>
      <c r="E90" t="str">
        <f t="shared" si="0"/>
        <v>Natural gas</v>
      </c>
      <c r="F90" t="s">
        <v>149</v>
      </c>
      <c r="H90" s="12"/>
      <c r="I90" s="12"/>
      <c r="J90" s="12"/>
      <c r="L90" s="12"/>
      <c r="M90" s="9">
        <v>10.1</v>
      </c>
      <c r="N90" s="9">
        <f>M90*(1-N27)</f>
        <v>5.05</v>
      </c>
      <c r="O90" s="9">
        <f>M90-O99</f>
        <v>5.05</v>
      </c>
      <c r="P90" s="9">
        <f>M90</f>
        <v>10.1</v>
      </c>
      <c r="Q90" s="9">
        <f>10.1*(1-$Q$27)</f>
        <v>0</v>
      </c>
      <c r="W90" s="9">
        <f>M90-W98</f>
        <v>10.1</v>
      </c>
      <c r="X90" s="9">
        <f t="shared" si="22"/>
        <v>10.1</v>
      </c>
    </row>
    <row r="91" spans="1:27" hidden="1" x14ac:dyDescent="0.5">
      <c r="A91" t="s">
        <v>2</v>
      </c>
      <c r="B91" t="s">
        <v>105</v>
      </c>
      <c r="C91" t="s">
        <v>71</v>
      </c>
      <c r="D91" t="s">
        <v>79</v>
      </c>
      <c r="E91" t="str">
        <f t="shared" si="0"/>
        <v>Iron ore</v>
      </c>
      <c r="F91" t="s">
        <v>138</v>
      </c>
      <c r="H91" s="12"/>
      <c r="I91" s="12"/>
      <c r="J91" s="12"/>
      <c r="L91" s="12"/>
      <c r="M91" s="12">
        <v>0</v>
      </c>
      <c r="N91" s="9">
        <f>1.36/0.952</f>
        <v>1.4285714285714288</v>
      </c>
      <c r="O91" s="9">
        <f>1.36/0.952</f>
        <v>1.4285714285714288</v>
      </c>
      <c r="P91" s="9">
        <f t="shared" ref="P91:P100" si="23">M91</f>
        <v>0</v>
      </c>
      <c r="Q91" s="9">
        <f>1.36/0.952</f>
        <v>1.4285714285714288</v>
      </c>
      <c r="W91" s="9">
        <f>1.36/0.952</f>
        <v>1.4285714285714288</v>
      </c>
      <c r="X91" s="9">
        <f t="shared" si="22"/>
        <v>1.4285714285714288</v>
      </c>
      <c r="Y91" s="9">
        <f>Q91</f>
        <v>1.4285714285714288</v>
      </c>
    </row>
    <row r="92" spans="1:27" hidden="1" x14ac:dyDescent="0.5">
      <c r="A92" t="s">
        <v>2</v>
      </c>
      <c r="B92" t="s">
        <v>105</v>
      </c>
      <c r="C92" t="s">
        <v>71</v>
      </c>
      <c r="D92" t="s">
        <v>87</v>
      </c>
      <c r="E92" s="7"/>
      <c r="F92" t="s">
        <v>138</v>
      </c>
      <c r="H92" s="12"/>
      <c r="I92" s="12"/>
      <c r="J92" s="12"/>
      <c r="L92" s="12"/>
      <c r="M92" s="12">
        <f>1.36/M110</f>
        <v>1.1968000000000001</v>
      </c>
      <c r="P92" s="9">
        <f t="shared" si="23"/>
        <v>1.1968000000000001</v>
      </c>
      <c r="Q92" s="9">
        <v>0</v>
      </c>
    </row>
    <row r="93" spans="1:27" hidden="1" x14ac:dyDescent="0.5">
      <c r="A93" t="s">
        <v>2</v>
      </c>
      <c r="B93" t="s">
        <v>105</v>
      </c>
      <c r="C93" t="s">
        <v>71</v>
      </c>
      <c r="D93" t="s">
        <v>88</v>
      </c>
      <c r="E93" t="str">
        <f t="shared" si="0"/>
        <v>Coke</v>
      </c>
      <c r="F93" t="s">
        <v>138</v>
      </c>
      <c r="H93" s="12"/>
      <c r="I93" s="12"/>
      <c r="J93" s="12"/>
      <c r="L93" s="12"/>
      <c r="M93" s="12">
        <v>0</v>
      </c>
      <c r="P93" s="9">
        <f t="shared" si="23"/>
        <v>0</v>
      </c>
    </row>
    <row r="94" spans="1:27" hidden="1" x14ac:dyDescent="0.5">
      <c r="A94" t="s">
        <v>2</v>
      </c>
      <c r="B94" t="s">
        <v>105</v>
      </c>
      <c r="C94" t="s">
        <v>71</v>
      </c>
      <c r="D94" t="s">
        <v>106</v>
      </c>
      <c r="E94" t="str">
        <f t="shared" si="0"/>
        <v>Coal</v>
      </c>
      <c r="F94" t="s">
        <v>138</v>
      </c>
      <c r="H94" s="12"/>
      <c r="I94" s="12"/>
      <c r="J94" s="12"/>
      <c r="L94" s="12"/>
      <c r="M94" s="12">
        <v>0</v>
      </c>
      <c r="P94" s="9">
        <f t="shared" si="23"/>
        <v>0</v>
      </c>
    </row>
    <row r="95" spans="1:27" hidden="1" x14ac:dyDescent="0.5">
      <c r="A95" t="s">
        <v>2</v>
      </c>
      <c r="B95" t="s">
        <v>105</v>
      </c>
      <c r="C95" t="s">
        <v>71</v>
      </c>
      <c r="D95" t="s">
        <v>75</v>
      </c>
      <c r="E95" t="str">
        <f t="shared" si="0"/>
        <v>BF gas</v>
      </c>
      <c r="F95" t="s">
        <v>138</v>
      </c>
      <c r="H95" s="12"/>
      <c r="I95" s="12"/>
      <c r="J95" s="12"/>
      <c r="L95" s="12"/>
      <c r="M95" s="12">
        <v>0</v>
      </c>
      <c r="P95" s="9">
        <f t="shared" si="23"/>
        <v>0</v>
      </c>
    </row>
    <row r="96" spans="1:27" hidden="1" x14ac:dyDescent="0.5">
      <c r="A96" t="s">
        <v>2</v>
      </c>
      <c r="B96" t="s">
        <v>105</v>
      </c>
      <c r="C96" t="s">
        <v>71</v>
      </c>
      <c r="D96" t="s">
        <v>74</v>
      </c>
      <c r="E96" t="str">
        <f t="shared" si="0"/>
        <v>COG</v>
      </c>
      <c r="F96" t="s">
        <v>138</v>
      </c>
      <c r="H96" s="12"/>
      <c r="I96" s="12"/>
      <c r="J96" s="12"/>
      <c r="L96" s="12"/>
      <c r="M96" s="12">
        <v>0</v>
      </c>
      <c r="P96" s="9">
        <f t="shared" si="23"/>
        <v>0</v>
      </c>
    </row>
    <row r="97" spans="1:26" hidden="1" x14ac:dyDescent="0.5">
      <c r="A97" t="s">
        <v>2</v>
      </c>
      <c r="B97" t="s">
        <v>105</v>
      </c>
      <c r="C97" t="s">
        <v>71</v>
      </c>
      <c r="D97" t="s">
        <v>82</v>
      </c>
      <c r="E97" t="str">
        <f t="shared" si="0"/>
        <v>Natural gas</v>
      </c>
      <c r="F97" t="s">
        <v>138</v>
      </c>
      <c r="H97" s="12"/>
      <c r="I97" s="12"/>
      <c r="J97" s="12"/>
      <c r="L97" s="12"/>
      <c r="M97" s="12">
        <v>0</v>
      </c>
      <c r="P97" s="9">
        <f t="shared" si="23"/>
        <v>0</v>
      </c>
    </row>
    <row r="98" spans="1:26" hidden="1" x14ac:dyDescent="0.5">
      <c r="A98" t="s">
        <v>2</v>
      </c>
      <c r="B98" t="s">
        <v>105</v>
      </c>
      <c r="C98" t="s">
        <v>71</v>
      </c>
      <c r="D98" t="s">
        <v>94</v>
      </c>
      <c r="E98" t="str">
        <f t="shared" si="0"/>
        <v>BOF gas</v>
      </c>
      <c r="F98" t="s">
        <v>138</v>
      </c>
      <c r="H98" s="12"/>
      <c r="I98" s="12"/>
      <c r="J98" s="12"/>
      <c r="L98" s="12"/>
      <c r="M98" s="12">
        <v>0</v>
      </c>
      <c r="P98" s="9">
        <f t="shared" si="23"/>
        <v>0</v>
      </c>
    </row>
    <row r="99" spans="1:26" hidden="1" x14ac:dyDescent="0.5">
      <c r="A99" t="s">
        <v>2</v>
      </c>
      <c r="B99" t="s">
        <v>105</v>
      </c>
      <c r="C99" t="s">
        <v>71</v>
      </c>
      <c r="D99" t="s">
        <v>107</v>
      </c>
      <c r="E99" t="str">
        <f t="shared" si="0"/>
        <v>Biomethane</v>
      </c>
      <c r="F99" t="s">
        <v>149</v>
      </c>
      <c r="H99" s="12"/>
      <c r="I99" s="12"/>
      <c r="J99" s="12"/>
      <c r="L99" s="12"/>
      <c r="M99" s="12"/>
      <c r="O99" s="9">
        <f>M90*O35</f>
        <v>5.05</v>
      </c>
      <c r="P99" s="9">
        <f t="shared" si="23"/>
        <v>0</v>
      </c>
    </row>
    <row r="100" spans="1:26" hidden="1" x14ac:dyDescent="0.5">
      <c r="A100" t="s">
        <v>2</v>
      </c>
      <c r="B100" t="s">
        <v>105</v>
      </c>
      <c r="C100" t="s">
        <v>95</v>
      </c>
      <c r="D100" t="s">
        <v>76</v>
      </c>
      <c r="E100" t="str">
        <f t="shared" si="0"/>
        <v>Electricity</v>
      </c>
      <c r="F100" t="s">
        <v>149</v>
      </c>
      <c r="H100" s="12"/>
      <c r="I100" s="12"/>
      <c r="J100" s="12"/>
      <c r="L100" s="12"/>
      <c r="M100" s="12">
        <f>(90*3.6/1000)/0.952</f>
        <v>0.34033613445378152</v>
      </c>
      <c r="N100" s="12">
        <f>M100</f>
        <v>0.34033613445378152</v>
      </c>
      <c r="O100" s="12">
        <f>M100</f>
        <v>0.34033613445378152</v>
      </c>
      <c r="P100" s="9">
        <f t="shared" si="23"/>
        <v>0.34033613445378152</v>
      </c>
      <c r="Q100" s="9">
        <f>(90*3.6/1000)/0.952</f>
        <v>0.34033613445378152</v>
      </c>
      <c r="W100" s="9">
        <f>(90*3.6/1000)/0.952</f>
        <v>0.34033613445378152</v>
      </c>
      <c r="X100" s="9">
        <f>W100</f>
        <v>0.34033613445378152</v>
      </c>
      <c r="Y100" s="9">
        <f>Q100</f>
        <v>0.34033613445378152</v>
      </c>
    </row>
    <row r="101" spans="1:26" hidden="1" x14ac:dyDescent="0.5">
      <c r="A101" t="s">
        <v>2</v>
      </c>
      <c r="B101" t="s">
        <v>105</v>
      </c>
      <c r="C101" t="s">
        <v>96</v>
      </c>
      <c r="D101" t="s">
        <v>77</v>
      </c>
      <c r="E101" t="str">
        <f t="shared" si="0"/>
        <v>Steam</v>
      </c>
      <c r="F101" t="s">
        <v>138</v>
      </c>
      <c r="H101" s="12"/>
      <c r="I101" s="12"/>
      <c r="J101" s="12"/>
      <c r="L101" s="12"/>
      <c r="M101" s="12">
        <v>0</v>
      </c>
    </row>
    <row r="102" spans="1:26" hidden="1" x14ac:dyDescent="0.5">
      <c r="A102" t="s">
        <v>2</v>
      </c>
      <c r="B102" t="s">
        <v>105</v>
      </c>
      <c r="C102" t="s">
        <v>71</v>
      </c>
      <c r="D102" t="s">
        <v>92</v>
      </c>
      <c r="E102" t="str">
        <f t="shared" si="0"/>
        <v>Hydrogen</v>
      </c>
      <c r="F102" t="s">
        <v>149</v>
      </c>
      <c r="H102" s="12"/>
      <c r="I102" s="12"/>
      <c r="J102" s="12"/>
      <c r="L102" s="12"/>
      <c r="M102" s="12"/>
      <c r="N102" s="9">
        <f>N26*N27*N31/1000</f>
        <v>3.78</v>
      </c>
      <c r="Q102" s="12">
        <f>Q26*Q27*$Q$31/1000</f>
        <v>7.56</v>
      </c>
      <c r="Y102" s="12">
        <f>Q102</f>
        <v>7.56</v>
      </c>
    </row>
    <row r="103" spans="1:26" hidden="1" x14ac:dyDescent="0.5">
      <c r="A103" t="s">
        <v>2</v>
      </c>
      <c r="B103" t="s">
        <v>105</v>
      </c>
      <c r="C103" t="s">
        <v>108</v>
      </c>
      <c r="D103" t="s">
        <v>76</v>
      </c>
      <c r="E103" t="str">
        <f t="shared" si="0"/>
        <v>Electricity</v>
      </c>
      <c r="F103" t="s">
        <v>149</v>
      </c>
      <c r="H103" s="12"/>
      <c r="I103" s="12"/>
      <c r="J103" s="12"/>
      <c r="L103" s="12"/>
      <c r="M103" s="12"/>
      <c r="Q103" s="12">
        <f>(Q102/120)*14*(930-30)/1000+(Q102/120)*Q29</f>
        <v>1.55925</v>
      </c>
      <c r="Y103" s="14">
        <f>Q103</f>
        <v>1.55925</v>
      </c>
    </row>
    <row r="104" spans="1:26" hidden="1" x14ac:dyDescent="0.5">
      <c r="A104" t="s">
        <v>2</v>
      </c>
      <c r="B104" t="s">
        <v>105</v>
      </c>
      <c r="C104" t="s">
        <v>108</v>
      </c>
      <c r="D104" t="s">
        <v>80</v>
      </c>
      <c r="E104" t="str">
        <f t="shared" si="0"/>
        <v>Thermal coal</v>
      </c>
      <c r="F104" t="s">
        <v>138</v>
      </c>
      <c r="H104" s="12"/>
      <c r="I104" s="12"/>
      <c r="J104" s="12"/>
      <c r="L104" s="12"/>
      <c r="M104" s="12"/>
      <c r="Q104" s="12">
        <v>0</v>
      </c>
    </row>
    <row r="105" spans="1:26" hidden="1" x14ac:dyDescent="0.5">
      <c r="A105" t="s">
        <v>2</v>
      </c>
      <c r="B105" t="s">
        <v>105</v>
      </c>
      <c r="C105" t="s">
        <v>108</v>
      </c>
      <c r="D105" t="s">
        <v>75</v>
      </c>
      <c r="E105" t="str">
        <f t="shared" si="0"/>
        <v>BF gas</v>
      </c>
      <c r="F105" t="s">
        <v>138</v>
      </c>
      <c r="H105" s="12"/>
      <c r="I105" s="12"/>
      <c r="J105" s="12"/>
      <c r="L105" s="12"/>
      <c r="M105" s="12"/>
      <c r="Q105" s="12">
        <v>0</v>
      </c>
    </row>
    <row r="106" spans="1:26" hidden="1" x14ac:dyDescent="0.5">
      <c r="A106" t="s">
        <v>2</v>
      </c>
      <c r="B106" t="s">
        <v>105</v>
      </c>
      <c r="C106" t="s">
        <v>108</v>
      </c>
      <c r="D106" t="s">
        <v>74</v>
      </c>
      <c r="E106" t="str">
        <f t="shared" si="0"/>
        <v>COG</v>
      </c>
      <c r="F106" t="s">
        <v>138</v>
      </c>
      <c r="H106" s="12"/>
      <c r="I106" s="12"/>
      <c r="J106" s="12"/>
      <c r="L106" s="12"/>
      <c r="M106" s="12"/>
      <c r="Q106" s="12">
        <v>0</v>
      </c>
    </row>
    <row r="107" spans="1:26" hidden="1" x14ac:dyDescent="0.5">
      <c r="A107" t="s">
        <v>2</v>
      </c>
      <c r="B107" t="s">
        <v>105</v>
      </c>
      <c r="C107" t="s">
        <v>108</v>
      </c>
      <c r="D107" t="s">
        <v>82</v>
      </c>
      <c r="E107" t="str">
        <f t="shared" ref="E107:E161" si="24">D107</f>
        <v>Natural gas</v>
      </c>
      <c r="F107" t="s">
        <v>149</v>
      </c>
      <c r="H107" s="12"/>
      <c r="I107" s="12"/>
      <c r="J107" s="12"/>
      <c r="L107" s="12"/>
      <c r="M107" s="12"/>
      <c r="N107" s="9">
        <f>Q103*N27</f>
        <v>0.77962500000000001</v>
      </c>
      <c r="Q107" s="12">
        <v>0</v>
      </c>
    </row>
    <row r="108" spans="1:26" hidden="1" x14ac:dyDescent="0.5">
      <c r="A108" t="s">
        <v>2</v>
      </c>
      <c r="B108" t="s">
        <v>105</v>
      </c>
      <c r="C108" t="s">
        <v>108</v>
      </c>
      <c r="D108" t="s">
        <v>94</v>
      </c>
      <c r="E108" t="str">
        <f t="shared" si="24"/>
        <v>BOF gas</v>
      </c>
      <c r="F108" t="s">
        <v>138</v>
      </c>
      <c r="H108" s="12"/>
      <c r="I108" s="12"/>
      <c r="J108" s="12"/>
      <c r="L108" s="12"/>
      <c r="M108" s="12"/>
      <c r="Q108" s="12">
        <v>0</v>
      </c>
    </row>
    <row r="109" spans="1:26" hidden="1" x14ac:dyDescent="0.5">
      <c r="A109" t="s">
        <v>2</v>
      </c>
      <c r="B109" t="s">
        <v>109</v>
      </c>
      <c r="C109" t="s">
        <v>71</v>
      </c>
      <c r="D109" t="s">
        <v>101</v>
      </c>
      <c r="E109" t="str">
        <f t="shared" si="24"/>
        <v>Scrap</v>
      </c>
      <c r="F109" t="s">
        <v>137</v>
      </c>
      <c r="H109" s="12"/>
      <c r="I109" s="12"/>
      <c r="J109" s="12"/>
      <c r="L109" s="12"/>
      <c r="M109" s="17">
        <v>0</v>
      </c>
      <c r="N109" s="15"/>
      <c r="O109" s="15"/>
      <c r="P109" s="15"/>
      <c r="Q109" s="17">
        <v>0</v>
      </c>
      <c r="T109" s="9">
        <f>T21</f>
        <v>1.1160000000000001</v>
      </c>
      <c r="U109" s="12">
        <f>I79</f>
        <v>0.3</v>
      </c>
      <c r="Z109" s="12">
        <f>I79</f>
        <v>0.3</v>
      </c>
    </row>
    <row r="110" spans="1:26" hidden="1" x14ac:dyDescent="0.5">
      <c r="A110" t="s">
        <v>2</v>
      </c>
      <c r="B110" t="s">
        <v>109</v>
      </c>
      <c r="C110" t="s">
        <v>71</v>
      </c>
      <c r="D110" t="s">
        <v>110</v>
      </c>
      <c r="E110" s="7"/>
      <c r="F110" t="s">
        <v>137</v>
      </c>
      <c r="H110" s="12"/>
      <c r="I110" s="12"/>
      <c r="J110" s="12"/>
      <c r="L110" s="12"/>
      <c r="M110" s="12">
        <f>(1-$M$109)/$M$24</f>
        <v>1.1363636363636365</v>
      </c>
      <c r="N110" s="12">
        <f>M110</f>
        <v>1.1363636363636365</v>
      </c>
      <c r="O110" s="12">
        <f>M110</f>
        <v>1.1363636363636365</v>
      </c>
      <c r="P110" s="12">
        <f>M110</f>
        <v>1.1363636363636365</v>
      </c>
      <c r="Q110" s="17">
        <f>M110</f>
        <v>1.1363636363636365</v>
      </c>
    </row>
    <row r="111" spans="1:26" hidden="1" x14ac:dyDescent="0.5">
      <c r="A111" t="s">
        <v>2</v>
      </c>
      <c r="B111" t="s">
        <v>109</v>
      </c>
      <c r="C111" t="s">
        <v>71</v>
      </c>
      <c r="D111" t="s">
        <v>72</v>
      </c>
      <c r="E111" t="str">
        <f t="shared" si="24"/>
        <v>Met coal</v>
      </c>
      <c r="F111" t="s">
        <v>137</v>
      </c>
      <c r="H111" s="12"/>
      <c r="I111" s="12"/>
      <c r="J111" s="12"/>
      <c r="L111" s="12"/>
      <c r="M111" s="12"/>
      <c r="Q111" s="17"/>
      <c r="T111" s="15">
        <v>1.7000000000000001E-2</v>
      </c>
      <c r="U111" s="9">
        <f>0.86/28.4*(1-U109)</f>
        <v>2.119718309859155E-2</v>
      </c>
      <c r="Z111" s="9">
        <f>0.86/28.4*(1-Z109)</f>
        <v>2.119718309859155E-2</v>
      </c>
    </row>
    <row r="112" spans="1:26" hidden="1" x14ac:dyDescent="0.5">
      <c r="A112" t="s">
        <v>2</v>
      </c>
      <c r="B112" t="s">
        <v>109</v>
      </c>
      <c r="C112" t="s">
        <v>71</v>
      </c>
      <c r="D112" s="7" t="s">
        <v>170</v>
      </c>
      <c r="E112" s="7"/>
      <c r="F112" t="s">
        <v>137</v>
      </c>
      <c r="H112" s="12"/>
      <c r="I112" s="12"/>
      <c r="J112" s="12"/>
      <c r="L112" s="12"/>
      <c r="M112" s="12"/>
      <c r="Q112" s="17"/>
      <c r="T112" s="15"/>
      <c r="U112" s="15">
        <f>0.97*(1-U109)</f>
        <v>0.67899999999999994</v>
      </c>
      <c r="Z112" s="15">
        <f>0.97*(1-Z109)</f>
        <v>0.67899999999999994</v>
      </c>
    </row>
    <row r="113" spans="1:27" hidden="1" x14ac:dyDescent="0.5">
      <c r="A113" t="s">
        <v>2</v>
      </c>
      <c r="B113" t="s">
        <v>109</v>
      </c>
      <c r="C113" t="s">
        <v>111</v>
      </c>
      <c r="D113" t="s">
        <v>82</v>
      </c>
      <c r="E113" t="str">
        <f t="shared" si="24"/>
        <v>Natural gas</v>
      </c>
      <c r="F113" t="s">
        <v>142</v>
      </c>
      <c r="H113" s="12"/>
      <c r="I113" s="12"/>
      <c r="J113" s="12"/>
      <c r="L113" s="12"/>
      <c r="M113" s="12">
        <v>0</v>
      </c>
      <c r="Q113" s="17">
        <f t="shared" ref="Q113:Q125" si="25">M113</f>
        <v>0</v>
      </c>
      <c r="T113" s="9">
        <f>0.05+T23*T22/T25</f>
        <v>0.05</v>
      </c>
    </row>
    <row r="114" spans="1:27" hidden="1" x14ac:dyDescent="0.5">
      <c r="A114" t="s">
        <v>2</v>
      </c>
      <c r="B114" t="s">
        <v>109</v>
      </c>
      <c r="C114" t="s">
        <v>20</v>
      </c>
      <c r="D114" t="s">
        <v>72</v>
      </c>
      <c r="E114" t="str">
        <f t="shared" si="24"/>
        <v>Met coal</v>
      </c>
      <c r="F114" t="s">
        <v>137</v>
      </c>
      <c r="H114" s="12"/>
      <c r="I114" s="12"/>
      <c r="J114" s="12"/>
      <c r="L114" s="12"/>
      <c r="M114" s="12"/>
      <c r="Q114" s="18">
        <f>0.86/28.4*(1-$Q$113)</f>
        <v>3.0281690140845072E-2</v>
      </c>
    </row>
    <row r="115" spans="1:27" hidden="1" x14ac:dyDescent="0.5">
      <c r="A115" t="s">
        <v>2</v>
      </c>
      <c r="B115" t="s">
        <v>109</v>
      </c>
      <c r="C115" t="s">
        <v>20</v>
      </c>
      <c r="D115" t="s">
        <v>74</v>
      </c>
      <c r="E115" t="str">
        <f t="shared" si="24"/>
        <v>COG</v>
      </c>
      <c r="F115" t="s">
        <v>142</v>
      </c>
      <c r="H115" s="12"/>
      <c r="I115" s="12"/>
      <c r="J115" s="12"/>
      <c r="L115" s="12"/>
      <c r="M115" s="12">
        <v>0</v>
      </c>
      <c r="Q115" s="17">
        <f t="shared" si="25"/>
        <v>0</v>
      </c>
    </row>
    <row r="116" spans="1:27" hidden="1" x14ac:dyDescent="0.5">
      <c r="A116" t="s">
        <v>2</v>
      </c>
      <c r="B116" t="s">
        <v>109</v>
      </c>
      <c r="C116" t="s">
        <v>20</v>
      </c>
      <c r="D116" t="s">
        <v>75</v>
      </c>
      <c r="E116" t="str">
        <f t="shared" si="24"/>
        <v>BF gas</v>
      </c>
      <c r="F116" t="s">
        <v>142</v>
      </c>
      <c r="H116" s="12"/>
      <c r="I116" s="12"/>
      <c r="J116" s="12"/>
      <c r="L116" s="12"/>
      <c r="M116" s="12">
        <v>0</v>
      </c>
      <c r="Q116" s="17">
        <f t="shared" si="25"/>
        <v>0</v>
      </c>
    </row>
    <row r="117" spans="1:27" hidden="1" x14ac:dyDescent="0.5">
      <c r="A117" t="s">
        <v>2</v>
      </c>
      <c r="B117" t="s">
        <v>109</v>
      </c>
      <c r="C117" t="s">
        <v>20</v>
      </c>
      <c r="D117" t="s">
        <v>77</v>
      </c>
      <c r="E117" t="str">
        <f t="shared" si="24"/>
        <v>Steam</v>
      </c>
      <c r="F117" t="s">
        <v>142</v>
      </c>
      <c r="H117" s="12"/>
      <c r="I117" s="12"/>
      <c r="J117" s="12"/>
      <c r="L117" s="12"/>
      <c r="M117" s="12">
        <v>0.3</v>
      </c>
      <c r="N117" s="12">
        <f>M117</f>
        <v>0.3</v>
      </c>
      <c r="O117" s="12">
        <f>M117</f>
        <v>0.3</v>
      </c>
      <c r="P117" s="12">
        <f>M117</f>
        <v>0.3</v>
      </c>
      <c r="Q117" s="17">
        <f>M117</f>
        <v>0.3</v>
      </c>
      <c r="T117" s="9">
        <v>0.3</v>
      </c>
      <c r="U117" s="9">
        <v>0.3</v>
      </c>
      <c r="Z117" s="12">
        <v>0.3</v>
      </c>
    </row>
    <row r="118" spans="1:27" hidden="1" x14ac:dyDescent="0.5">
      <c r="A118" t="s">
        <v>2</v>
      </c>
      <c r="B118" t="s">
        <v>109</v>
      </c>
      <c r="C118" t="s">
        <v>20</v>
      </c>
      <c r="D118" t="s">
        <v>76</v>
      </c>
      <c r="E118" t="str">
        <f t="shared" si="24"/>
        <v>Electricity</v>
      </c>
      <c r="F118" t="s">
        <v>142</v>
      </c>
      <c r="H118" s="12"/>
      <c r="I118" s="12"/>
      <c r="J118" s="12"/>
      <c r="L118" s="12"/>
      <c r="M118" s="12">
        <f>353*3.6/1000</f>
        <v>1.2707999999999999</v>
      </c>
      <c r="N118" s="12">
        <f>M118</f>
        <v>1.2707999999999999</v>
      </c>
      <c r="O118" s="12">
        <f>M118</f>
        <v>1.2707999999999999</v>
      </c>
      <c r="P118" s="12">
        <f t="shared" ref="P118:P121" si="26">M118</f>
        <v>1.2707999999999999</v>
      </c>
      <c r="Q118" s="17">
        <f t="shared" si="25"/>
        <v>1.2707999999999999</v>
      </c>
      <c r="T118" s="9">
        <f>524*3.6/1000</f>
        <v>1.8864000000000001</v>
      </c>
      <c r="U118" s="9">
        <f>353*3.6/1000</f>
        <v>1.2707999999999999</v>
      </c>
      <c r="Z118" s="9">
        <f>353*3.6/1000</f>
        <v>1.2707999999999999</v>
      </c>
    </row>
    <row r="119" spans="1:27" hidden="1" x14ac:dyDescent="0.5">
      <c r="A119" t="s">
        <v>2</v>
      </c>
      <c r="B119" t="s">
        <v>109</v>
      </c>
      <c r="C119" t="s">
        <v>103</v>
      </c>
      <c r="D119" t="s">
        <v>107</v>
      </c>
      <c r="E119" t="str">
        <f t="shared" si="24"/>
        <v>Biomethane</v>
      </c>
      <c r="F119" t="s">
        <v>142</v>
      </c>
      <c r="H119" s="12"/>
      <c r="I119" s="12"/>
      <c r="J119" s="12"/>
      <c r="L119" s="12"/>
      <c r="M119" s="12"/>
      <c r="O119" s="9">
        <f>(1.38+0.024)*O35</f>
        <v>0.70199999999999996</v>
      </c>
      <c r="P119" s="12">
        <f t="shared" si="26"/>
        <v>0</v>
      </c>
      <c r="Q119" s="17"/>
    </row>
    <row r="120" spans="1:27" hidden="1" x14ac:dyDescent="0.5">
      <c r="A120" t="s">
        <v>2</v>
      </c>
      <c r="B120" t="s">
        <v>109</v>
      </c>
      <c r="C120" t="s">
        <v>103</v>
      </c>
      <c r="D120" t="s">
        <v>82</v>
      </c>
      <c r="E120" t="str">
        <f t="shared" si="24"/>
        <v>Natural gas</v>
      </c>
      <c r="F120" t="s">
        <v>142</v>
      </c>
      <c r="H120" s="12"/>
      <c r="I120" s="12"/>
      <c r="J120" s="12"/>
      <c r="L120" s="12"/>
      <c r="M120" s="12">
        <f>1.38+0.024</f>
        <v>1.4039999999999999</v>
      </c>
      <c r="N120" s="14">
        <f>M120</f>
        <v>1.4039999999999999</v>
      </c>
      <c r="O120" s="9">
        <f>(1.38+0.024)-O119</f>
        <v>0.70199999999999996</v>
      </c>
      <c r="P120" s="12">
        <f t="shared" si="26"/>
        <v>1.4039999999999999</v>
      </c>
      <c r="Q120" s="15"/>
      <c r="T120" s="9">
        <f>1.38+0.024</f>
        <v>1.4039999999999999</v>
      </c>
    </row>
    <row r="121" spans="1:27" hidden="1" x14ac:dyDescent="0.5">
      <c r="A121" t="s">
        <v>2</v>
      </c>
      <c r="B121" t="s">
        <v>109</v>
      </c>
      <c r="C121" t="s">
        <v>103</v>
      </c>
      <c r="D121" t="s">
        <v>76</v>
      </c>
      <c r="E121" t="str">
        <f t="shared" si="24"/>
        <v>Electricity</v>
      </c>
      <c r="F121" t="s">
        <v>142</v>
      </c>
      <c r="H121" s="12"/>
      <c r="I121" s="12"/>
      <c r="J121" s="12"/>
      <c r="L121" s="12"/>
      <c r="M121" s="12">
        <f>(86+12.5)*3.6/1000</f>
        <v>0.35460000000000003</v>
      </c>
      <c r="N121" s="12">
        <f>M121</f>
        <v>0.35460000000000003</v>
      </c>
      <c r="O121" s="12">
        <f>M121</f>
        <v>0.35460000000000003</v>
      </c>
      <c r="P121" s="12">
        <f t="shared" si="26"/>
        <v>0.35460000000000003</v>
      </c>
      <c r="Q121" s="18">
        <f>M120*80%</f>
        <v>1.1232</v>
      </c>
      <c r="T121" s="9">
        <f>(86+12.5)*3.6/1000</f>
        <v>0.35460000000000003</v>
      </c>
      <c r="U121" s="17">
        <f>Q121</f>
        <v>1.1232</v>
      </c>
      <c r="Z121" s="17">
        <f>Q121</f>
        <v>1.1232</v>
      </c>
    </row>
    <row r="122" spans="1:27" hidden="1" x14ac:dyDescent="0.5">
      <c r="A122" t="s">
        <v>2</v>
      </c>
      <c r="B122" t="s">
        <v>109</v>
      </c>
      <c r="C122" t="s">
        <v>103</v>
      </c>
      <c r="D122" t="s">
        <v>76</v>
      </c>
      <c r="E122" t="str">
        <f t="shared" si="24"/>
        <v>Electricity</v>
      </c>
      <c r="F122" t="s">
        <v>142</v>
      </c>
      <c r="H122" s="12"/>
      <c r="I122" s="12"/>
      <c r="J122" s="12"/>
      <c r="L122" s="12"/>
      <c r="M122" s="12"/>
      <c r="Q122" s="17">
        <f>M121</f>
        <v>0.35460000000000003</v>
      </c>
    </row>
    <row r="123" spans="1:27" hidden="1" x14ac:dyDescent="0.5">
      <c r="A123" t="s">
        <v>2</v>
      </c>
      <c r="B123" t="s">
        <v>109</v>
      </c>
      <c r="C123" t="s">
        <v>103</v>
      </c>
      <c r="D123" t="s">
        <v>76</v>
      </c>
      <c r="E123" t="str">
        <f t="shared" si="24"/>
        <v>Electricity</v>
      </c>
      <c r="F123" t="s">
        <v>142</v>
      </c>
      <c r="H123" s="12"/>
      <c r="I123" s="12"/>
      <c r="J123" s="12"/>
      <c r="L123" s="12"/>
      <c r="M123" s="12"/>
      <c r="Q123" s="17"/>
      <c r="U123" s="9">
        <f>(86+12.5)*3.6/1000</f>
        <v>0.35460000000000003</v>
      </c>
      <c r="Z123" s="9">
        <f>(86+12.5)*3.6/1000</f>
        <v>0.35460000000000003</v>
      </c>
    </row>
    <row r="124" spans="1:27" hidden="1" x14ac:dyDescent="0.5">
      <c r="A124" t="s">
        <v>2</v>
      </c>
      <c r="B124" t="s">
        <v>109</v>
      </c>
      <c r="C124" t="s">
        <v>103</v>
      </c>
      <c r="D124" t="s">
        <v>104</v>
      </c>
      <c r="E124" t="str">
        <f t="shared" si="24"/>
        <v>Other slag</v>
      </c>
      <c r="F124" t="s">
        <v>156</v>
      </c>
      <c r="H124" s="12"/>
      <c r="I124" s="12"/>
      <c r="J124" s="12"/>
      <c r="L124" s="12"/>
      <c r="M124" s="12">
        <v>270</v>
      </c>
      <c r="N124" s="12">
        <f>M124</f>
        <v>270</v>
      </c>
      <c r="O124" s="12">
        <f>M124</f>
        <v>270</v>
      </c>
      <c r="P124" s="12">
        <f>M124</f>
        <v>270</v>
      </c>
      <c r="Q124" s="17">
        <f t="shared" si="25"/>
        <v>270</v>
      </c>
      <c r="T124" s="15">
        <v>180</v>
      </c>
    </row>
    <row r="125" spans="1:27" hidden="1" x14ac:dyDescent="0.5">
      <c r="A125" t="s">
        <v>2</v>
      </c>
      <c r="B125" t="s">
        <v>109</v>
      </c>
      <c r="C125" t="s">
        <v>103</v>
      </c>
      <c r="D125" t="s">
        <v>112</v>
      </c>
      <c r="E125" t="str">
        <f t="shared" si="24"/>
        <v>Process emissions</v>
      </c>
      <c r="F125" t="s">
        <v>165</v>
      </c>
      <c r="H125" s="12"/>
      <c r="I125" s="12"/>
      <c r="J125" s="12"/>
      <c r="L125" s="12"/>
      <c r="M125" s="12">
        <v>0.08</v>
      </c>
      <c r="N125" s="12">
        <f>M125</f>
        <v>0.08</v>
      </c>
      <c r="O125" s="12">
        <f>M125</f>
        <v>0.08</v>
      </c>
      <c r="P125" s="14">
        <f>M125</f>
        <v>0.08</v>
      </c>
      <c r="Q125" s="17">
        <f t="shared" si="25"/>
        <v>0.08</v>
      </c>
      <c r="T125" s="9">
        <v>0.08</v>
      </c>
      <c r="U125" s="9">
        <v>0.08</v>
      </c>
      <c r="Z125" s="9">
        <v>0.08</v>
      </c>
    </row>
    <row r="126" spans="1:27" hidden="1" x14ac:dyDescent="0.5">
      <c r="A126" t="s">
        <v>2</v>
      </c>
      <c r="B126" t="s">
        <v>113</v>
      </c>
      <c r="C126" t="s">
        <v>71</v>
      </c>
      <c r="D126" t="s">
        <v>114</v>
      </c>
      <c r="E126" s="7"/>
      <c r="F126" t="s">
        <v>155</v>
      </c>
      <c r="H126" s="12">
        <v>25.7</v>
      </c>
      <c r="I126" s="12">
        <v>25.7</v>
      </c>
      <c r="J126" s="12">
        <v>25.7</v>
      </c>
      <c r="K126" s="12">
        <v>25.7</v>
      </c>
      <c r="L126" s="12">
        <v>25.7</v>
      </c>
      <c r="V126" s="9">
        <v>25.7</v>
      </c>
      <c r="AA126" s="9">
        <v>25.7</v>
      </c>
    </row>
    <row r="127" spans="1:27" hidden="1" x14ac:dyDescent="0.5">
      <c r="A127" t="s">
        <v>2</v>
      </c>
      <c r="B127" t="s">
        <v>113</v>
      </c>
      <c r="C127" t="s">
        <v>71</v>
      </c>
      <c r="D127" t="s">
        <v>115</v>
      </c>
      <c r="E127" s="7"/>
      <c r="F127" t="s">
        <v>156</v>
      </c>
      <c r="H127" s="12">
        <v>67</v>
      </c>
      <c r="I127" s="12">
        <v>67</v>
      </c>
      <c r="J127" s="12">
        <v>67</v>
      </c>
      <c r="K127" s="12">
        <v>67</v>
      </c>
      <c r="L127" s="12">
        <v>67</v>
      </c>
      <c r="R127" s="9">
        <v>30</v>
      </c>
      <c r="S127" s="9">
        <f>R127</f>
        <v>30</v>
      </c>
      <c r="V127" s="9">
        <v>67</v>
      </c>
      <c r="W127" s="9">
        <v>30</v>
      </c>
      <c r="X127" s="9">
        <f>W127</f>
        <v>30</v>
      </c>
      <c r="Y127" s="15">
        <v>67</v>
      </c>
      <c r="AA127" s="9">
        <v>67</v>
      </c>
    </row>
    <row r="128" spans="1:27" hidden="1" x14ac:dyDescent="0.5">
      <c r="A128" t="s">
        <v>2</v>
      </c>
      <c r="B128" t="s">
        <v>116</v>
      </c>
      <c r="C128" t="s">
        <v>71</v>
      </c>
      <c r="D128" t="s">
        <v>74</v>
      </c>
      <c r="E128" t="str">
        <f t="shared" si="24"/>
        <v>COG</v>
      </c>
      <c r="F128" t="s">
        <v>153</v>
      </c>
      <c r="H128" s="12">
        <f>1/$H$18*(H14+10%)</f>
        <v>1.25</v>
      </c>
      <c r="I128" s="9">
        <f>1/$I$18*(I14+10%)</f>
        <v>1</v>
      </c>
      <c r="J128" s="12">
        <f>1/$J$18*J14</f>
        <v>0.8</v>
      </c>
      <c r="K128" s="9">
        <f>1/$K$18*K14</f>
        <v>0.8</v>
      </c>
      <c r="L128" s="9">
        <f>1/$L$18*L14</f>
        <v>0.8</v>
      </c>
      <c r="V128" s="9">
        <f>1/V18*V14</f>
        <v>0.8</v>
      </c>
      <c r="AA128" s="9">
        <f t="shared" ref="AA128" si="27">1/AA18*AA14</f>
        <v>0.8</v>
      </c>
    </row>
    <row r="129" spans="1:27" hidden="1" x14ac:dyDescent="0.5">
      <c r="A129" t="s">
        <v>2</v>
      </c>
      <c r="B129" t="s">
        <v>116</v>
      </c>
      <c r="C129" t="s">
        <v>71</v>
      </c>
      <c r="D129" t="s">
        <v>75</v>
      </c>
      <c r="E129" t="str">
        <f t="shared" si="24"/>
        <v>BF gas</v>
      </c>
      <c r="F129" t="s">
        <v>153</v>
      </c>
      <c r="H129" s="12">
        <f>1/$H$18*(H15-10%)</f>
        <v>1.25</v>
      </c>
      <c r="I129" s="9">
        <f>1/$I$18*(I15-10%)</f>
        <v>1</v>
      </c>
      <c r="J129" s="12">
        <f>1/$J$18*J15</f>
        <v>1.2</v>
      </c>
      <c r="K129" s="9">
        <f>1/$K$18*K15</f>
        <v>1.2</v>
      </c>
      <c r="L129" s="9">
        <f>1/$L$18*L15</f>
        <v>1.2</v>
      </c>
      <c r="V129" s="9">
        <f>1/V18*V15</f>
        <v>1.2</v>
      </c>
      <c r="AA129" s="9">
        <f t="shared" ref="AA129" si="28">1/AA18*AA15</f>
        <v>1.2</v>
      </c>
    </row>
    <row r="130" spans="1:27" hidden="1" x14ac:dyDescent="0.5">
      <c r="A130" t="s">
        <v>2</v>
      </c>
      <c r="B130" t="s">
        <v>116</v>
      </c>
      <c r="C130" t="s">
        <v>71</v>
      </c>
      <c r="D130" t="s">
        <v>94</v>
      </c>
      <c r="E130" t="str">
        <f t="shared" si="24"/>
        <v>BOF gas</v>
      </c>
      <c r="F130" t="s">
        <v>153</v>
      </c>
      <c r="H130" s="12"/>
      <c r="J130" s="12"/>
      <c r="R130" s="9">
        <f>1/R18</f>
        <v>2</v>
      </c>
      <c r="S130" s="9">
        <f>1/S18</f>
        <v>2</v>
      </c>
    </row>
    <row r="131" spans="1:27" hidden="1" x14ac:dyDescent="0.5">
      <c r="A131" t="s">
        <v>2</v>
      </c>
      <c r="B131" t="s">
        <v>116</v>
      </c>
      <c r="C131" t="s">
        <v>71</v>
      </c>
      <c r="D131" t="s">
        <v>80</v>
      </c>
      <c r="E131" t="str">
        <f t="shared" si="24"/>
        <v>Thermal coal</v>
      </c>
      <c r="F131" t="s">
        <v>154</v>
      </c>
      <c r="H131" s="12">
        <f>1/$H$19</f>
        <v>9.9999999999999995E-7</v>
      </c>
      <c r="J131" s="9">
        <f>1/$J$19</f>
        <v>1.0000000000000001E-5</v>
      </c>
      <c r="K131" s="9">
        <f>1/$K$19</f>
        <v>1.0000000000000001E-5</v>
      </c>
      <c r="L131" s="9">
        <f>1/$L$19</f>
        <v>1.0000000000000001E-5</v>
      </c>
      <c r="R131" s="9">
        <f>1/R19</f>
        <v>1.0000000000000001E-5</v>
      </c>
      <c r="S131" s="9">
        <f>1/S19</f>
        <v>1.0000000000000001E-5</v>
      </c>
      <c r="V131" s="9">
        <f>1/V19</f>
        <v>1.0000000000000001E-5</v>
      </c>
    </row>
    <row r="132" spans="1:27" hidden="1" x14ac:dyDescent="0.5">
      <c r="A132" t="s">
        <v>2</v>
      </c>
      <c r="B132" t="s">
        <v>117</v>
      </c>
      <c r="D132" t="s">
        <v>118</v>
      </c>
      <c r="E132" t="s">
        <v>121</v>
      </c>
      <c r="F132" t="s">
        <v>160</v>
      </c>
      <c r="H132" s="12"/>
      <c r="L132" s="12">
        <v>1</v>
      </c>
      <c r="P132" s="12">
        <v>1</v>
      </c>
      <c r="S132" s="9">
        <v>1</v>
      </c>
      <c r="X132" s="9">
        <v>1</v>
      </c>
      <c r="AA132" s="9">
        <v>1</v>
      </c>
    </row>
    <row r="133" spans="1:27" hidden="1" x14ac:dyDescent="0.5">
      <c r="A133" t="s">
        <v>2</v>
      </c>
      <c r="B133" t="s">
        <v>117</v>
      </c>
      <c r="C133" t="s">
        <v>119</v>
      </c>
      <c r="D133" t="s">
        <v>82</v>
      </c>
      <c r="E133" t="str">
        <f t="shared" si="24"/>
        <v>Natural gas</v>
      </c>
      <c r="F133" t="s">
        <v>161</v>
      </c>
      <c r="H133" s="12"/>
      <c r="L133" s="12">
        <v>3.6</v>
      </c>
      <c r="P133" s="9">
        <v>3.6</v>
      </c>
      <c r="X133" s="9">
        <v>3.6</v>
      </c>
      <c r="AA133" s="9">
        <v>3.6</v>
      </c>
    </row>
    <row r="134" spans="1:27" hidden="1" x14ac:dyDescent="0.5">
      <c r="A134" t="s">
        <v>2</v>
      </c>
      <c r="B134" t="s">
        <v>117</v>
      </c>
      <c r="C134" t="s">
        <v>120</v>
      </c>
      <c r="D134" t="s">
        <v>76</v>
      </c>
      <c r="E134" t="str">
        <f t="shared" si="24"/>
        <v>Electricity</v>
      </c>
      <c r="F134" t="s">
        <v>161</v>
      </c>
      <c r="H134" s="12"/>
      <c r="L134" s="12">
        <f>100*3.6/1000</f>
        <v>0.36</v>
      </c>
      <c r="P134" s="9">
        <f>100*3.6/1000</f>
        <v>0.36</v>
      </c>
      <c r="S134" s="15">
        <v>2.16</v>
      </c>
      <c r="X134" s="9">
        <f>100*3.6/1000</f>
        <v>0.36</v>
      </c>
      <c r="AA134" s="9">
        <f>100*3.6/1000</f>
        <v>0.36</v>
      </c>
    </row>
    <row r="135" spans="1:27" hidden="1" x14ac:dyDescent="0.5">
      <c r="A135" t="s">
        <v>2</v>
      </c>
      <c r="B135" t="s">
        <v>117</v>
      </c>
      <c r="D135" t="s">
        <v>121</v>
      </c>
      <c r="E135" t="str">
        <f t="shared" si="24"/>
        <v>Captured CO2</v>
      </c>
      <c r="F135" t="s">
        <v>160</v>
      </c>
      <c r="H135" s="12"/>
      <c r="L135" s="9">
        <f>L11*L132</f>
        <v>0.9</v>
      </c>
      <c r="P135" s="9">
        <f>P132*P11</f>
        <v>0.9</v>
      </c>
      <c r="S135" s="9">
        <f>S132*S11</f>
        <v>0.9</v>
      </c>
      <c r="X135" s="9">
        <f>X132*L11</f>
        <v>0.9</v>
      </c>
      <c r="AA135" s="9">
        <f>AA132*AA11</f>
        <v>0.9</v>
      </c>
    </row>
    <row r="136" spans="1:27" hidden="1" x14ac:dyDescent="0.5">
      <c r="A136" t="s">
        <v>29</v>
      </c>
      <c r="B136" t="s">
        <v>29</v>
      </c>
      <c r="C136" t="s">
        <v>73</v>
      </c>
      <c r="D136" s="6" t="s">
        <v>122</v>
      </c>
      <c r="F136" s="6" t="s">
        <v>166</v>
      </c>
      <c r="G136" s="5">
        <v>0.47265002739006901</v>
      </c>
    </row>
    <row r="137" spans="1:27" hidden="1" x14ac:dyDescent="0.5">
      <c r="A137" t="s">
        <v>2</v>
      </c>
      <c r="B137" t="s">
        <v>169</v>
      </c>
      <c r="C137" t="s">
        <v>71</v>
      </c>
      <c r="D137" t="s">
        <v>86</v>
      </c>
      <c r="E137" s="7"/>
      <c r="F137" t="s">
        <v>136</v>
      </c>
      <c r="R137" s="9">
        <v>0</v>
      </c>
    </row>
    <row r="138" spans="1:27" hidden="1" x14ac:dyDescent="0.5">
      <c r="A138" t="s">
        <v>2</v>
      </c>
      <c r="B138" t="s">
        <v>169</v>
      </c>
      <c r="C138" t="s">
        <v>71</v>
      </c>
      <c r="D138" t="s">
        <v>79</v>
      </c>
      <c r="E138" t="str">
        <f t="shared" si="24"/>
        <v>Iron ore</v>
      </c>
      <c r="F138" t="s">
        <v>136</v>
      </c>
      <c r="R138" s="9">
        <v>1.42</v>
      </c>
      <c r="S138" s="9">
        <v>1.42</v>
      </c>
    </row>
    <row r="139" spans="1:27" hidden="1" x14ac:dyDescent="0.5">
      <c r="A139" t="s">
        <v>2</v>
      </c>
      <c r="B139" t="s">
        <v>169</v>
      </c>
      <c r="C139" t="s">
        <v>71</v>
      </c>
      <c r="D139" t="s">
        <v>87</v>
      </c>
      <c r="E139" s="7"/>
      <c r="F139" t="s">
        <v>136</v>
      </c>
      <c r="R139" s="9">
        <v>0</v>
      </c>
    </row>
    <row r="140" spans="1:27" hidden="1" x14ac:dyDescent="0.5">
      <c r="A140" t="s">
        <v>2</v>
      </c>
      <c r="B140" t="s">
        <v>169</v>
      </c>
      <c r="C140" t="s">
        <v>71</v>
      </c>
      <c r="D140" t="s">
        <v>88</v>
      </c>
      <c r="E140" t="str">
        <f t="shared" si="24"/>
        <v>Coke</v>
      </c>
      <c r="F140" t="s">
        <v>136</v>
      </c>
      <c r="R140" s="9">
        <v>0</v>
      </c>
    </row>
    <row r="141" spans="1:27" hidden="1" x14ac:dyDescent="0.5">
      <c r="A141" t="s">
        <v>2</v>
      </c>
      <c r="B141" t="s">
        <v>169</v>
      </c>
      <c r="C141" t="s">
        <v>71</v>
      </c>
      <c r="D141" t="s">
        <v>89</v>
      </c>
      <c r="E141" t="str">
        <f t="shared" si="24"/>
        <v>DRI</v>
      </c>
      <c r="F141" t="s">
        <v>136</v>
      </c>
      <c r="R141" s="9">
        <v>0</v>
      </c>
    </row>
    <row r="142" spans="1:27" hidden="1" x14ac:dyDescent="0.5">
      <c r="A142" t="s">
        <v>2</v>
      </c>
      <c r="B142" t="s">
        <v>169</v>
      </c>
      <c r="C142" t="s">
        <v>91</v>
      </c>
      <c r="D142" t="s">
        <v>80</v>
      </c>
      <c r="E142" t="str">
        <f t="shared" si="24"/>
        <v>Thermal coal</v>
      </c>
      <c r="F142" t="s">
        <v>148</v>
      </c>
      <c r="R142" s="9">
        <v>12.7</v>
      </c>
      <c r="S142" s="9">
        <v>12.7</v>
      </c>
    </row>
    <row r="143" spans="1:27" hidden="1" x14ac:dyDescent="0.5">
      <c r="A143" t="s">
        <v>2</v>
      </c>
      <c r="B143" t="s">
        <v>169</v>
      </c>
      <c r="C143" t="s">
        <v>93</v>
      </c>
      <c r="D143" t="s">
        <v>75</v>
      </c>
      <c r="E143" t="str">
        <f t="shared" si="24"/>
        <v>BF gas</v>
      </c>
      <c r="F143" t="s">
        <v>148</v>
      </c>
      <c r="R143" s="9">
        <v>0</v>
      </c>
    </row>
    <row r="144" spans="1:27" hidden="1" x14ac:dyDescent="0.5">
      <c r="A144" t="s">
        <v>2</v>
      </c>
      <c r="B144" t="s">
        <v>169</v>
      </c>
      <c r="C144" t="s">
        <v>93</v>
      </c>
      <c r="D144" t="s">
        <v>74</v>
      </c>
      <c r="E144" t="str">
        <f t="shared" si="24"/>
        <v>COG</v>
      </c>
      <c r="F144" t="s">
        <v>148</v>
      </c>
      <c r="R144" s="9">
        <v>0</v>
      </c>
    </row>
    <row r="145" spans="1:26" hidden="1" x14ac:dyDescent="0.5">
      <c r="A145" t="s">
        <v>2</v>
      </c>
      <c r="B145" t="s">
        <v>169</v>
      </c>
      <c r="C145" t="s">
        <v>93</v>
      </c>
      <c r="D145" t="s">
        <v>82</v>
      </c>
      <c r="E145" t="str">
        <f t="shared" si="24"/>
        <v>Natural gas</v>
      </c>
      <c r="F145" t="s">
        <v>148</v>
      </c>
      <c r="R145" s="12">
        <f>0.95-R80-R87</f>
        <v>0.8899999999999999</v>
      </c>
      <c r="S145" s="9">
        <v>0.89</v>
      </c>
    </row>
    <row r="146" spans="1:26" hidden="1" x14ac:dyDescent="0.5">
      <c r="A146" t="s">
        <v>2</v>
      </c>
      <c r="B146" t="s">
        <v>169</v>
      </c>
      <c r="C146" t="s">
        <v>93</v>
      </c>
      <c r="D146" t="s">
        <v>94</v>
      </c>
      <c r="E146" t="str">
        <f t="shared" si="24"/>
        <v>BOF gas</v>
      </c>
      <c r="F146" t="s">
        <v>148</v>
      </c>
      <c r="R146" s="9">
        <v>0</v>
      </c>
    </row>
    <row r="147" spans="1:26" hidden="1" x14ac:dyDescent="0.5">
      <c r="A147" t="s">
        <v>2</v>
      </c>
      <c r="B147" t="s">
        <v>169</v>
      </c>
      <c r="C147" t="s">
        <v>95</v>
      </c>
      <c r="D147" t="s">
        <v>76</v>
      </c>
      <c r="E147" t="str">
        <f t="shared" si="24"/>
        <v>Electricity</v>
      </c>
      <c r="F147" t="s">
        <v>148</v>
      </c>
      <c r="R147" s="12">
        <f>0.95-R84-R88</f>
        <v>0.83</v>
      </c>
      <c r="S147" s="9">
        <v>0.83</v>
      </c>
    </row>
    <row r="148" spans="1:26" hidden="1" x14ac:dyDescent="0.5">
      <c r="A148" t="s">
        <v>2</v>
      </c>
      <c r="B148" t="s">
        <v>169</v>
      </c>
      <c r="C148" t="s">
        <v>96</v>
      </c>
      <c r="D148" t="s">
        <v>77</v>
      </c>
      <c r="E148" t="str">
        <f t="shared" si="24"/>
        <v>Steam</v>
      </c>
      <c r="F148" t="s">
        <v>148</v>
      </c>
      <c r="R148" s="9">
        <v>0</v>
      </c>
      <c r="S148" s="9">
        <v>0</v>
      </c>
    </row>
    <row r="149" spans="1:26" hidden="1" x14ac:dyDescent="0.5">
      <c r="A149" t="s">
        <v>2</v>
      </c>
      <c r="B149" t="s">
        <v>123</v>
      </c>
      <c r="C149" t="s">
        <v>71</v>
      </c>
      <c r="D149" t="s">
        <v>79</v>
      </c>
      <c r="E149" t="str">
        <f t="shared" si="24"/>
        <v>Iron ore</v>
      </c>
      <c r="F149" t="s">
        <v>139</v>
      </c>
      <c r="U149" s="9">
        <v>1.44</v>
      </c>
      <c r="Z149" s="9">
        <v>1.51</v>
      </c>
    </row>
    <row r="150" spans="1:26" hidden="1" x14ac:dyDescent="0.5">
      <c r="A150" t="s">
        <v>2</v>
      </c>
      <c r="B150" t="s">
        <v>123</v>
      </c>
      <c r="C150" t="s">
        <v>95</v>
      </c>
      <c r="D150" t="s">
        <v>76</v>
      </c>
      <c r="E150" t="str">
        <f t="shared" si="24"/>
        <v>Electricity</v>
      </c>
      <c r="F150" t="s">
        <v>150</v>
      </c>
      <c r="U150" s="9">
        <f>(90*3.6/1000)/0.952</f>
        <v>0.34033613445378152</v>
      </c>
    </row>
    <row r="151" spans="1:26" hidden="1" x14ac:dyDescent="0.5">
      <c r="A151" t="s">
        <v>2</v>
      </c>
      <c r="B151" t="s">
        <v>123</v>
      </c>
      <c r="C151" t="s">
        <v>124</v>
      </c>
      <c r="D151" t="s">
        <v>76</v>
      </c>
      <c r="E151" t="str">
        <f t="shared" si="24"/>
        <v>Electricity</v>
      </c>
      <c r="F151" t="s">
        <v>150</v>
      </c>
      <c r="U151" s="9">
        <v>13.33</v>
      </c>
      <c r="Z151" s="9">
        <v>11.96</v>
      </c>
    </row>
    <row r="152" spans="1:26" hidden="1" x14ac:dyDescent="0.5">
      <c r="A152" t="s">
        <v>2</v>
      </c>
      <c r="B152" t="s">
        <v>125</v>
      </c>
      <c r="D152" t="s">
        <v>126</v>
      </c>
      <c r="E152" t="s">
        <v>130</v>
      </c>
      <c r="F152" t="s">
        <v>162</v>
      </c>
      <c r="V152" s="9">
        <f>0.52*44/12</f>
        <v>1.906666666666667</v>
      </c>
    </row>
    <row r="153" spans="1:26" hidden="1" x14ac:dyDescent="0.5">
      <c r="A153" t="s">
        <v>2</v>
      </c>
      <c r="B153" t="s">
        <v>125</v>
      </c>
      <c r="D153" t="s">
        <v>76</v>
      </c>
      <c r="E153" t="str">
        <f t="shared" si="24"/>
        <v>Electricity</v>
      </c>
      <c r="F153" t="s">
        <v>151</v>
      </c>
      <c r="V153" s="9">
        <f>2*3.6</f>
        <v>7.2</v>
      </c>
    </row>
    <row r="154" spans="1:26" hidden="1" x14ac:dyDescent="0.5">
      <c r="A154" t="s">
        <v>2</v>
      </c>
      <c r="B154" t="s">
        <v>127</v>
      </c>
      <c r="D154" t="s">
        <v>118</v>
      </c>
      <c r="E154" t="s">
        <v>121</v>
      </c>
      <c r="F154" t="s">
        <v>160</v>
      </c>
      <c r="V154" s="12">
        <f>L132</f>
        <v>1</v>
      </c>
    </row>
    <row r="155" spans="1:26" hidden="1" x14ac:dyDescent="0.5">
      <c r="A155" t="s">
        <v>2</v>
      </c>
      <c r="B155" t="s">
        <v>127</v>
      </c>
      <c r="C155" t="s">
        <v>119</v>
      </c>
      <c r="D155" t="s">
        <v>76</v>
      </c>
      <c r="E155" t="str">
        <f t="shared" si="24"/>
        <v>Electricity</v>
      </c>
      <c r="F155" t="s">
        <v>161</v>
      </c>
      <c r="V155" s="12">
        <f t="shared" ref="V155:V157" si="29">L133</f>
        <v>3.6</v>
      </c>
    </row>
    <row r="156" spans="1:26" hidden="1" x14ac:dyDescent="0.5">
      <c r="A156" t="s">
        <v>2</v>
      </c>
      <c r="B156" t="s">
        <v>127</v>
      </c>
      <c r="C156" t="s">
        <v>120</v>
      </c>
      <c r="D156" t="s">
        <v>76</v>
      </c>
      <c r="E156" t="str">
        <f t="shared" si="24"/>
        <v>Electricity</v>
      </c>
      <c r="F156" t="s">
        <v>161</v>
      </c>
      <c r="V156" s="12">
        <f t="shared" si="29"/>
        <v>0.36</v>
      </c>
    </row>
    <row r="157" spans="1:26" hidden="1" x14ac:dyDescent="0.5">
      <c r="A157" t="s">
        <v>2</v>
      </c>
      <c r="B157" t="s">
        <v>127</v>
      </c>
      <c r="D157" t="s">
        <v>121</v>
      </c>
      <c r="E157" t="str">
        <f t="shared" si="24"/>
        <v>Captured CO2</v>
      </c>
      <c r="F157" t="s">
        <v>160</v>
      </c>
      <c r="V157" s="12">
        <f t="shared" si="29"/>
        <v>0.9</v>
      </c>
    </row>
    <row r="158" spans="1:26" hidden="1" x14ac:dyDescent="0.5">
      <c r="A158" t="s">
        <v>2</v>
      </c>
      <c r="B158" t="s">
        <v>128</v>
      </c>
      <c r="C158" t="s">
        <v>71</v>
      </c>
      <c r="D158" t="s">
        <v>110</v>
      </c>
      <c r="E158" s="7"/>
      <c r="F158" t="s">
        <v>136</v>
      </c>
      <c r="W158" s="9">
        <v>1</v>
      </c>
      <c r="X158" s="9">
        <f>W158</f>
        <v>1</v>
      </c>
      <c r="Y158" s="9">
        <v>1</v>
      </c>
    </row>
    <row r="159" spans="1:26" hidden="1" x14ac:dyDescent="0.5">
      <c r="A159" t="s">
        <v>2</v>
      </c>
      <c r="B159" t="s">
        <v>128</v>
      </c>
      <c r="C159" t="s">
        <v>129</v>
      </c>
      <c r="D159" t="s">
        <v>82</v>
      </c>
      <c r="E159" t="str">
        <f t="shared" si="24"/>
        <v>Natural gas</v>
      </c>
      <c r="F159" t="s">
        <v>148</v>
      </c>
      <c r="W159" s="9">
        <f>((1538-$W$36)*W39/1000+$W$41+($W$37-1538)*$W$40/1000)/$W$38-W160</f>
        <v>1.3350380259623991</v>
      </c>
      <c r="X159" s="9">
        <f t="shared" ref="X159:X160" si="30">W159</f>
        <v>1.3350380259623991</v>
      </c>
    </row>
    <row r="160" spans="1:26" hidden="1" x14ac:dyDescent="0.5">
      <c r="A160" t="s">
        <v>2</v>
      </c>
      <c r="B160" t="s">
        <v>128</v>
      </c>
      <c r="C160" t="s">
        <v>129</v>
      </c>
      <c r="D160" t="s">
        <v>94</v>
      </c>
      <c r="E160" t="str">
        <f t="shared" si="24"/>
        <v>BOF gas</v>
      </c>
      <c r="F160" t="s">
        <v>148</v>
      </c>
      <c r="W160" s="9">
        <v>0.2</v>
      </c>
      <c r="X160" s="9">
        <f t="shared" si="30"/>
        <v>0.2</v>
      </c>
    </row>
    <row r="161" spans="1:25" hidden="1" x14ac:dyDescent="0.5">
      <c r="A161" t="s">
        <v>2</v>
      </c>
      <c r="B161" t="s">
        <v>128</v>
      </c>
      <c r="C161" t="s">
        <v>129</v>
      </c>
      <c r="D161" t="s">
        <v>76</v>
      </c>
      <c r="E161" t="str">
        <f t="shared" si="24"/>
        <v>Electricity</v>
      </c>
      <c r="F161" t="s">
        <v>148</v>
      </c>
      <c r="Y161" s="9">
        <f>((1538-$Y$36)*Y39/1000+$Y$41+($Y$37-1538)*$Y$40/1000)/$Y$38</f>
        <v>1.0340519801751746</v>
      </c>
    </row>
  </sheetData>
  <autoFilter ref="A2:AB161" xr:uid="{F5E4BE5B-48FB-4F9E-83ED-5B539B3F5C30}">
    <filterColumn colId="3">
      <filters>
        <filter val="Share of electricity purchased in total demand"/>
      </filters>
    </filterColumn>
  </autoFilter>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f6f44a7d-d6f5-4042-8792-19cb5f90fb06">
      <UserInfo>
        <DisplayName>Andrew Isabirye</DisplayName>
        <AccountId>30706</AccountId>
        <AccountType/>
      </UserInfo>
      <UserInfo>
        <DisplayName>Hannah Maral</DisplayName>
        <AccountId>22065</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B4ECEDC51D0484091AFD4177D66ED73" ma:contentTypeVersion="" ma:contentTypeDescription="Create a new document." ma:contentTypeScope="" ma:versionID="679fe9fe38f968c92fa3ecf94914311c">
  <xsd:schema xmlns:xsd="http://www.w3.org/2001/XMLSchema" xmlns:xs="http://www.w3.org/2001/XMLSchema" xmlns:p="http://schemas.microsoft.com/office/2006/metadata/properties" xmlns:ns2="b44fa922-a688-4301-8945-67f7597c9c55" xmlns:ns3="f6f44a7d-d6f5-4042-8792-19cb5f90fb06" targetNamespace="http://schemas.microsoft.com/office/2006/metadata/properties" ma:root="true" ma:fieldsID="e752f064d4542b785f81007626879ee0" ns2:_="" ns3:_="">
    <xsd:import namespace="b44fa922-a688-4301-8945-67f7597c9c55"/>
    <xsd:import namespace="f6f44a7d-d6f5-4042-8792-19cb5f90fb0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4fa922-a688-4301-8945-67f7597c9c5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6f44a7d-d6f5-4042-8792-19cb5f90fb0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282EF4-73CF-4347-829C-ED59BCC7A63D}">
  <ds:schemaRefs>
    <ds:schemaRef ds:uri="http://purl.org/dc/elements/1.1/"/>
    <ds:schemaRef ds:uri="f6f44a7d-d6f5-4042-8792-19cb5f90fb06"/>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office/infopath/2007/PartnerControls"/>
    <ds:schemaRef ds:uri="b44fa922-a688-4301-8945-67f7597c9c55"/>
    <ds:schemaRef ds:uri="http://www.w3.org/XML/1998/namespace"/>
    <ds:schemaRef ds:uri="http://purl.org/dc/dcmitype/"/>
  </ds:schemaRefs>
</ds:datastoreItem>
</file>

<file path=customXml/itemProps2.xml><?xml version="1.0" encoding="utf-8"?>
<ds:datastoreItem xmlns:ds="http://schemas.openxmlformats.org/officeDocument/2006/customXml" ds:itemID="{991F2D94-C2BE-428C-8D22-7BDD52D7C413}">
  <ds:schemaRefs>
    <ds:schemaRef ds:uri="http://schemas.microsoft.com/sharepoint/v3/contenttype/forms"/>
  </ds:schemaRefs>
</ds:datastoreItem>
</file>

<file path=customXml/itemProps3.xml><?xml version="1.0" encoding="utf-8"?>
<ds:datastoreItem xmlns:ds="http://schemas.openxmlformats.org/officeDocument/2006/customXml" ds:itemID="{9C4F83C3-6035-48AA-AD0A-B7D40025FD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4fa922-a688-4301-8945-67f7597c9c55"/>
    <ds:schemaRef ds:uri="f6f44a7d-d6f5-4042-8792-19cb5f90fb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Isabirye</dc:creator>
  <cp:keywords/>
  <dc:description/>
  <cp:lastModifiedBy>Andrew Isabirye</cp:lastModifiedBy>
  <cp:revision/>
  <dcterms:created xsi:type="dcterms:W3CDTF">2021-11-01T21:42:04Z</dcterms:created>
  <dcterms:modified xsi:type="dcterms:W3CDTF">2021-11-21T21:23:46Z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0x0101001B4ECEDC51D0484091AFD4177D66ED73</vt:lpwstr>
  </property>
  <property fmtid="{D5CDD505-2E9C-101B-9397-08002B2CF9AE}" pid="3" name="ComplianceAssetId">
    <vt:lpwstr/>
  </property>
</Properties>
</file>