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aa_Rasha_Eman_Nevi\practical\"/>
    </mc:Choice>
  </mc:AlternateContent>
  <xr:revisionPtr revIDLastSave="0" documentId="13_ncr:1_{1267CA95-79FD-4D53-A7D6-4775240322A6}" xr6:coauthVersionLast="47" xr6:coauthVersionMax="47" xr10:uidLastSave="{00000000-0000-0000-0000-000000000000}"/>
  <bookViews>
    <workbookView xWindow="-108" yWindow="-108" windowWidth="23256" windowHeight="12576" tabRatio="1000" activeTab="1" xr2:uid="{00000000-000D-0000-FFFF-FFFF00000000}"/>
  </bookViews>
  <sheets>
    <sheet name="توزيع نسبى" sheetId="1" r:id="rId1"/>
    <sheet name="Comulative" sheetId="22" r:id="rId2"/>
    <sheet name="q1-2018" sheetId="17" r:id="rId3"/>
    <sheet name="q2-2018" sheetId="18" r:id="rId4"/>
    <sheet name="q3-2018" sheetId="19" r:id="rId5"/>
    <sheet name="q4-2018" sheetId="20" r:id="rId6"/>
    <sheet name="q1-2019" sheetId="13" r:id="rId7"/>
    <sheet name="q2-2019" sheetId="14" r:id="rId8"/>
    <sheet name="q3-2019" sheetId="15" r:id="rId9"/>
    <sheet name="q4-2019" sheetId="16" r:id="rId10"/>
    <sheet name="first quarter2020" sheetId="4" r:id="rId11"/>
    <sheet name="q2-2020" sheetId="5" r:id="rId12"/>
    <sheet name="q3-2020" sheetId="6" r:id="rId13"/>
    <sheet name="q4_2020" sheetId="7" r:id="rId14"/>
    <sheet name="q1-2021" sheetId="8" r:id="rId15"/>
    <sheet name="q2-2021" sheetId="10" r:id="rId16"/>
    <sheet name="q3-2021" sheetId="11" r:id="rId17"/>
    <sheet name="q4-2021" sheetId="12" r:id="rId18"/>
    <sheet name="first quarter2022" sheetId="2" r:id="rId19"/>
    <sheet name="q2-2022" sheetId="9" r:id="rId20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3" i="22" l="1"/>
  <c r="G483" i="22"/>
  <c r="D483" i="22"/>
  <c r="E483" i="22" s="1"/>
  <c r="M482" i="22"/>
  <c r="N482" i="22" s="1"/>
  <c r="J482" i="22"/>
  <c r="G482" i="22"/>
  <c r="H482" i="22" s="1"/>
  <c r="E482" i="22"/>
  <c r="D482" i="22"/>
  <c r="M481" i="22"/>
  <c r="J481" i="22"/>
  <c r="G481" i="22"/>
  <c r="E481" i="22"/>
  <c r="D481" i="22"/>
  <c r="M480" i="22"/>
  <c r="J480" i="22"/>
  <c r="G480" i="22"/>
  <c r="H480" i="22" s="1"/>
  <c r="K480" i="22" s="1"/>
  <c r="E480" i="22"/>
  <c r="D480" i="22"/>
  <c r="M479" i="22"/>
  <c r="J479" i="22"/>
  <c r="G479" i="22"/>
  <c r="E479" i="22"/>
  <c r="D479" i="22"/>
  <c r="M478" i="22"/>
  <c r="J478" i="22"/>
  <c r="H478" i="22"/>
  <c r="K478" i="22" s="1"/>
  <c r="G478" i="22"/>
  <c r="E478" i="22"/>
  <c r="D478" i="22"/>
  <c r="N477" i="22"/>
  <c r="M477" i="22"/>
  <c r="J477" i="22"/>
  <c r="H477" i="22"/>
  <c r="K477" i="22" s="1"/>
  <c r="G477" i="22"/>
  <c r="E477" i="22"/>
  <c r="D477" i="22"/>
  <c r="N476" i="22"/>
  <c r="M476" i="22"/>
  <c r="J476" i="22"/>
  <c r="H476" i="22"/>
  <c r="K476" i="22" s="1"/>
  <c r="G476" i="22"/>
  <c r="E476" i="22"/>
  <c r="D476" i="22"/>
  <c r="N475" i="22"/>
  <c r="M475" i="22"/>
  <c r="G475" i="22"/>
  <c r="E475" i="22"/>
  <c r="H475" i="22" s="1"/>
  <c r="D475" i="22"/>
  <c r="M474" i="22"/>
  <c r="J474" i="22"/>
  <c r="G474" i="22"/>
  <c r="D474" i="22"/>
  <c r="E474" i="22" s="1"/>
  <c r="H474" i="22" s="1"/>
  <c r="N473" i="22"/>
  <c r="M473" i="22"/>
  <c r="N474" i="22" s="1"/>
  <c r="J473" i="22"/>
  <c r="G473" i="22"/>
  <c r="H473" i="22" s="1"/>
  <c r="D473" i="22"/>
  <c r="E473" i="22" s="1"/>
  <c r="M472" i="22"/>
  <c r="J472" i="22"/>
  <c r="G472" i="22"/>
  <c r="D472" i="22"/>
  <c r="E472" i="22" s="1"/>
  <c r="H472" i="22" s="1"/>
  <c r="N471" i="22"/>
  <c r="M471" i="22"/>
  <c r="J471" i="22"/>
  <c r="G471" i="22"/>
  <c r="H471" i="22" s="1"/>
  <c r="D471" i="22"/>
  <c r="E471" i="22" s="1"/>
  <c r="M470" i="22"/>
  <c r="J470" i="22"/>
  <c r="G470" i="22"/>
  <c r="D470" i="22"/>
  <c r="E470" i="22" s="1"/>
  <c r="H470" i="22" s="1"/>
  <c r="M469" i="22"/>
  <c r="J469" i="22"/>
  <c r="G469" i="22"/>
  <c r="H469" i="22" s="1"/>
  <c r="N469" i="22" s="1"/>
  <c r="D469" i="22"/>
  <c r="E469" i="22" s="1"/>
  <c r="M468" i="22"/>
  <c r="N468" i="22" s="1"/>
  <c r="J468" i="22"/>
  <c r="K468" i="22" s="1"/>
  <c r="G468" i="22"/>
  <c r="D468" i="22"/>
  <c r="E468" i="22" s="1"/>
  <c r="H468" i="22" s="1"/>
  <c r="M467" i="22"/>
  <c r="G467" i="22"/>
  <c r="D467" i="22"/>
  <c r="E467" i="22" s="1"/>
  <c r="M466" i="22"/>
  <c r="J466" i="22"/>
  <c r="H466" i="22"/>
  <c r="G466" i="22"/>
  <c r="E466" i="22"/>
  <c r="D466" i="22"/>
  <c r="M465" i="22"/>
  <c r="J465" i="22"/>
  <c r="H465" i="22"/>
  <c r="K465" i="22" s="1"/>
  <c r="G465" i="22"/>
  <c r="E465" i="22"/>
  <c r="D465" i="22"/>
  <c r="M464" i="22"/>
  <c r="J464" i="22"/>
  <c r="H464" i="22"/>
  <c r="K464" i="22" s="1"/>
  <c r="G464" i="22"/>
  <c r="E464" i="22"/>
  <c r="D464" i="22"/>
  <c r="M463" i="22"/>
  <c r="J463" i="22"/>
  <c r="H463" i="22"/>
  <c r="K463" i="22" s="1"/>
  <c r="G463" i="22"/>
  <c r="E463" i="22"/>
  <c r="D463" i="22"/>
  <c r="M462" i="22"/>
  <c r="J462" i="22"/>
  <c r="H462" i="22"/>
  <c r="K462" i="22" s="1"/>
  <c r="G462" i="22"/>
  <c r="E462" i="22"/>
  <c r="D462" i="22"/>
  <c r="M461" i="22"/>
  <c r="J461" i="22"/>
  <c r="H461" i="22"/>
  <c r="K461" i="22" s="1"/>
  <c r="G461" i="22"/>
  <c r="E461" i="22"/>
  <c r="D461" i="22"/>
  <c r="M460" i="22"/>
  <c r="J460" i="22"/>
  <c r="H460" i="22"/>
  <c r="K460" i="22" s="1"/>
  <c r="G460" i="22"/>
  <c r="E460" i="22"/>
  <c r="D460" i="22"/>
  <c r="M459" i="22"/>
  <c r="G459" i="22"/>
  <c r="E459" i="22"/>
  <c r="H459" i="22" s="1"/>
  <c r="N459" i="22" s="1"/>
  <c r="D459" i="22"/>
  <c r="M458" i="22"/>
  <c r="J458" i="22"/>
  <c r="G458" i="22"/>
  <c r="H458" i="22" s="1"/>
  <c r="N458" i="22" s="1"/>
  <c r="E458" i="22"/>
  <c r="D458" i="22"/>
  <c r="M457" i="22"/>
  <c r="J457" i="22"/>
  <c r="G457" i="22"/>
  <c r="D457" i="22"/>
  <c r="E457" i="22" s="1"/>
  <c r="M456" i="22"/>
  <c r="J456" i="22"/>
  <c r="G456" i="22"/>
  <c r="H456" i="22" s="1"/>
  <c r="E456" i="22"/>
  <c r="D456" i="22"/>
  <c r="M455" i="22"/>
  <c r="J455" i="22"/>
  <c r="G455" i="22"/>
  <c r="D455" i="22"/>
  <c r="E455" i="22" s="1"/>
  <c r="M454" i="22"/>
  <c r="J454" i="22"/>
  <c r="G454" i="22"/>
  <c r="H454" i="22" s="1"/>
  <c r="E454" i="22"/>
  <c r="D454" i="22"/>
  <c r="M453" i="22"/>
  <c r="J453" i="22"/>
  <c r="G453" i="22"/>
  <c r="D453" i="22"/>
  <c r="E453" i="22" s="1"/>
  <c r="M452" i="22"/>
  <c r="J452" i="22"/>
  <c r="G452" i="22"/>
  <c r="H452" i="22" s="1"/>
  <c r="E452" i="22"/>
  <c r="D452" i="22"/>
  <c r="M451" i="22"/>
  <c r="H451" i="22"/>
  <c r="G451" i="22"/>
  <c r="D451" i="22"/>
  <c r="E451" i="22" s="1"/>
  <c r="M450" i="22"/>
  <c r="J450" i="22"/>
  <c r="G450" i="22"/>
  <c r="E450" i="22"/>
  <c r="D450" i="22"/>
  <c r="M449" i="22"/>
  <c r="J449" i="22"/>
  <c r="G449" i="22"/>
  <c r="E449" i="22"/>
  <c r="D449" i="22"/>
  <c r="M448" i="22"/>
  <c r="J448" i="22"/>
  <c r="G448" i="22"/>
  <c r="E448" i="22"/>
  <c r="D448" i="22"/>
  <c r="M447" i="22"/>
  <c r="J447" i="22"/>
  <c r="G447" i="22"/>
  <c r="E447" i="22"/>
  <c r="D447" i="22"/>
  <c r="M446" i="22"/>
  <c r="J446" i="22"/>
  <c r="G446" i="22"/>
  <c r="E446" i="22"/>
  <c r="D446" i="22"/>
  <c r="M445" i="22"/>
  <c r="J445" i="22"/>
  <c r="G445" i="22"/>
  <c r="E445" i="22"/>
  <c r="D445" i="22"/>
  <c r="M444" i="22"/>
  <c r="J444" i="22"/>
  <c r="G444" i="22"/>
  <c r="E444" i="22"/>
  <c r="D444" i="22"/>
  <c r="M443" i="22"/>
  <c r="G443" i="22"/>
  <c r="D443" i="22"/>
  <c r="E443" i="22" s="1"/>
  <c r="H443" i="22" s="1"/>
  <c r="N442" i="22"/>
  <c r="M442" i="22"/>
  <c r="J442" i="22"/>
  <c r="G442" i="22"/>
  <c r="H442" i="22" s="1"/>
  <c r="D442" i="22"/>
  <c r="E442" i="22" s="1"/>
  <c r="M441" i="22"/>
  <c r="J441" i="22"/>
  <c r="G441" i="22"/>
  <c r="D441" i="22"/>
  <c r="E441" i="22" s="1"/>
  <c r="H441" i="22" s="1"/>
  <c r="M440" i="22"/>
  <c r="J440" i="22"/>
  <c r="G440" i="22"/>
  <c r="H440" i="22" s="1"/>
  <c r="N440" i="22" s="1"/>
  <c r="D440" i="22"/>
  <c r="E440" i="22" s="1"/>
  <c r="M439" i="22"/>
  <c r="N439" i="22" s="1"/>
  <c r="J439" i="22"/>
  <c r="K439" i="22" s="1"/>
  <c r="G439" i="22"/>
  <c r="D439" i="22"/>
  <c r="E439" i="22" s="1"/>
  <c r="H439" i="22" s="1"/>
  <c r="N438" i="22"/>
  <c r="M438" i="22"/>
  <c r="J438" i="22"/>
  <c r="G438" i="22"/>
  <c r="H438" i="22" s="1"/>
  <c r="D438" i="22"/>
  <c r="E438" i="22" s="1"/>
  <c r="M437" i="22"/>
  <c r="N437" i="22" s="1"/>
  <c r="J437" i="22"/>
  <c r="K437" i="22" s="1"/>
  <c r="G437" i="22"/>
  <c r="D437" i="22"/>
  <c r="E437" i="22" s="1"/>
  <c r="H437" i="22" s="1"/>
  <c r="N436" i="22"/>
  <c r="M436" i="22"/>
  <c r="J436" i="22"/>
  <c r="G436" i="22"/>
  <c r="H436" i="22" s="1"/>
  <c r="D436" i="22"/>
  <c r="E436" i="22" s="1"/>
  <c r="M435" i="22"/>
  <c r="N435" i="22" s="1"/>
  <c r="G435" i="22"/>
  <c r="H435" i="22" s="1"/>
  <c r="E435" i="22"/>
  <c r="D435" i="22"/>
  <c r="M434" i="22"/>
  <c r="J434" i="22"/>
  <c r="K431" i="22" s="1"/>
  <c r="G434" i="22"/>
  <c r="D434" i="22"/>
  <c r="E434" i="22" s="1"/>
  <c r="M433" i="22"/>
  <c r="J433" i="22"/>
  <c r="G433" i="22"/>
  <c r="H433" i="22" s="1"/>
  <c r="E433" i="22"/>
  <c r="D433" i="22"/>
  <c r="M432" i="22"/>
  <c r="J432" i="22"/>
  <c r="G432" i="22"/>
  <c r="D432" i="22"/>
  <c r="E432" i="22" s="1"/>
  <c r="M431" i="22"/>
  <c r="J431" i="22"/>
  <c r="G431" i="22"/>
  <c r="H431" i="22" s="1"/>
  <c r="E431" i="22"/>
  <c r="D431" i="22"/>
  <c r="M430" i="22"/>
  <c r="J430" i="22"/>
  <c r="G430" i="22"/>
  <c r="D430" i="22"/>
  <c r="E430" i="22" s="1"/>
  <c r="M429" i="22"/>
  <c r="J429" i="22"/>
  <c r="G429" i="22"/>
  <c r="H429" i="22" s="1"/>
  <c r="E429" i="22"/>
  <c r="D429" i="22"/>
  <c r="M428" i="22"/>
  <c r="J428" i="22"/>
  <c r="G428" i="22"/>
  <c r="D428" i="22"/>
  <c r="E428" i="22" s="1"/>
  <c r="M427" i="22"/>
  <c r="G427" i="22"/>
  <c r="H427" i="22" s="1"/>
  <c r="D427" i="22"/>
  <c r="E427" i="22" s="1"/>
  <c r="M426" i="22"/>
  <c r="G426" i="22"/>
  <c r="E426" i="22"/>
  <c r="D426" i="22"/>
  <c r="M425" i="22"/>
  <c r="J425" i="22"/>
  <c r="G425" i="22"/>
  <c r="D425" i="22"/>
  <c r="E425" i="22" s="1"/>
  <c r="M424" i="22"/>
  <c r="J424" i="22"/>
  <c r="G424" i="22"/>
  <c r="E424" i="22"/>
  <c r="D424" i="22"/>
  <c r="M423" i="22"/>
  <c r="J423" i="22"/>
  <c r="G423" i="22"/>
  <c r="D423" i="22"/>
  <c r="E423" i="22" s="1"/>
  <c r="M422" i="22"/>
  <c r="J422" i="22"/>
  <c r="G422" i="22"/>
  <c r="E422" i="22"/>
  <c r="D422" i="22"/>
  <c r="M421" i="22"/>
  <c r="J421" i="22"/>
  <c r="G421" i="22"/>
  <c r="D421" i="22"/>
  <c r="E421" i="22" s="1"/>
  <c r="M420" i="22"/>
  <c r="J420" i="22"/>
  <c r="G420" i="22"/>
  <c r="E420" i="22"/>
  <c r="D420" i="22"/>
  <c r="M419" i="22"/>
  <c r="G419" i="22"/>
  <c r="H419" i="22" s="1"/>
  <c r="D419" i="22"/>
  <c r="E419" i="22" s="1"/>
  <c r="M418" i="22"/>
  <c r="J418" i="22"/>
  <c r="G418" i="22"/>
  <c r="E418" i="22"/>
  <c r="H418" i="22" s="1"/>
  <c r="D418" i="22"/>
  <c r="M417" i="22"/>
  <c r="J417" i="22"/>
  <c r="G417" i="22"/>
  <c r="E417" i="22"/>
  <c r="H417" i="22" s="1"/>
  <c r="D417" i="22"/>
  <c r="M416" i="22"/>
  <c r="J416" i="22"/>
  <c r="G416" i="22"/>
  <c r="E416" i="22"/>
  <c r="H416" i="22" s="1"/>
  <c r="D416" i="22"/>
  <c r="M415" i="22"/>
  <c r="J415" i="22"/>
  <c r="G415" i="22"/>
  <c r="E415" i="22"/>
  <c r="H415" i="22" s="1"/>
  <c r="D415" i="22"/>
  <c r="M414" i="22"/>
  <c r="J414" i="22"/>
  <c r="G414" i="22"/>
  <c r="E414" i="22"/>
  <c r="H414" i="22" s="1"/>
  <c r="D414" i="22"/>
  <c r="M413" i="22"/>
  <c r="K413" i="22"/>
  <c r="J413" i="22"/>
  <c r="G413" i="22"/>
  <c r="E413" i="22"/>
  <c r="H413" i="22" s="1"/>
  <c r="N413" i="22" s="1"/>
  <c r="D413" i="22"/>
  <c r="M412" i="22"/>
  <c r="K412" i="22"/>
  <c r="J412" i="22"/>
  <c r="G412" i="22"/>
  <c r="E412" i="22"/>
  <c r="H412" i="22" s="1"/>
  <c r="N412" i="22" s="1"/>
  <c r="D412" i="22"/>
  <c r="M411" i="22"/>
  <c r="H411" i="22"/>
  <c r="N411" i="22" s="1"/>
  <c r="G411" i="22"/>
  <c r="E411" i="22"/>
  <c r="D411" i="22"/>
  <c r="N410" i="22"/>
  <c r="M410" i="22"/>
  <c r="J410" i="22"/>
  <c r="H410" i="22"/>
  <c r="K410" i="22" s="1"/>
  <c r="G410" i="22"/>
  <c r="E410" i="22"/>
  <c r="D410" i="22"/>
  <c r="M409" i="22"/>
  <c r="J409" i="22"/>
  <c r="H409" i="22"/>
  <c r="K409" i="22" s="1"/>
  <c r="G409" i="22"/>
  <c r="E409" i="22"/>
  <c r="D409" i="22"/>
  <c r="N408" i="22"/>
  <c r="M408" i="22"/>
  <c r="J408" i="22"/>
  <c r="H408" i="22"/>
  <c r="K408" i="22" s="1"/>
  <c r="G408" i="22"/>
  <c r="E408" i="22"/>
  <c r="D408" i="22"/>
  <c r="N407" i="22"/>
  <c r="M407" i="22"/>
  <c r="J407" i="22"/>
  <c r="H407" i="22"/>
  <c r="K407" i="22" s="1"/>
  <c r="G407" i="22"/>
  <c r="E407" i="22"/>
  <c r="D407" i="22"/>
  <c r="N406" i="22"/>
  <c r="M406" i="22"/>
  <c r="J406" i="22"/>
  <c r="H406" i="22"/>
  <c r="K406" i="22" s="1"/>
  <c r="G406" i="22"/>
  <c r="E406" i="22"/>
  <c r="D406" i="22"/>
  <c r="M405" i="22"/>
  <c r="J405" i="22"/>
  <c r="H405" i="22"/>
  <c r="K405" i="22" s="1"/>
  <c r="G405" i="22"/>
  <c r="E405" i="22"/>
  <c r="D405" i="22"/>
  <c r="N404" i="22"/>
  <c r="M404" i="22"/>
  <c r="J404" i="22"/>
  <c r="H404" i="22"/>
  <c r="K404" i="22" s="1"/>
  <c r="G404" i="22"/>
  <c r="E404" i="22"/>
  <c r="D404" i="22"/>
  <c r="N403" i="22"/>
  <c r="M403" i="22"/>
  <c r="G403" i="22"/>
  <c r="E403" i="22"/>
  <c r="H403" i="22" s="1"/>
  <c r="D403" i="22"/>
  <c r="M402" i="22"/>
  <c r="J402" i="22"/>
  <c r="G402" i="22"/>
  <c r="E402" i="22"/>
  <c r="H402" i="22" s="1"/>
  <c r="N402" i="22" s="1"/>
  <c r="D402" i="22"/>
  <c r="M401" i="22"/>
  <c r="K401" i="22"/>
  <c r="J401" i="22"/>
  <c r="G401" i="22"/>
  <c r="E401" i="22"/>
  <c r="H401" i="22" s="1"/>
  <c r="N401" i="22" s="1"/>
  <c r="D401" i="22"/>
  <c r="M400" i="22"/>
  <c r="J400" i="22"/>
  <c r="G400" i="22"/>
  <c r="E400" i="22"/>
  <c r="H400" i="22" s="1"/>
  <c r="N400" i="22" s="1"/>
  <c r="D400" i="22"/>
  <c r="M399" i="22"/>
  <c r="K399" i="22"/>
  <c r="J399" i="22"/>
  <c r="G399" i="22"/>
  <c r="E399" i="22"/>
  <c r="H399" i="22" s="1"/>
  <c r="N399" i="22" s="1"/>
  <c r="D399" i="22"/>
  <c r="M398" i="22"/>
  <c r="J398" i="22"/>
  <c r="G398" i="22"/>
  <c r="E398" i="22"/>
  <c r="H398" i="22" s="1"/>
  <c r="N398" i="22" s="1"/>
  <c r="D398" i="22"/>
  <c r="M397" i="22"/>
  <c r="K397" i="22"/>
  <c r="J397" i="22"/>
  <c r="G397" i="22"/>
  <c r="E397" i="22"/>
  <c r="H397" i="22" s="1"/>
  <c r="N397" i="22" s="1"/>
  <c r="D397" i="22"/>
  <c r="M396" i="22"/>
  <c r="J396" i="22"/>
  <c r="G396" i="22"/>
  <c r="E396" i="22"/>
  <c r="H396" i="22" s="1"/>
  <c r="N396" i="22" s="1"/>
  <c r="D396" i="22"/>
  <c r="M395" i="22"/>
  <c r="H395" i="22"/>
  <c r="N395" i="22" s="1"/>
  <c r="G395" i="22"/>
  <c r="E395" i="22"/>
  <c r="D395" i="22"/>
  <c r="N394" i="22"/>
  <c r="M394" i="22"/>
  <c r="J394" i="22"/>
  <c r="H394" i="22"/>
  <c r="K394" i="22" s="1"/>
  <c r="G394" i="22"/>
  <c r="E394" i="22"/>
  <c r="D394" i="22"/>
  <c r="N393" i="22"/>
  <c r="M393" i="22"/>
  <c r="J393" i="22"/>
  <c r="H393" i="22"/>
  <c r="K393" i="22" s="1"/>
  <c r="G393" i="22"/>
  <c r="E393" i="22"/>
  <c r="D393" i="22"/>
  <c r="M392" i="22"/>
  <c r="J392" i="22"/>
  <c r="H392" i="22"/>
  <c r="K392" i="22" s="1"/>
  <c r="G392" i="22"/>
  <c r="E392" i="22"/>
  <c r="D392" i="22"/>
  <c r="N391" i="22"/>
  <c r="M391" i="22"/>
  <c r="J391" i="22"/>
  <c r="H391" i="22"/>
  <c r="K391" i="22" s="1"/>
  <c r="G391" i="22"/>
  <c r="E391" i="22"/>
  <c r="D391" i="22"/>
  <c r="N390" i="22"/>
  <c r="M390" i="22"/>
  <c r="J390" i="22"/>
  <c r="H390" i="22"/>
  <c r="K390" i="22" s="1"/>
  <c r="G390" i="22"/>
  <c r="E390" i="22"/>
  <c r="D390" i="22"/>
  <c r="N389" i="22"/>
  <c r="M389" i="22"/>
  <c r="J389" i="22"/>
  <c r="H389" i="22"/>
  <c r="K389" i="22" s="1"/>
  <c r="G389" i="22"/>
  <c r="E389" i="22"/>
  <c r="D389" i="22"/>
  <c r="M388" i="22"/>
  <c r="J388" i="22"/>
  <c r="H388" i="22"/>
  <c r="K388" i="22" s="1"/>
  <c r="G388" i="22"/>
  <c r="E388" i="22"/>
  <c r="D388" i="22"/>
  <c r="M387" i="22"/>
  <c r="G387" i="22"/>
  <c r="E387" i="22"/>
  <c r="D387" i="22"/>
  <c r="M386" i="22"/>
  <c r="J386" i="22"/>
  <c r="G386" i="22"/>
  <c r="D386" i="22"/>
  <c r="E386" i="22" s="1"/>
  <c r="H386" i="22" s="1"/>
  <c r="M385" i="22"/>
  <c r="J385" i="22"/>
  <c r="K385" i="22" s="1"/>
  <c r="G385" i="22"/>
  <c r="D385" i="22"/>
  <c r="E385" i="22" s="1"/>
  <c r="H385" i="22" s="1"/>
  <c r="N385" i="22" s="1"/>
  <c r="M384" i="22"/>
  <c r="J384" i="22"/>
  <c r="K384" i="22" s="1"/>
  <c r="G384" i="22"/>
  <c r="D384" i="22"/>
  <c r="E384" i="22" s="1"/>
  <c r="H384" i="22" s="1"/>
  <c r="N384" i="22" s="1"/>
  <c r="M383" i="22"/>
  <c r="J383" i="22"/>
  <c r="K383" i="22" s="1"/>
  <c r="G383" i="22"/>
  <c r="D383" i="22"/>
  <c r="E383" i="22" s="1"/>
  <c r="H383" i="22" s="1"/>
  <c r="N383" i="22" s="1"/>
  <c r="M382" i="22"/>
  <c r="J382" i="22"/>
  <c r="G382" i="22"/>
  <c r="D382" i="22"/>
  <c r="E382" i="22" s="1"/>
  <c r="H382" i="22" s="1"/>
  <c r="N382" i="22" s="1"/>
  <c r="M381" i="22"/>
  <c r="J381" i="22"/>
  <c r="G381" i="22"/>
  <c r="E381" i="22"/>
  <c r="H381" i="22" s="1"/>
  <c r="N381" i="22" s="1"/>
  <c r="D381" i="22"/>
  <c r="M380" i="22"/>
  <c r="J380" i="22"/>
  <c r="K380" i="22" s="1"/>
  <c r="G380" i="22"/>
  <c r="D380" i="22"/>
  <c r="E380" i="22" s="1"/>
  <c r="H380" i="22" s="1"/>
  <c r="N380" i="22" s="1"/>
  <c r="M379" i="22"/>
  <c r="H379" i="22"/>
  <c r="G379" i="22"/>
  <c r="E379" i="22"/>
  <c r="D379" i="22"/>
  <c r="M378" i="22"/>
  <c r="J378" i="22"/>
  <c r="G378" i="22"/>
  <c r="H378" i="22" s="1"/>
  <c r="E378" i="22"/>
  <c r="D378" i="22"/>
  <c r="M377" i="22"/>
  <c r="N378" i="22" s="1"/>
  <c r="J377" i="22"/>
  <c r="G377" i="22"/>
  <c r="E377" i="22"/>
  <c r="D377" i="22"/>
  <c r="M376" i="22"/>
  <c r="J376" i="22"/>
  <c r="G376" i="22"/>
  <c r="H376" i="22" s="1"/>
  <c r="K376" i="22" s="1"/>
  <c r="E376" i="22"/>
  <c r="D376" i="22"/>
  <c r="M375" i="22"/>
  <c r="J375" i="22"/>
  <c r="G375" i="22"/>
  <c r="E375" i="22"/>
  <c r="D375" i="22"/>
  <c r="M374" i="22"/>
  <c r="J374" i="22"/>
  <c r="G374" i="22"/>
  <c r="H374" i="22" s="1"/>
  <c r="K374" i="22" s="1"/>
  <c r="E374" i="22"/>
  <c r="D374" i="22"/>
  <c r="M373" i="22"/>
  <c r="J373" i="22"/>
  <c r="G373" i="22"/>
  <c r="E373" i="22"/>
  <c r="D373" i="22"/>
  <c r="M372" i="22"/>
  <c r="J372" i="22"/>
  <c r="G372" i="22"/>
  <c r="H372" i="22" s="1"/>
  <c r="K372" i="22" s="1"/>
  <c r="E372" i="22"/>
  <c r="D372" i="22"/>
  <c r="M371" i="22"/>
  <c r="H371" i="22"/>
  <c r="G371" i="22"/>
  <c r="D371" i="22"/>
  <c r="E371" i="22" s="1"/>
  <c r="M370" i="22"/>
  <c r="J370" i="22"/>
  <c r="G370" i="22"/>
  <c r="H370" i="22" s="1"/>
  <c r="N370" i="22" s="1"/>
  <c r="E370" i="22"/>
  <c r="D370" i="22"/>
  <c r="M369" i="22"/>
  <c r="N369" i="22" s="1"/>
  <c r="J369" i="22"/>
  <c r="H369" i="22"/>
  <c r="K369" i="22" s="1"/>
  <c r="G369" i="22"/>
  <c r="E369" i="22"/>
  <c r="D369" i="22"/>
  <c r="M368" i="22"/>
  <c r="J368" i="22"/>
  <c r="H368" i="22"/>
  <c r="K368" i="22" s="1"/>
  <c r="G368" i="22"/>
  <c r="E368" i="22"/>
  <c r="D368" i="22"/>
  <c r="M367" i="22"/>
  <c r="J367" i="22"/>
  <c r="G367" i="22"/>
  <c r="H367" i="22" s="1"/>
  <c r="E367" i="22"/>
  <c r="D367" i="22"/>
  <c r="M366" i="22"/>
  <c r="N366" i="22" s="1"/>
  <c r="J366" i="22"/>
  <c r="G366" i="22"/>
  <c r="H366" i="22" s="1"/>
  <c r="K366" i="22" s="1"/>
  <c r="E366" i="22"/>
  <c r="D366" i="22"/>
  <c r="M365" i="22"/>
  <c r="N365" i="22" s="1"/>
  <c r="J365" i="22"/>
  <c r="H365" i="22"/>
  <c r="K365" i="22" s="1"/>
  <c r="G365" i="22"/>
  <c r="E365" i="22"/>
  <c r="D365" i="22"/>
  <c r="M364" i="22"/>
  <c r="J364" i="22"/>
  <c r="H364" i="22"/>
  <c r="G364" i="22"/>
  <c r="E364" i="22"/>
  <c r="D364" i="22"/>
  <c r="M363" i="22"/>
  <c r="G363" i="22"/>
  <c r="D363" i="22"/>
  <c r="E363" i="22" s="1"/>
  <c r="H363" i="22" s="1"/>
  <c r="N363" i="22" s="1"/>
  <c r="M362" i="22"/>
  <c r="J362" i="22"/>
  <c r="H362" i="22"/>
  <c r="N362" i="22" s="1"/>
  <c r="G362" i="22"/>
  <c r="D362" i="22"/>
  <c r="E362" i="22" s="1"/>
  <c r="M361" i="22"/>
  <c r="J361" i="22"/>
  <c r="K361" i="22" s="1"/>
  <c r="G361" i="22"/>
  <c r="D361" i="22"/>
  <c r="E361" i="22" s="1"/>
  <c r="H361" i="22" s="1"/>
  <c r="N361" i="22" s="1"/>
  <c r="N360" i="22"/>
  <c r="M360" i="22"/>
  <c r="J360" i="22"/>
  <c r="H360" i="22"/>
  <c r="G360" i="22"/>
  <c r="D360" i="22"/>
  <c r="E360" i="22" s="1"/>
  <c r="M359" i="22"/>
  <c r="J359" i="22"/>
  <c r="G359" i="22"/>
  <c r="D359" i="22"/>
  <c r="E359" i="22" s="1"/>
  <c r="H359" i="22" s="1"/>
  <c r="N359" i="22" s="1"/>
  <c r="N358" i="22"/>
  <c r="M358" i="22"/>
  <c r="J358" i="22"/>
  <c r="H358" i="22"/>
  <c r="G358" i="22"/>
  <c r="D358" i="22"/>
  <c r="E358" i="22" s="1"/>
  <c r="M357" i="22"/>
  <c r="J357" i="22"/>
  <c r="K357" i="22" s="1"/>
  <c r="G357" i="22"/>
  <c r="D357" i="22"/>
  <c r="E357" i="22" s="1"/>
  <c r="H357" i="22" s="1"/>
  <c r="N357" i="22" s="1"/>
  <c r="N356" i="22"/>
  <c r="M356" i="22"/>
  <c r="J356" i="22"/>
  <c r="H356" i="22"/>
  <c r="G356" i="22"/>
  <c r="D356" i="22"/>
  <c r="E356" i="22" s="1"/>
  <c r="M355" i="22"/>
  <c r="G355" i="22"/>
  <c r="H355" i="22" s="1"/>
  <c r="N355" i="22" s="1"/>
  <c r="E355" i="22"/>
  <c r="D355" i="22"/>
  <c r="M354" i="22"/>
  <c r="J354" i="22"/>
  <c r="G354" i="22"/>
  <c r="D354" i="22"/>
  <c r="E354" i="22" s="1"/>
  <c r="H354" i="22" s="1"/>
  <c r="M353" i="22"/>
  <c r="J353" i="22"/>
  <c r="G353" i="22"/>
  <c r="E353" i="22"/>
  <c r="H353" i="22" s="1"/>
  <c r="D353" i="22"/>
  <c r="M352" i="22"/>
  <c r="J352" i="22"/>
  <c r="G352" i="22"/>
  <c r="D352" i="22"/>
  <c r="E352" i="22" s="1"/>
  <c r="H352" i="22" s="1"/>
  <c r="N352" i="22" s="1"/>
  <c r="M351" i="22"/>
  <c r="J351" i="22"/>
  <c r="G351" i="22"/>
  <c r="E351" i="22"/>
  <c r="H351" i="22" s="1"/>
  <c r="D351" i="22"/>
  <c r="M350" i="22"/>
  <c r="J350" i="22"/>
  <c r="K350" i="22" s="1"/>
  <c r="G350" i="22"/>
  <c r="D350" i="22"/>
  <c r="E350" i="22" s="1"/>
  <c r="H350" i="22" s="1"/>
  <c r="N350" i="22" s="1"/>
  <c r="M349" i="22"/>
  <c r="J349" i="22"/>
  <c r="G349" i="22"/>
  <c r="E349" i="22"/>
  <c r="H349" i="22" s="1"/>
  <c r="D349" i="22"/>
  <c r="M348" i="22"/>
  <c r="J348" i="22"/>
  <c r="K348" i="22" s="1"/>
  <c r="G348" i="22"/>
  <c r="D348" i="22"/>
  <c r="E348" i="22" s="1"/>
  <c r="H348" i="22" s="1"/>
  <c r="N348" i="22" s="1"/>
  <c r="M347" i="22"/>
  <c r="H347" i="22"/>
  <c r="N347" i="22" s="1"/>
  <c r="G347" i="22"/>
  <c r="E347" i="22"/>
  <c r="D347" i="22"/>
  <c r="M346" i="22"/>
  <c r="J346" i="22"/>
  <c r="G346" i="22"/>
  <c r="H346" i="22" s="1"/>
  <c r="N346" i="22" s="1"/>
  <c r="E346" i="22"/>
  <c r="D346" i="22"/>
  <c r="M345" i="22"/>
  <c r="J345" i="22"/>
  <c r="G345" i="22"/>
  <c r="E345" i="22"/>
  <c r="D345" i="22"/>
  <c r="M344" i="22"/>
  <c r="J344" i="22"/>
  <c r="G344" i="22"/>
  <c r="H344" i="22" s="1"/>
  <c r="K344" i="22" s="1"/>
  <c r="E344" i="22"/>
  <c r="D344" i="22"/>
  <c r="M343" i="22"/>
  <c r="J343" i="22"/>
  <c r="G343" i="22"/>
  <c r="E343" i="22"/>
  <c r="D343" i="22"/>
  <c r="M342" i="22"/>
  <c r="J342" i="22"/>
  <c r="G342" i="22"/>
  <c r="H342" i="22" s="1"/>
  <c r="K342" i="22" s="1"/>
  <c r="E342" i="22"/>
  <c r="D342" i="22"/>
  <c r="M341" i="22"/>
  <c r="J341" i="22"/>
  <c r="G341" i="22"/>
  <c r="E341" i="22"/>
  <c r="D341" i="22"/>
  <c r="M340" i="22"/>
  <c r="J340" i="22"/>
  <c r="G340" i="22"/>
  <c r="H340" i="22" s="1"/>
  <c r="K340" i="22" s="1"/>
  <c r="E340" i="22"/>
  <c r="D340" i="22"/>
  <c r="M339" i="22"/>
  <c r="H339" i="22"/>
  <c r="G339" i="22"/>
  <c r="D339" i="22"/>
  <c r="E339" i="22" s="1"/>
  <c r="M338" i="22"/>
  <c r="J338" i="22"/>
  <c r="G338" i="22"/>
  <c r="D338" i="22"/>
  <c r="E338" i="22" s="1"/>
  <c r="H338" i="22" s="1"/>
  <c r="N338" i="22" s="1"/>
  <c r="M337" i="22"/>
  <c r="J337" i="22"/>
  <c r="H337" i="22"/>
  <c r="N337" i="22" s="1"/>
  <c r="G337" i="22"/>
  <c r="D337" i="22"/>
  <c r="E337" i="22" s="1"/>
  <c r="M336" i="22"/>
  <c r="J336" i="22"/>
  <c r="G336" i="22"/>
  <c r="D336" i="22"/>
  <c r="E336" i="22" s="1"/>
  <c r="H336" i="22" s="1"/>
  <c r="N336" i="22" s="1"/>
  <c r="M335" i="22"/>
  <c r="J335" i="22"/>
  <c r="H335" i="22"/>
  <c r="N335" i="22" s="1"/>
  <c r="G335" i="22"/>
  <c r="D335" i="22"/>
  <c r="E335" i="22" s="1"/>
  <c r="M334" i="22"/>
  <c r="J334" i="22"/>
  <c r="G334" i="22"/>
  <c r="D334" i="22"/>
  <c r="E334" i="22" s="1"/>
  <c r="H334" i="22" s="1"/>
  <c r="N334" i="22" s="1"/>
  <c r="M333" i="22"/>
  <c r="J333" i="22"/>
  <c r="H333" i="22"/>
  <c r="N333" i="22" s="1"/>
  <c r="G333" i="22"/>
  <c r="D333" i="22"/>
  <c r="E333" i="22" s="1"/>
  <c r="M332" i="22"/>
  <c r="J332" i="22"/>
  <c r="G332" i="22"/>
  <c r="D332" i="22"/>
  <c r="E332" i="22" s="1"/>
  <c r="H332" i="22" s="1"/>
  <c r="N332" i="22" s="1"/>
  <c r="M331" i="22"/>
  <c r="G331" i="22"/>
  <c r="E331" i="22"/>
  <c r="D331" i="22"/>
  <c r="M330" i="22"/>
  <c r="H330" i="22"/>
  <c r="G330" i="22"/>
  <c r="D330" i="22"/>
  <c r="E330" i="22" s="1"/>
  <c r="M329" i="22"/>
  <c r="J329" i="22"/>
  <c r="G329" i="22"/>
  <c r="D329" i="22"/>
  <c r="E329" i="22" s="1"/>
  <c r="H329" i="22" s="1"/>
  <c r="N329" i="22" s="1"/>
  <c r="N328" i="22"/>
  <c r="M328" i="22"/>
  <c r="J328" i="22"/>
  <c r="H328" i="22"/>
  <c r="G328" i="22"/>
  <c r="D328" i="22"/>
  <c r="E328" i="22" s="1"/>
  <c r="M327" i="22"/>
  <c r="J327" i="22"/>
  <c r="K327" i="22" s="1"/>
  <c r="G327" i="22"/>
  <c r="D327" i="22"/>
  <c r="E327" i="22" s="1"/>
  <c r="H327" i="22" s="1"/>
  <c r="N327" i="22" s="1"/>
  <c r="N326" i="22"/>
  <c r="M326" i="22"/>
  <c r="J326" i="22"/>
  <c r="H326" i="22"/>
  <c r="G326" i="22"/>
  <c r="D326" i="22"/>
  <c r="E326" i="22" s="1"/>
  <c r="M325" i="22"/>
  <c r="J325" i="22"/>
  <c r="G325" i="22"/>
  <c r="D325" i="22"/>
  <c r="E325" i="22" s="1"/>
  <c r="H325" i="22" s="1"/>
  <c r="N325" i="22" s="1"/>
  <c r="N324" i="22"/>
  <c r="M324" i="22"/>
  <c r="J324" i="22"/>
  <c r="H324" i="22"/>
  <c r="G324" i="22"/>
  <c r="D324" i="22"/>
  <c r="E324" i="22" s="1"/>
  <c r="M323" i="22"/>
  <c r="G323" i="22"/>
  <c r="H323" i="22" s="1"/>
  <c r="E323" i="22"/>
  <c r="D323" i="22"/>
  <c r="M322" i="22"/>
  <c r="J322" i="22"/>
  <c r="G322" i="22"/>
  <c r="D322" i="22"/>
  <c r="E322" i="22" s="1"/>
  <c r="H322" i="22" s="1"/>
  <c r="M321" i="22"/>
  <c r="N322" i="22" s="1"/>
  <c r="J321" i="22"/>
  <c r="G321" i="22"/>
  <c r="E321" i="22"/>
  <c r="H321" i="22" s="1"/>
  <c r="D321" i="22"/>
  <c r="M320" i="22"/>
  <c r="J320" i="22"/>
  <c r="G320" i="22"/>
  <c r="D320" i="22"/>
  <c r="E320" i="22" s="1"/>
  <c r="H320" i="22" s="1"/>
  <c r="N320" i="22" s="1"/>
  <c r="M319" i="22"/>
  <c r="J319" i="22"/>
  <c r="G319" i="22"/>
  <c r="E319" i="22"/>
  <c r="H319" i="22" s="1"/>
  <c r="D319" i="22"/>
  <c r="M318" i="22"/>
  <c r="J318" i="22"/>
  <c r="G318" i="22"/>
  <c r="D318" i="22"/>
  <c r="E318" i="22" s="1"/>
  <c r="H318" i="22" s="1"/>
  <c r="N318" i="22" s="1"/>
  <c r="M317" i="22"/>
  <c r="J317" i="22"/>
  <c r="G317" i="22"/>
  <c r="E317" i="22"/>
  <c r="H317" i="22" s="1"/>
  <c r="D317" i="22"/>
  <c r="M316" i="22"/>
  <c r="J316" i="22"/>
  <c r="K316" i="22" s="1"/>
  <c r="G316" i="22"/>
  <c r="D316" i="22"/>
  <c r="E316" i="22" s="1"/>
  <c r="H316" i="22" s="1"/>
  <c r="N316" i="22" s="1"/>
  <c r="M315" i="22"/>
  <c r="H315" i="22"/>
  <c r="N315" i="22" s="1"/>
  <c r="G315" i="22"/>
  <c r="E315" i="22"/>
  <c r="D315" i="22"/>
  <c r="M314" i="22"/>
  <c r="J314" i="22"/>
  <c r="H314" i="22"/>
  <c r="G314" i="22"/>
  <c r="E314" i="22"/>
  <c r="D314" i="22"/>
  <c r="M313" i="22"/>
  <c r="J313" i="22"/>
  <c r="G313" i="22"/>
  <c r="H313" i="22" s="1"/>
  <c r="K313" i="22" s="1"/>
  <c r="E313" i="22"/>
  <c r="D313" i="22"/>
  <c r="M312" i="22"/>
  <c r="N312" i="22" s="1"/>
  <c r="J312" i="22"/>
  <c r="G312" i="22"/>
  <c r="H312" i="22" s="1"/>
  <c r="K312" i="22" s="1"/>
  <c r="E312" i="22"/>
  <c r="D312" i="22"/>
  <c r="M311" i="22"/>
  <c r="N311" i="22" s="1"/>
  <c r="J311" i="22"/>
  <c r="H311" i="22"/>
  <c r="K311" i="22" s="1"/>
  <c r="G311" i="22"/>
  <c r="E311" i="22"/>
  <c r="D311" i="22"/>
  <c r="M310" i="22"/>
  <c r="J310" i="22"/>
  <c r="H310" i="22"/>
  <c r="G310" i="22"/>
  <c r="E310" i="22"/>
  <c r="D310" i="22"/>
  <c r="N309" i="22"/>
  <c r="M309" i="22"/>
  <c r="J309" i="22"/>
  <c r="G309" i="22"/>
  <c r="H309" i="22" s="1"/>
  <c r="K309" i="22" s="1"/>
  <c r="E309" i="22"/>
  <c r="D309" i="22"/>
  <c r="M308" i="22"/>
  <c r="J308" i="22"/>
  <c r="G308" i="22"/>
  <c r="H308" i="22" s="1"/>
  <c r="K308" i="22" s="1"/>
  <c r="E308" i="22"/>
  <c r="D308" i="22"/>
  <c r="M307" i="22"/>
  <c r="N307" i="22" s="1"/>
  <c r="G307" i="22"/>
  <c r="E307" i="22"/>
  <c r="H307" i="22" s="1"/>
  <c r="D307" i="22"/>
  <c r="M306" i="22"/>
  <c r="K306" i="22"/>
  <c r="J306" i="22"/>
  <c r="G306" i="22"/>
  <c r="D306" i="22"/>
  <c r="E306" i="22" s="1"/>
  <c r="H306" i="22" s="1"/>
  <c r="N306" i="22" s="1"/>
  <c r="M305" i="22"/>
  <c r="J305" i="22"/>
  <c r="K305" i="22" s="1"/>
  <c r="G305" i="22"/>
  <c r="E305" i="22"/>
  <c r="H305" i="22" s="1"/>
  <c r="N305" i="22" s="1"/>
  <c r="D305" i="22"/>
  <c r="M304" i="22"/>
  <c r="K304" i="22"/>
  <c r="J304" i="22"/>
  <c r="G304" i="22"/>
  <c r="D304" i="22"/>
  <c r="E304" i="22" s="1"/>
  <c r="H304" i="22" s="1"/>
  <c r="N304" i="22" s="1"/>
  <c r="M303" i="22"/>
  <c r="J303" i="22"/>
  <c r="K303" i="22" s="1"/>
  <c r="G303" i="22"/>
  <c r="E303" i="22"/>
  <c r="H303" i="22" s="1"/>
  <c r="N303" i="22" s="1"/>
  <c r="D303" i="22"/>
  <c r="M302" i="22"/>
  <c r="K302" i="22"/>
  <c r="J302" i="22"/>
  <c r="G302" i="22"/>
  <c r="D302" i="22"/>
  <c r="E302" i="22" s="1"/>
  <c r="H302" i="22" s="1"/>
  <c r="N302" i="22" s="1"/>
  <c r="M301" i="22"/>
  <c r="J301" i="22"/>
  <c r="K301" i="22" s="1"/>
  <c r="G301" i="22"/>
  <c r="E301" i="22"/>
  <c r="H301" i="22" s="1"/>
  <c r="N301" i="22" s="1"/>
  <c r="D301" i="22"/>
  <c r="M300" i="22"/>
  <c r="K300" i="22"/>
  <c r="J300" i="22"/>
  <c r="G300" i="22"/>
  <c r="D300" i="22"/>
  <c r="E300" i="22" s="1"/>
  <c r="H300" i="22" s="1"/>
  <c r="N300" i="22" s="1"/>
  <c r="M299" i="22"/>
  <c r="G299" i="22"/>
  <c r="H299" i="22" s="1"/>
  <c r="N299" i="22" s="1"/>
  <c r="E299" i="22"/>
  <c r="D299" i="22"/>
  <c r="M298" i="22"/>
  <c r="N298" i="22" s="1"/>
  <c r="J298" i="22"/>
  <c r="H298" i="22"/>
  <c r="K298" i="22" s="1"/>
  <c r="G298" i="22"/>
  <c r="E298" i="22"/>
  <c r="D298" i="22"/>
  <c r="M297" i="22"/>
  <c r="J297" i="22"/>
  <c r="H297" i="22"/>
  <c r="G297" i="22"/>
  <c r="E297" i="22"/>
  <c r="D297" i="22"/>
  <c r="N296" i="22"/>
  <c r="M296" i="22"/>
  <c r="J296" i="22"/>
  <c r="G296" i="22"/>
  <c r="H296" i="22" s="1"/>
  <c r="K296" i="22" s="1"/>
  <c r="E296" i="22"/>
  <c r="D296" i="22"/>
  <c r="M295" i="22"/>
  <c r="N295" i="22" s="1"/>
  <c r="J295" i="22"/>
  <c r="G295" i="22"/>
  <c r="H295" i="22" s="1"/>
  <c r="K295" i="22" s="1"/>
  <c r="E295" i="22"/>
  <c r="D295" i="22"/>
  <c r="M294" i="22"/>
  <c r="N294" i="22" s="1"/>
  <c r="J294" i="22"/>
  <c r="H294" i="22"/>
  <c r="K294" i="22" s="1"/>
  <c r="G294" i="22"/>
  <c r="E294" i="22"/>
  <c r="D294" i="22"/>
  <c r="M293" i="22"/>
  <c r="J293" i="22"/>
  <c r="H293" i="22"/>
  <c r="G293" i="22"/>
  <c r="E293" i="22"/>
  <c r="D293" i="22"/>
  <c r="M292" i="22"/>
  <c r="J292" i="22"/>
  <c r="G292" i="22"/>
  <c r="H292" i="22" s="1"/>
  <c r="K292" i="22" s="1"/>
  <c r="E292" i="22"/>
  <c r="D292" i="22"/>
  <c r="M4" i="18"/>
  <c r="L4" i="18"/>
  <c r="I97" i="7"/>
  <c r="I95" i="7"/>
  <c r="I94" i="7"/>
  <c r="I93" i="7"/>
  <c r="I81" i="7"/>
  <c r="I80" i="7"/>
  <c r="I79" i="7"/>
  <c r="I78" i="7"/>
  <c r="I77" i="7"/>
  <c r="I76" i="7"/>
  <c r="I74" i="7"/>
  <c r="I73" i="7"/>
  <c r="I72" i="7"/>
  <c r="I71" i="7"/>
  <c r="I70" i="7"/>
  <c r="I69" i="7"/>
  <c r="I68" i="7"/>
  <c r="I66" i="7"/>
  <c r="I65" i="7"/>
  <c r="I64" i="7"/>
  <c r="I63" i="7"/>
  <c r="I62" i="7"/>
  <c r="I61" i="7"/>
  <c r="I60" i="7"/>
  <c r="I57" i="7"/>
  <c r="I56" i="7"/>
  <c r="I55" i="7"/>
  <c r="I54" i="7"/>
  <c r="I53" i="7"/>
  <c r="I52" i="7"/>
  <c r="I50" i="7"/>
  <c r="I49" i="7"/>
  <c r="I48" i="7"/>
  <c r="I47" i="7"/>
  <c r="I46" i="7"/>
  <c r="I45" i="7"/>
  <c r="I44" i="7"/>
  <c r="I41" i="7"/>
  <c r="I40" i="7"/>
  <c r="I39" i="7"/>
  <c r="I33" i="7"/>
  <c r="I32" i="7"/>
  <c r="I31" i="7"/>
  <c r="I34" i="7"/>
  <c r="I30" i="7"/>
  <c r="I29" i="7"/>
  <c r="I28" i="7"/>
  <c r="I25" i="7"/>
  <c r="I24" i="7"/>
  <c r="I23" i="7"/>
  <c r="I22" i="7"/>
  <c r="I21" i="7"/>
  <c r="I20" i="7"/>
  <c r="I18" i="7"/>
  <c r="I17" i="7"/>
  <c r="I16" i="7"/>
  <c r="I15" i="7"/>
  <c r="I14" i="7"/>
  <c r="I13" i="7"/>
  <c r="I9" i="7"/>
  <c r="I7" i="7"/>
  <c r="I6" i="7"/>
  <c r="I5" i="7"/>
  <c r="I4" i="7"/>
  <c r="I97" i="6"/>
  <c r="I95" i="6"/>
  <c r="I94" i="6"/>
  <c r="I93" i="6"/>
  <c r="I92" i="6"/>
  <c r="I90" i="6"/>
  <c r="I89" i="6"/>
  <c r="I87" i="6"/>
  <c r="I86" i="6"/>
  <c r="I85" i="6"/>
  <c r="I84" i="6"/>
  <c r="I81" i="6"/>
  <c r="I80" i="6"/>
  <c r="I79" i="6"/>
  <c r="I77" i="6"/>
  <c r="I76" i="6"/>
  <c r="I74" i="6"/>
  <c r="I73" i="6"/>
  <c r="I72" i="6"/>
  <c r="I71" i="6"/>
  <c r="I70" i="6"/>
  <c r="I69" i="6"/>
  <c r="I68" i="6"/>
  <c r="I65" i="6"/>
  <c r="I64" i="6"/>
  <c r="I63" i="6"/>
  <c r="I66" i="6"/>
  <c r="I62" i="6"/>
  <c r="I60" i="6"/>
  <c r="I58" i="6"/>
  <c r="I57" i="6"/>
  <c r="I55" i="6"/>
  <c r="I54" i="6"/>
  <c r="I53" i="6"/>
  <c r="I52" i="6"/>
  <c r="I50" i="6"/>
  <c r="I49" i="6"/>
  <c r="I48" i="6"/>
  <c r="I47" i="6"/>
  <c r="I46" i="6"/>
  <c r="I45" i="6"/>
  <c r="I44" i="6"/>
  <c r="I41" i="6"/>
  <c r="I39" i="6"/>
  <c r="I33" i="6"/>
  <c r="I32" i="6"/>
  <c r="I31" i="6"/>
  <c r="I34" i="6"/>
  <c r="I30" i="6"/>
  <c r="I29" i="6"/>
  <c r="I28" i="6"/>
  <c r="I25" i="6"/>
  <c r="I24" i="6"/>
  <c r="I23" i="6"/>
  <c r="I26" i="6"/>
  <c r="I22" i="6"/>
  <c r="I21" i="6"/>
  <c r="I20" i="6"/>
  <c r="I18" i="6"/>
  <c r="I17" i="6"/>
  <c r="I16" i="6"/>
  <c r="I15" i="6"/>
  <c r="I13" i="6"/>
  <c r="I12" i="6"/>
  <c r="I10" i="6"/>
  <c r="I9" i="6"/>
  <c r="I8" i="6"/>
  <c r="I7" i="6"/>
  <c r="I6" i="6"/>
  <c r="I5" i="6"/>
  <c r="I4" i="6"/>
  <c r="F5" i="6"/>
  <c r="F6" i="6"/>
  <c r="F7" i="6"/>
  <c r="F8" i="6"/>
  <c r="F9" i="6"/>
  <c r="F10" i="6"/>
  <c r="F11" i="6"/>
  <c r="F4" i="6"/>
  <c r="I91" i="5"/>
  <c r="I90" i="5"/>
  <c r="I89" i="5"/>
  <c r="E37" i="1"/>
  <c r="H37" i="1" s="1"/>
  <c r="E36" i="1"/>
  <c r="F36" i="1" s="1"/>
  <c r="H35" i="1"/>
  <c r="E35" i="1"/>
  <c r="F35" i="1" s="1"/>
  <c r="E34" i="1"/>
  <c r="F34" i="1" s="1"/>
  <c r="E33" i="1"/>
  <c r="H33" i="1" s="1"/>
  <c r="E32" i="1"/>
  <c r="F32" i="1" s="1"/>
  <c r="E31" i="1"/>
  <c r="H31" i="1" s="1"/>
  <c r="L98" i="4"/>
  <c r="L40" i="4"/>
  <c r="L34" i="4"/>
  <c r="I96" i="4"/>
  <c r="I94" i="4"/>
  <c r="I93" i="4"/>
  <c r="I92" i="4"/>
  <c r="I91" i="4"/>
  <c r="I80" i="4"/>
  <c r="I78" i="4"/>
  <c r="I77" i="4"/>
  <c r="I76" i="4"/>
  <c r="I75" i="4"/>
  <c r="I73" i="4"/>
  <c r="I72" i="4"/>
  <c r="I71" i="4"/>
  <c r="I70" i="4"/>
  <c r="I69" i="4"/>
  <c r="I68" i="4"/>
  <c r="I67" i="4"/>
  <c r="I64" i="4"/>
  <c r="I63" i="4"/>
  <c r="I62" i="4"/>
  <c r="I65" i="4"/>
  <c r="I61" i="4"/>
  <c r="I60" i="4"/>
  <c r="I59" i="4"/>
  <c r="I56" i="4"/>
  <c r="I55" i="4"/>
  <c r="I54" i="4"/>
  <c r="I57" i="4"/>
  <c r="I53" i="4"/>
  <c r="I52" i="4"/>
  <c r="I51" i="4"/>
  <c r="I48" i="4"/>
  <c r="I47" i="4"/>
  <c r="I46" i="4"/>
  <c r="I49" i="4"/>
  <c r="I45" i="4"/>
  <c r="I44" i="4"/>
  <c r="I43" i="4"/>
  <c r="I40" i="4"/>
  <c r="I39" i="4"/>
  <c r="I38" i="4"/>
  <c r="I37" i="4"/>
  <c r="I36" i="4"/>
  <c r="I35" i="4"/>
  <c r="I33" i="4"/>
  <c r="I32" i="4"/>
  <c r="I31" i="4"/>
  <c r="I30" i="4"/>
  <c r="I29" i="4"/>
  <c r="I28" i="4"/>
  <c r="I27" i="4"/>
  <c r="I24" i="4"/>
  <c r="I23" i="4"/>
  <c r="I22" i="4"/>
  <c r="I25" i="4"/>
  <c r="I21" i="4"/>
  <c r="I20" i="4"/>
  <c r="I19" i="4"/>
  <c r="I16" i="4"/>
  <c r="I15" i="4"/>
  <c r="I14" i="4"/>
  <c r="I13" i="4"/>
  <c r="I12" i="4"/>
  <c r="I11" i="4"/>
  <c r="I8" i="4"/>
  <c r="I7" i="4"/>
  <c r="I6" i="4"/>
  <c r="I9" i="4"/>
  <c r="I5" i="4"/>
  <c r="I4" i="4"/>
  <c r="I3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51" i="4"/>
  <c r="F92" i="9"/>
  <c r="F93" i="9"/>
  <c r="F94" i="9"/>
  <c r="F95" i="9"/>
  <c r="F96" i="9"/>
  <c r="F97" i="9"/>
  <c r="F98" i="9"/>
  <c r="F91" i="9"/>
  <c r="F74" i="9"/>
  <c r="F68" i="9"/>
  <c r="F69" i="9"/>
  <c r="F70" i="9"/>
  <c r="F71" i="9"/>
  <c r="F72" i="9"/>
  <c r="F73" i="9"/>
  <c r="F67" i="9"/>
  <c r="F42" i="9"/>
  <c r="F43" i="9"/>
  <c r="F44" i="9"/>
  <c r="F45" i="9"/>
  <c r="F46" i="9"/>
  <c r="F47" i="9"/>
  <c r="F48" i="9"/>
  <c r="F49" i="9"/>
  <c r="F50" i="9"/>
  <c r="I29" i="2"/>
  <c r="I11" i="2"/>
  <c r="F92" i="2"/>
  <c r="F93" i="2"/>
  <c r="F94" i="2"/>
  <c r="F95" i="2"/>
  <c r="F96" i="2"/>
  <c r="F97" i="2"/>
  <c r="F98" i="2"/>
  <c r="F91" i="2"/>
  <c r="F84" i="2"/>
  <c r="F85" i="2"/>
  <c r="F86" i="2"/>
  <c r="F87" i="2"/>
  <c r="F88" i="2"/>
  <c r="F89" i="2"/>
  <c r="F90" i="2"/>
  <c r="F83" i="2"/>
  <c r="F76" i="2"/>
  <c r="F77" i="2"/>
  <c r="F78" i="2"/>
  <c r="F79" i="2"/>
  <c r="F80" i="2"/>
  <c r="F81" i="2"/>
  <c r="F82" i="2"/>
  <c r="F75" i="2"/>
  <c r="F67" i="2"/>
  <c r="F68" i="2"/>
  <c r="F69" i="2"/>
  <c r="F70" i="2"/>
  <c r="F71" i="2"/>
  <c r="F72" i="2"/>
  <c r="F73" i="2"/>
  <c r="F74" i="2"/>
  <c r="F60" i="2"/>
  <c r="F61" i="2"/>
  <c r="F62" i="2"/>
  <c r="F63" i="2"/>
  <c r="F64" i="2"/>
  <c r="F65" i="2"/>
  <c r="F66" i="2"/>
  <c r="F59" i="2"/>
  <c r="F52" i="2"/>
  <c r="F53" i="2"/>
  <c r="F54" i="2"/>
  <c r="F55" i="2"/>
  <c r="F56" i="2"/>
  <c r="F57" i="2"/>
  <c r="F58" i="2"/>
  <c r="F51" i="2"/>
  <c r="F44" i="2"/>
  <c r="F45" i="2"/>
  <c r="F46" i="2"/>
  <c r="F47" i="2"/>
  <c r="F48" i="2"/>
  <c r="F49" i="2"/>
  <c r="F50" i="2"/>
  <c r="F43" i="2"/>
  <c r="F36" i="2"/>
  <c r="F37" i="2"/>
  <c r="F38" i="2"/>
  <c r="F39" i="2"/>
  <c r="F40" i="2"/>
  <c r="F41" i="2"/>
  <c r="F42" i="2"/>
  <c r="F35" i="2"/>
  <c r="F28" i="2"/>
  <c r="F29" i="2"/>
  <c r="F30" i="2"/>
  <c r="F31" i="2"/>
  <c r="F32" i="2"/>
  <c r="F33" i="2"/>
  <c r="F34" i="2"/>
  <c r="F27" i="2"/>
  <c r="F19" i="2"/>
  <c r="F20" i="2"/>
  <c r="F21" i="2"/>
  <c r="F22" i="2"/>
  <c r="F23" i="2"/>
  <c r="F24" i="2"/>
  <c r="F25" i="2"/>
  <c r="F26" i="2"/>
  <c r="E6" i="1"/>
  <c r="F12" i="2"/>
  <c r="F13" i="2"/>
  <c r="F14" i="2"/>
  <c r="F15" i="2"/>
  <c r="F16" i="2"/>
  <c r="F17" i="2"/>
  <c r="F18" i="2"/>
  <c r="F11" i="2"/>
  <c r="F4" i="2"/>
  <c r="F5" i="2"/>
  <c r="F6" i="2"/>
  <c r="F7" i="2"/>
  <c r="F8" i="2"/>
  <c r="F9" i="2"/>
  <c r="F10" i="2"/>
  <c r="F3" i="2"/>
  <c r="E4" i="1"/>
  <c r="H4" i="1" s="1"/>
  <c r="E5" i="1"/>
  <c r="F5" i="1" s="1"/>
  <c r="E7" i="1"/>
  <c r="F7" i="1" s="1"/>
  <c r="E8" i="1"/>
  <c r="E9" i="1"/>
  <c r="F9" i="1" s="1"/>
  <c r="E3" i="1"/>
  <c r="F3" i="1" s="1"/>
  <c r="H8" i="1"/>
  <c r="F8" i="1"/>
  <c r="H7" i="1"/>
  <c r="H6" i="1"/>
  <c r="F6" i="1"/>
  <c r="H5" i="1"/>
  <c r="F4" i="1"/>
  <c r="H3" i="1"/>
  <c r="L41" i="12"/>
  <c r="L6" i="12"/>
  <c r="L5" i="12"/>
  <c r="I49" i="12"/>
  <c r="I47" i="12"/>
  <c r="F53" i="12"/>
  <c r="F54" i="12"/>
  <c r="F55" i="12"/>
  <c r="F56" i="12"/>
  <c r="F57" i="12"/>
  <c r="F58" i="12"/>
  <c r="F59" i="12"/>
  <c r="F29" i="8"/>
  <c r="F30" i="8"/>
  <c r="F31" i="8"/>
  <c r="F32" i="8"/>
  <c r="F33" i="8"/>
  <c r="F34" i="8"/>
  <c r="F35" i="8"/>
  <c r="F28" i="8"/>
  <c r="I72" i="16"/>
  <c r="I71" i="16"/>
  <c r="I70" i="16"/>
  <c r="I41" i="16"/>
  <c r="F84" i="16"/>
  <c r="F85" i="16"/>
  <c r="F86" i="16"/>
  <c r="F87" i="16"/>
  <c r="F88" i="16"/>
  <c r="F89" i="16"/>
  <c r="F90" i="16"/>
  <c r="F83" i="16"/>
  <c r="F36" i="16"/>
  <c r="F37" i="16"/>
  <c r="F38" i="16"/>
  <c r="F39" i="16"/>
  <c r="F40" i="16"/>
  <c r="F41" i="16"/>
  <c r="F42" i="16"/>
  <c r="F35" i="16"/>
  <c r="L37" i="15"/>
  <c r="I56" i="15"/>
  <c r="I51" i="15"/>
  <c r="I41" i="15"/>
  <c r="L84" i="14"/>
  <c r="I95" i="14"/>
  <c r="I57" i="14"/>
  <c r="I47" i="14"/>
  <c r="L78" i="13"/>
  <c r="I74" i="13"/>
  <c r="I69" i="13"/>
  <c r="F93" i="20"/>
  <c r="F94" i="20"/>
  <c r="F95" i="20"/>
  <c r="F96" i="20"/>
  <c r="F97" i="20"/>
  <c r="F98" i="20"/>
  <c r="F99" i="20"/>
  <c r="F92" i="20"/>
  <c r="F85" i="20"/>
  <c r="F86" i="20"/>
  <c r="F87" i="20"/>
  <c r="F88" i="20"/>
  <c r="F89" i="20"/>
  <c r="F90" i="20"/>
  <c r="F91" i="20"/>
  <c r="F84" i="20"/>
  <c r="F77" i="20"/>
  <c r="F78" i="20"/>
  <c r="F79" i="20"/>
  <c r="F80" i="20"/>
  <c r="F81" i="20"/>
  <c r="F82" i="20"/>
  <c r="F83" i="20"/>
  <c r="F76" i="20"/>
  <c r="F69" i="20"/>
  <c r="F70" i="20"/>
  <c r="F71" i="20"/>
  <c r="F72" i="20"/>
  <c r="F73" i="20"/>
  <c r="F74" i="20"/>
  <c r="F75" i="20"/>
  <c r="F68" i="20"/>
  <c r="F61" i="20"/>
  <c r="F62" i="20"/>
  <c r="F63" i="20"/>
  <c r="F64" i="20"/>
  <c r="F65" i="20"/>
  <c r="F66" i="20"/>
  <c r="F67" i="20"/>
  <c r="F60" i="20"/>
  <c r="F53" i="20"/>
  <c r="F54" i="20"/>
  <c r="F55" i="20"/>
  <c r="F56" i="20"/>
  <c r="F57" i="20"/>
  <c r="F58" i="20"/>
  <c r="F59" i="20"/>
  <c r="F52" i="20"/>
  <c r="F46" i="20"/>
  <c r="F47" i="20"/>
  <c r="F48" i="20"/>
  <c r="F49" i="20"/>
  <c r="F50" i="20"/>
  <c r="F51" i="20"/>
  <c r="F44" i="20"/>
  <c r="F37" i="20"/>
  <c r="F38" i="20"/>
  <c r="F39" i="20"/>
  <c r="F40" i="20"/>
  <c r="F41" i="20"/>
  <c r="F42" i="20"/>
  <c r="F43" i="20"/>
  <c r="F36" i="20"/>
  <c r="F29" i="20"/>
  <c r="F30" i="20"/>
  <c r="F31" i="20"/>
  <c r="F32" i="20"/>
  <c r="F33" i="20"/>
  <c r="F34" i="20"/>
  <c r="F35" i="20"/>
  <c r="F28" i="20"/>
  <c r="F21" i="20"/>
  <c r="F22" i="20"/>
  <c r="F23" i="20"/>
  <c r="F24" i="20"/>
  <c r="F25" i="20"/>
  <c r="F26" i="20"/>
  <c r="F27" i="20"/>
  <c r="F20" i="20"/>
  <c r="F13" i="20"/>
  <c r="F14" i="20"/>
  <c r="F15" i="20"/>
  <c r="F16" i="20"/>
  <c r="F17" i="20"/>
  <c r="F18" i="20"/>
  <c r="F19" i="20"/>
  <c r="F12" i="20"/>
  <c r="F5" i="20"/>
  <c r="F6" i="20"/>
  <c r="F7" i="20"/>
  <c r="F8" i="20"/>
  <c r="F9" i="20"/>
  <c r="F10" i="20"/>
  <c r="F11" i="20"/>
  <c r="F4" i="20"/>
  <c r="K160" i="1"/>
  <c r="I34" i="19"/>
  <c r="I10" i="19"/>
  <c r="F93" i="19"/>
  <c r="F94" i="19"/>
  <c r="F95" i="19"/>
  <c r="F96" i="19"/>
  <c r="F97" i="19"/>
  <c r="F98" i="19"/>
  <c r="F99" i="19"/>
  <c r="F92" i="19"/>
  <c r="F85" i="19"/>
  <c r="F86" i="19"/>
  <c r="F87" i="19"/>
  <c r="F88" i="19"/>
  <c r="F89" i="19"/>
  <c r="F90" i="19"/>
  <c r="F91" i="19"/>
  <c r="F84" i="19"/>
  <c r="F77" i="19"/>
  <c r="F78" i="19"/>
  <c r="F79" i="19"/>
  <c r="F80" i="19"/>
  <c r="F81" i="19"/>
  <c r="F82" i="19"/>
  <c r="F83" i="19"/>
  <c r="F76" i="19"/>
  <c r="F69" i="19"/>
  <c r="F70" i="19"/>
  <c r="F71" i="19"/>
  <c r="F72" i="19"/>
  <c r="F73" i="19"/>
  <c r="F74" i="19"/>
  <c r="F75" i="19"/>
  <c r="F68" i="19"/>
  <c r="F61" i="19"/>
  <c r="F62" i="19"/>
  <c r="F63" i="19"/>
  <c r="F64" i="19"/>
  <c r="F65" i="19"/>
  <c r="F66" i="19"/>
  <c r="F67" i="19"/>
  <c r="F60" i="19"/>
  <c r="F53" i="19"/>
  <c r="F54" i="19"/>
  <c r="F55" i="19"/>
  <c r="F56" i="19"/>
  <c r="F57" i="19"/>
  <c r="F58" i="19"/>
  <c r="F59" i="19"/>
  <c r="F52" i="19"/>
  <c r="F45" i="19"/>
  <c r="F46" i="19"/>
  <c r="F47" i="19"/>
  <c r="F48" i="19"/>
  <c r="F49" i="19"/>
  <c r="F50" i="19"/>
  <c r="F51" i="19"/>
  <c r="F44" i="19"/>
  <c r="F37" i="19"/>
  <c r="F38" i="19"/>
  <c r="F39" i="19"/>
  <c r="F40" i="19"/>
  <c r="F41" i="19"/>
  <c r="F42" i="19"/>
  <c r="F43" i="19"/>
  <c r="F36" i="19"/>
  <c r="F29" i="19"/>
  <c r="F30" i="19"/>
  <c r="F31" i="19"/>
  <c r="F32" i="19"/>
  <c r="F33" i="19"/>
  <c r="F34" i="19"/>
  <c r="F35" i="19"/>
  <c r="F28" i="19"/>
  <c r="F21" i="19"/>
  <c r="F22" i="19"/>
  <c r="F23" i="19"/>
  <c r="F24" i="19"/>
  <c r="F25" i="19"/>
  <c r="F26" i="19"/>
  <c r="F27" i="19"/>
  <c r="F20" i="19"/>
  <c r="F13" i="19"/>
  <c r="F14" i="19"/>
  <c r="F15" i="19"/>
  <c r="F16" i="19"/>
  <c r="F17" i="19"/>
  <c r="F18" i="19"/>
  <c r="F19" i="19"/>
  <c r="F12" i="19"/>
  <c r="F5" i="19"/>
  <c r="F6" i="19"/>
  <c r="F7" i="19"/>
  <c r="F8" i="19"/>
  <c r="F9" i="19"/>
  <c r="F10" i="19"/>
  <c r="F11" i="19"/>
  <c r="F4" i="19"/>
  <c r="L27" i="18"/>
  <c r="L26" i="18"/>
  <c r="L25" i="18"/>
  <c r="L24" i="18"/>
  <c r="L23" i="18"/>
  <c r="L22" i="18"/>
  <c r="N414" i="22" l="1"/>
  <c r="K414" i="22"/>
  <c r="N415" i="22"/>
  <c r="K415" i="22"/>
  <c r="K429" i="22"/>
  <c r="K433" i="22"/>
  <c r="N444" i="22"/>
  <c r="K470" i="22"/>
  <c r="H483" i="22"/>
  <c r="N417" i="22"/>
  <c r="K417" i="22"/>
  <c r="N443" i="22"/>
  <c r="N447" i="22"/>
  <c r="K425" i="22"/>
  <c r="H445" i="22"/>
  <c r="K445" i="22" s="1"/>
  <c r="H447" i="22"/>
  <c r="K447" i="22" s="1"/>
  <c r="H449" i="22"/>
  <c r="K449" i="22" s="1"/>
  <c r="K452" i="22"/>
  <c r="K456" i="22"/>
  <c r="N388" i="22"/>
  <c r="N392" i="22"/>
  <c r="K396" i="22"/>
  <c r="K398" i="22"/>
  <c r="K400" i="22"/>
  <c r="K402" i="22"/>
  <c r="N405" i="22"/>
  <c r="N409" i="22"/>
  <c r="N416" i="22"/>
  <c r="K416" i="22"/>
  <c r="N418" i="22"/>
  <c r="K421" i="22"/>
  <c r="N441" i="22"/>
  <c r="H444" i="22"/>
  <c r="K444" i="22" s="1"/>
  <c r="H446" i="22"/>
  <c r="K446" i="22" s="1"/>
  <c r="H448" i="22"/>
  <c r="K448" i="22" s="1"/>
  <c r="H450" i="22"/>
  <c r="N450" i="22" s="1"/>
  <c r="K454" i="22"/>
  <c r="N470" i="22"/>
  <c r="N472" i="22"/>
  <c r="K472" i="22"/>
  <c r="N419" i="22"/>
  <c r="H426" i="22"/>
  <c r="N426" i="22" s="1"/>
  <c r="N455" i="22"/>
  <c r="N457" i="22"/>
  <c r="N461" i="22"/>
  <c r="N462" i="22"/>
  <c r="N463" i="22"/>
  <c r="N464" i="22"/>
  <c r="N465" i="22"/>
  <c r="N425" i="22"/>
  <c r="H428" i="22"/>
  <c r="K428" i="22" s="1"/>
  <c r="H430" i="22"/>
  <c r="K430" i="22" s="1"/>
  <c r="H432" i="22"/>
  <c r="K432" i="22" s="1"/>
  <c r="H434" i="22"/>
  <c r="K434" i="22" s="1"/>
  <c r="K436" i="22"/>
  <c r="K438" i="22"/>
  <c r="K440" i="22"/>
  <c r="K441" i="22"/>
  <c r="H453" i="22"/>
  <c r="K453" i="22" s="1"/>
  <c r="H455" i="22"/>
  <c r="K455" i="22" s="1"/>
  <c r="H457" i="22"/>
  <c r="K457" i="22" s="1"/>
  <c r="H467" i="22"/>
  <c r="N467" i="22" s="1"/>
  <c r="K469" i="22"/>
  <c r="K471" i="22"/>
  <c r="K473" i="22"/>
  <c r="H479" i="22"/>
  <c r="K479" i="22" s="1"/>
  <c r="H481" i="22"/>
  <c r="K481" i="22" s="1"/>
  <c r="H420" i="22"/>
  <c r="K420" i="22" s="1"/>
  <c r="H422" i="22"/>
  <c r="K422" i="22" s="1"/>
  <c r="H424" i="22"/>
  <c r="K424" i="22" s="1"/>
  <c r="N430" i="22"/>
  <c r="N451" i="22"/>
  <c r="N460" i="22"/>
  <c r="H421" i="22"/>
  <c r="N421" i="22" s="1"/>
  <c r="H423" i="22"/>
  <c r="K423" i="22" s="1"/>
  <c r="H425" i="22"/>
  <c r="N427" i="22"/>
  <c r="N429" i="22"/>
  <c r="N431" i="22"/>
  <c r="N433" i="22"/>
  <c r="N452" i="22"/>
  <c r="N454" i="22"/>
  <c r="N456" i="22"/>
  <c r="N466" i="22"/>
  <c r="N478" i="22"/>
  <c r="N480" i="22"/>
  <c r="N483" i="22"/>
  <c r="N317" i="22"/>
  <c r="K317" i="22"/>
  <c r="N323" i="22"/>
  <c r="N353" i="22"/>
  <c r="K353" i="22"/>
  <c r="K297" i="22"/>
  <c r="N297" i="22"/>
  <c r="N308" i="22"/>
  <c r="K318" i="22"/>
  <c r="N321" i="22"/>
  <c r="K321" i="22"/>
  <c r="K325" i="22"/>
  <c r="K329" i="22"/>
  <c r="K352" i="22"/>
  <c r="K382" i="22"/>
  <c r="K310" i="22"/>
  <c r="N310" i="22"/>
  <c r="N351" i="22"/>
  <c r="K351" i="22"/>
  <c r="N319" i="22"/>
  <c r="K319" i="22"/>
  <c r="N292" i="22"/>
  <c r="K293" i="22"/>
  <c r="N293" i="22"/>
  <c r="N313" i="22"/>
  <c r="K314" i="22"/>
  <c r="N314" i="22"/>
  <c r="K320" i="22"/>
  <c r="N349" i="22"/>
  <c r="K349" i="22"/>
  <c r="K359" i="22"/>
  <c r="K364" i="22"/>
  <c r="N364" i="22"/>
  <c r="K367" i="22"/>
  <c r="N367" i="22"/>
  <c r="H331" i="22"/>
  <c r="N331" i="22" s="1"/>
  <c r="K337" i="22"/>
  <c r="N371" i="22"/>
  <c r="N376" i="22"/>
  <c r="H387" i="22"/>
  <c r="N387" i="22" s="1"/>
  <c r="K324" i="22"/>
  <c r="K326" i="22"/>
  <c r="K328" i="22"/>
  <c r="N330" i="22"/>
  <c r="H341" i="22"/>
  <c r="K341" i="22" s="1"/>
  <c r="H343" i="22"/>
  <c r="K343" i="22" s="1"/>
  <c r="H345" i="22"/>
  <c r="K345" i="22" s="1"/>
  <c r="K356" i="22"/>
  <c r="K358" i="22"/>
  <c r="K360" i="22"/>
  <c r="H373" i="22"/>
  <c r="K373" i="22" s="1"/>
  <c r="H375" i="22"/>
  <c r="K375" i="22" s="1"/>
  <c r="H377" i="22"/>
  <c r="K377" i="22" s="1"/>
  <c r="N379" i="22"/>
  <c r="N386" i="22"/>
  <c r="K333" i="22"/>
  <c r="K336" i="22"/>
  <c r="N339" i="22"/>
  <c r="N343" i="22"/>
  <c r="N354" i="22"/>
  <c r="K332" i="22"/>
  <c r="K334" i="22"/>
  <c r="K338" i="22"/>
  <c r="K335" i="22"/>
  <c r="N340" i="22"/>
  <c r="N342" i="22"/>
  <c r="N344" i="22"/>
  <c r="N368" i="22"/>
  <c r="N372" i="22"/>
  <c r="N374" i="22"/>
  <c r="N377" i="22"/>
  <c r="K381" i="22"/>
  <c r="H9" i="1"/>
  <c r="H32" i="1"/>
  <c r="F31" i="1"/>
  <c r="H36" i="1"/>
  <c r="F33" i="1"/>
  <c r="H34" i="1"/>
  <c r="F37" i="1"/>
  <c r="I98" i="5"/>
  <c r="I97" i="5"/>
  <c r="I99" i="5"/>
  <c r="I100" i="5"/>
  <c r="I96" i="5"/>
  <c r="I95" i="5"/>
  <c r="I94" i="5"/>
  <c r="I92" i="5"/>
  <c r="I88" i="5"/>
  <c r="I87" i="5"/>
  <c r="I86" i="5"/>
  <c r="I83" i="5"/>
  <c r="I82" i="5"/>
  <c r="I81" i="5"/>
  <c r="I84" i="5"/>
  <c r="I80" i="5"/>
  <c r="I79" i="5"/>
  <c r="I78" i="5"/>
  <c r="I75" i="5"/>
  <c r="I74" i="5"/>
  <c r="I73" i="5"/>
  <c r="I76" i="5"/>
  <c r="I72" i="5"/>
  <c r="I71" i="5"/>
  <c r="I70" i="5"/>
  <c r="I67" i="5"/>
  <c r="I66" i="5"/>
  <c r="I65" i="5"/>
  <c r="I68" i="5"/>
  <c r="I64" i="5"/>
  <c r="I63" i="5"/>
  <c r="I62" i="5"/>
  <c r="I58" i="5"/>
  <c r="I57" i="5"/>
  <c r="I56" i="5"/>
  <c r="I55" i="5"/>
  <c r="I54" i="5"/>
  <c r="I51" i="5"/>
  <c r="I50" i="5"/>
  <c r="I52" i="5"/>
  <c r="I48" i="5"/>
  <c r="I47" i="5"/>
  <c r="I46" i="5"/>
  <c r="I43" i="5"/>
  <c r="I42" i="5"/>
  <c r="I41" i="5"/>
  <c r="I44" i="5"/>
  <c r="I40" i="5"/>
  <c r="I39" i="5"/>
  <c r="I38" i="5"/>
  <c r="I35" i="5"/>
  <c r="I34" i="5"/>
  <c r="I33" i="5"/>
  <c r="I36" i="5"/>
  <c r="I31" i="5"/>
  <c r="I30" i="5"/>
  <c r="I27" i="5"/>
  <c r="I26" i="5"/>
  <c r="I25" i="5"/>
  <c r="I28" i="5"/>
  <c r="I24" i="5"/>
  <c r="I23" i="5"/>
  <c r="I22" i="5"/>
  <c r="I19" i="5"/>
  <c r="I18" i="5"/>
  <c r="I17" i="5"/>
  <c r="I20" i="5"/>
  <c r="I16" i="5"/>
  <c r="I15" i="5"/>
  <c r="I14" i="5"/>
  <c r="I11" i="5"/>
  <c r="I10" i="5"/>
  <c r="I9" i="5"/>
  <c r="I12" i="5"/>
  <c r="I8" i="5"/>
  <c r="I7" i="5"/>
  <c r="I6" i="5"/>
  <c r="F95" i="5"/>
  <c r="F96" i="5"/>
  <c r="F97" i="5"/>
  <c r="F98" i="5"/>
  <c r="F99" i="5"/>
  <c r="F100" i="5"/>
  <c r="F101" i="5"/>
  <c r="F94" i="5"/>
  <c r="F87" i="5"/>
  <c r="F88" i="5"/>
  <c r="F89" i="5"/>
  <c r="F90" i="5"/>
  <c r="F91" i="5"/>
  <c r="F92" i="5"/>
  <c r="F93" i="5"/>
  <c r="F86" i="5"/>
  <c r="F79" i="5"/>
  <c r="F80" i="5"/>
  <c r="F81" i="5"/>
  <c r="F82" i="5"/>
  <c r="F83" i="5"/>
  <c r="F84" i="5"/>
  <c r="F85" i="5"/>
  <c r="F78" i="5"/>
  <c r="F71" i="5"/>
  <c r="F72" i="5"/>
  <c r="F73" i="5"/>
  <c r="F74" i="5"/>
  <c r="F75" i="5"/>
  <c r="F76" i="5"/>
  <c r="F77" i="5"/>
  <c r="F70" i="5"/>
  <c r="F63" i="5"/>
  <c r="F64" i="5"/>
  <c r="F65" i="5"/>
  <c r="F66" i="5"/>
  <c r="F67" i="5"/>
  <c r="F68" i="5"/>
  <c r="F69" i="5"/>
  <c r="F62" i="5"/>
  <c r="F61" i="5"/>
  <c r="F55" i="5"/>
  <c r="F56" i="5"/>
  <c r="F57" i="5"/>
  <c r="F58" i="5"/>
  <c r="F59" i="5"/>
  <c r="F60" i="5"/>
  <c r="F54" i="5"/>
  <c r="F47" i="5"/>
  <c r="F48" i="5"/>
  <c r="F49" i="5"/>
  <c r="F50" i="5"/>
  <c r="F51" i="5"/>
  <c r="F52" i="5"/>
  <c r="F53" i="5"/>
  <c r="F46" i="5"/>
  <c r="F39" i="5"/>
  <c r="F40" i="5"/>
  <c r="F41" i="5"/>
  <c r="F42" i="5"/>
  <c r="F43" i="5"/>
  <c r="F44" i="5"/>
  <c r="F45" i="5"/>
  <c r="F38" i="5"/>
  <c r="F31" i="5"/>
  <c r="F32" i="5"/>
  <c r="F33" i="5"/>
  <c r="F34" i="5"/>
  <c r="F35" i="5"/>
  <c r="F36" i="5"/>
  <c r="F37" i="5"/>
  <c r="F30" i="5"/>
  <c r="F23" i="5"/>
  <c r="F24" i="5"/>
  <c r="F25" i="5"/>
  <c r="F26" i="5"/>
  <c r="F27" i="5"/>
  <c r="F28" i="5"/>
  <c r="F29" i="5"/>
  <c r="F22" i="5"/>
  <c r="F15" i="5"/>
  <c r="F16" i="5"/>
  <c r="F17" i="5"/>
  <c r="F18" i="5"/>
  <c r="F19" i="5"/>
  <c r="F20" i="5"/>
  <c r="F21" i="5"/>
  <c r="F14" i="5"/>
  <c r="F7" i="5"/>
  <c r="F8" i="5"/>
  <c r="F9" i="5"/>
  <c r="F10" i="5"/>
  <c r="F11" i="5"/>
  <c r="F12" i="5"/>
  <c r="F13" i="5"/>
  <c r="F6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L51" i="20"/>
  <c r="L52" i="20"/>
  <c r="L50" i="20"/>
  <c r="L49" i="20"/>
  <c r="L48" i="20"/>
  <c r="L99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47" i="20"/>
  <c r="L46" i="20"/>
  <c r="L45" i="20"/>
  <c r="L44" i="20"/>
  <c r="L41" i="20"/>
  <c r="L40" i="20"/>
  <c r="L39" i="20"/>
  <c r="L38" i="20"/>
  <c r="L37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7" i="20"/>
  <c r="L16" i="20"/>
  <c r="L15" i="20"/>
  <c r="L14" i="20"/>
  <c r="L13" i="20"/>
  <c r="L11" i="20"/>
  <c r="L10" i="20"/>
  <c r="L9" i="20"/>
  <c r="L8" i="20"/>
  <c r="L7" i="20"/>
  <c r="L6" i="20"/>
  <c r="L5" i="20"/>
  <c r="L4" i="20"/>
  <c r="I97" i="20"/>
  <c r="I96" i="20"/>
  <c r="I95" i="20"/>
  <c r="I98" i="20"/>
  <c r="I94" i="20"/>
  <c r="I93" i="20"/>
  <c r="I92" i="20"/>
  <c r="I89" i="20"/>
  <c r="I88" i="20"/>
  <c r="I87" i="20"/>
  <c r="I90" i="20"/>
  <c r="I86" i="20"/>
  <c r="I85" i="20"/>
  <c r="I84" i="20"/>
  <c r="I81" i="20"/>
  <c r="I80" i="20"/>
  <c r="I79" i="20"/>
  <c r="I82" i="20"/>
  <c r="I78" i="20"/>
  <c r="I77" i="20"/>
  <c r="I76" i="20"/>
  <c r="I73" i="20"/>
  <c r="I72" i="20"/>
  <c r="I71" i="20"/>
  <c r="I74" i="20"/>
  <c r="I70" i="20"/>
  <c r="I69" i="20"/>
  <c r="I68" i="20"/>
  <c r="I65" i="20"/>
  <c r="I64" i="20"/>
  <c r="I63" i="20"/>
  <c r="I66" i="20"/>
  <c r="I62" i="20"/>
  <c r="I61" i="20"/>
  <c r="I60" i="20"/>
  <c r="I57" i="20"/>
  <c r="I56" i="20"/>
  <c r="I55" i="20"/>
  <c r="I58" i="20"/>
  <c r="I54" i="20"/>
  <c r="I53" i="20"/>
  <c r="I52" i="20"/>
  <c r="I49" i="20"/>
  <c r="I48" i="20"/>
  <c r="I47" i="20"/>
  <c r="I50" i="20"/>
  <c r="I46" i="20"/>
  <c r="I45" i="20"/>
  <c r="I44" i="20"/>
  <c r="I41" i="20"/>
  <c r="I40" i="20"/>
  <c r="I39" i="20"/>
  <c r="I38" i="20"/>
  <c r="I37" i="20"/>
  <c r="I36" i="20"/>
  <c r="I33" i="20"/>
  <c r="I32" i="20"/>
  <c r="I31" i="20"/>
  <c r="I34" i="20"/>
  <c r="I30" i="20"/>
  <c r="I29" i="20"/>
  <c r="I28" i="20"/>
  <c r="I25" i="20"/>
  <c r="I24" i="20"/>
  <c r="I23" i="20"/>
  <c r="I26" i="20"/>
  <c r="I22" i="20"/>
  <c r="I21" i="20"/>
  <c r="I20" i="20"/>
  <c r="I17" i="20"/>
  <c r="I16" i="20"/>
  <c r="I15" i="20"/>
  <c r="I18" i="20"/>
  <c r="I14" i="20"/>
  <c r="I13" i="20"/>
  <c r="I12" i="20"/>
  <c r="I9" i="20"/>
  <c r="I8" i="20"/>
  <c r="I7" i="20"/>
  <c r="I10" i="20"/>
  <c r="I6" i="20"/>
  <c r="I5" i="20"/>
  <c r="I4" i="20"/>
  <c r="C4" i="20"/>
  <c r="D4" i="20" s="1"/>
  <c r="G4" i="20" s="1"/>
  <c r="E169" i="1"/>
  <c r="H169" i="1" s="1"/>
  <c r="E168" i="1"/>
  <c r="F168" i="1" s="1"/>
  <c r="E167" i="1"/>
  <c r="F167" i="1" s="1"/>
  <c r="E166" i="1"/>
  <c r="F166" i="1" s="1"/>
  <c r="E165" i="1"/>
  <c r="H165" i="1" s="1"/>
  <c r="E164" i="1"/>
  <c r="F164" i="1" s="1"/>
  <c r="E163" i="1"/>
  <c r="H163" i="1" s="1"/>
  <c r="C53" i="20"/>
  <c r="C54" i="20"/>
  <c r="C55" i="20"/>
  <c r="D55" i="20" s="1"/>
  <c r="G55" i="20" s="1"/>
  <c r="M55" i="20" s="1"/>
  <c r="C56" i="20"/>
  <c r="C57" i="20"/>
  <c r="C58" i="20"/>
  <c r="C59" i="20"/>
  <c r="D59" i="20" s="1"/>
  <c r="C60" i="20"/>
  <c r="D60" i="20" s="1"/>
  <c r="G60" i="20" s="1"/>
  <c r="M60" i="20" s="1"/>
  <c r="C61" i="20"/>
  <c r="C62" i="20"/>
  <c r="C63" i="20"/>
  <c r="D63" i="20" s="1"/>
  <c r="G63" i="20" s="1"/>
  <c r="M63" i="20" s="1"/>
  <c r="C64" i="20"/>
  <c r="D64" i="20" s="1"/>
  <c r="G64" i="20" s="1"/>
  <c r="M64" i="20" s="1"/>
  <c r="C65" i="20"/>
  <c r="C66" i="20"/>
  <c r="C67" i="20"/>
  <c r="C68" i="20"/>
  <c r="D68" i="20" s="1"/>
  <c r="C69" i="20"/>
  <c r="C70" i="20"/>
  <c r="C71" i="20"/>
  <c r="D71" i="20" s="1"/>
  <c r="G71" i="20" s="1"/>
  <c r="J71" i="20" s="1"/>
  <c r="C72" i="20"/>
  <c r="D72" i="20" s="1"/>
  <c r="C73" i="20"/>
  <c r="C74" i="20"/>
  <c r="C75" i="20"/>
  <c r="D75" i="20" s="1"/>
  <c r="G75" i="20" s="1"/>
  <c r="C76" i="20"/>
  <c r="D76" i="20" s="1"/>
  <c r="C77" i="20"/>
  <c r="D77" i="20" s="1"/>
  <c r="C78" i="20"/>
  <c r="C79" i="20"/>
  <c r="D79" i="20" s="1"/>
  <c r="C80" i="20"/>
  <c r="D80" i="20" s="1"/>
  <c r="C81" i="20"/>
  <c r="C82" i="20"/>
  <c r="C83" i="20"/>
  <c r="C84" i="20"/>
  <c r="D84" i="20" s="1"/>
  <c r="G84" i="20" s="1"/>
  <c r="M84" i="20" s="1"/>
  <c r="C85" i="20"/>
  <c r="C86" i="20"/>
  <c r="C87" i="20"/>
  <c r="D87" i="20" s="1"/>
  <c r="G87" i="20" s="1"/>
  <c r="M87" i="20" s="1"/>
  <c r="C88" i="20"/>
  <c r="D88" i="20" s="1"/>
  <c r="G88" i="20" s="1"/>
  <c r="M88" i="20" s="1"/>
  <c r="C89" i="20"/>
  <c r="C90" i="20"/>
  <c r="C91" i="20"/>
  <c r="C92" i="20"/>
  <c r="D92" i="20" s="1"/>
  <c r="G92" i="20" s="1"/>
  <c r="M92" i="20" s="1"/>
  <c r="C93" i="20"/>
  <c r="C94" i="20"/>
  <c r="C95" i="20"/>
  <c r="D95" i="20" s="1"/>
  <c r="G95" i="20" s="1"/>
  <c r="M95" i="20" s="1"/>
  <c r="C96" i="20"/>
  <c r="D96" i="20" s="1"/>
  <c r="G96" i="20" s="1"/>
  <c r="M96" i="20" s="1"/>
  <c r="C97" i="20"/>
  <c r="C98" i="20"/>
  <c r="C99" i="20"/>
  <c r="D99" i="20" s="1"/>
  <c r="G99" i="20" s="1"/>
  <c r="C52" i="20"/>
  <c r="D52" i="20" s="1"/>
  <c r="G52" i="20" s="1"/>
  <c r="M52" i="20" s="1"/>
  <c r="C5" i="20"/>
  <c r="C6" i="20"/>
  <c r="C7" i="20"/>
  <c r="C8" i="20"/>
  <c r="D8" i="20" s="1"/>
  <c r="G8" i="20" s="1"/>
  <c r="J8" i="20" s="1"/>
  <c r="C9" i="20"/>
  <c r="D9" i="20" s="1"/>
  <c r="G9" i="20" s="1"/>
  <c r="J9" i="20" s="1"/>
  <c r="C10" i="20"/>
  <c r="C11" i="20"/>
  <c r="D11" i="20" s="1"/>
  <c r="C12" i="20"/>
  <c r="D12" i="20" s="1"/>
  <c r="G12" i="20" s="1"/>
  <c r="M12" i="20" s="1"/>
  <c r="C13" i="20"/>
  <c r="D13" i="20" s="1"/>
  <c r="G13" i="20" s="1"/>
  <c r="M13" i="20" s="1"/>
  <c r="C14" i="20"/>
  <c r="C15" i="20"/>
  <c r="D15" i="20" s="1"/>
  <c r="G15" i="20" s="1"/>
  <c r="M15" i="20" s="1"/>
  <c r="C16" i="20"/>
  <c r="D16" i="20" s="1"/>
  <c r="C17" i="20"/>
  <c r="D17" i="20" s="1"/>
  <c r="G17" i="20" s="1"/>
  <c r="M17" i="20" s="1"/>
  <c r="C18" i="20"/>
  <c r="C19" i="20"/>
  <c r="C20" i="20"/>
  <c r="D20" i="20" s="1"/>
  <c r="C21" i="20"/>
  <c r="C22" i="20"/>
  <c r="C23" i="20"/>
  <c r="C24" i="20"/>
  <c r="D24" i="20" s="1"/>
  <c r="C25" i="20"/>
  <c r="D25" i="20" s="1"/>
  <c r="C26" i="20"/>
  <c r="C27" i="20"/>
  <c r="D27" i="20" s="1"/>
  <c r="C28" i="20"/>
  <c r="D28" i="20" s="1"/>
  <c r="C29" i="20"/>
  <c r="D29" i="20" s="1"/>
  <c r="C30" i="20"/>
  <c r="C31" i="20"/>
  <c r="D31" i="20" s="1"/>
  <c r="G31" i="20" s="1"/>
  <c r="M31" i="20" s="1"/>
  <c r="C32" i="20"/>
  <c r="D32" i="20" s="1"/>
  <c r="C33" i="20"/>
  <c r="C34" i="20"/>
  <c r="C35" i="20"/>
  <c r="D35" i="20" s="1"/>
  <c r="G35" i="20" s="1"/>
  <c r="M35" i="20" s="1"/>
  <c r="C36" i="20"/>
  <c r="D36" i="20" s="1"/>
  <c r="G36" i="20" s="1"/>
  <c r="C37" i="20"/>
  <c r="C38" i="20"/>
  <c r="C39" i="20"/>
  <c r="D39" i="20" s="1"/>
  <c r="C40" i="20"/>
  <c r="D40" i="20" s="1"/>
  <c r="C41" i="20"/>
  <c r="C42" i="20"/>
  <c r="C43" i="20"/>
  <c r="D43" i="20" s="1"/>
  <c r="G43" i="20" s="1"/>
  <c r="M43" i="20" s="1"/>
  <c r="C44" i="20"/>
  <c r="D44" i="20" s="1"/>
  <c r="G44" i="20" s="1"/>
  <c r="J44" i="20" s="1"/>
  <c r="C45" i="20"/>
  <c r="C46" i="20"/>
  <c r="C47" i="20"/>
  <c r="D47" i="20" s="1"/>
  <c r="G47" i="20" s="1"/>
  <c r="J47" i="20" s="1"/>
  <c r="C48" i="20"/>
  <c r="D48" i="20" s="1"/>
  <c r="G48" i="20" s="1"/>
  <c r="J48" i="20" s="1"/>
  <c r="C49" i="20"/>
  <c r="C50" i="20"/>
  <c r="C51" i="20"/>
  <c r="D51" i="20" s="1"/>
  <c r="K159" i="1"/>
  <c r="L98" i="20"/>
  <c r="D98" i="20"/>
  <c r="G98" i="20" s="1"/>
  <c r="M98" i="20" s="1"/>
  <c r="D97" i="20"/>
  <c r="G97" i="20" s="1"/>
  <c r="M97" i="20" s="1"/>
  <c r="D94" i="20"/>
  <c r="G94" i="20" s="1"/>
  <c r="D93" i="20"/>
  <c r="G93" i="20" s="1"/>
  <c r="M93" i="20" s="1"/>
  <c r="D91" i="20"/>
  <c r="D90" i="20"/>
  <c r="G90" i="20" s="1"/>
  <c r="D89" i="20"/>
  <c r="G89" i="20" s="1"/>
  <c r="M89" i="20" s="1"/>
  <c r="J86" i="20"/>
  <c r="D86" i="20"/>
  <c r="G86" i="20" s="1"/>
  <c r="D85" i="20"/>
  <c r="G85" i="20" s="1"/>
  <c r="M85" i="20" s="1"/>
  <c r="D83" i="20"/>
  <c r="D82" i="20"/>
  <c r="D81" i="20"/>
  <c r="D78" i="20"/>
  <c r="D74" i="20"/>
  <c r="G74" i="20" s="1"/>
  <c r="D73" i="20"/>
  <c r="L71" i="20"/>
  <c r="D70" i="20"/>
  <c r="G70" i="20" s="1"/>
  <c r="D69" i="20"/>
  <c r="D67" i="20"/>
  <c r="G67" i="20" s="1"/>
  <c r="D66" i="20"/>
  <c r="G66" i="20" s="1"/>
  <c r="D65" i="20"/>
  <c r="G65" i="20" s="1"/>
  <c r="D62" i="20"/>
  <c r="G62" i="20" s="1"/>
  <c r="M62" i="20" s="1"/>
  <c r="D61" i="20"/>
  <c r="G61" i="20" s="1"/>
  <c r="M61" i="20" s="1"/>
  <c r="D58" i="20"/>
  <c r="G58" i="20" s="1"/>
  <c r="D57" i="20"/>
  <c r="G57" i="20" s="1"/>
  <c r="D56" i="20"/>
  <c r="G56" i="20" s="1"/>
  <c r="M56" i="20" s="1"/>
  <c r="D54" i="20"/>
  <c r="G54" i="20" s="1"/>
  <c r="D53" i="20"/>
  <c r="G53" i="20" s="1"/>
  <c r="D50" i="20"/>
  <c r="D49" i="20"/>
  <c r="G49" i="20" s="1"/>
  <c r="J49" i="20" s="1"/>
  <c r="D46" i="20"/>
  <c r="F45" i="20"/>
  <c r="D45" i="20"/>
  <c r="G45" i="20" s="1"/>
  <c r="J45" i="20" s="1"/>
  <c r="L43" i="20"/>
  <c r="L42" i="20"/>
  <c r="D42" i="20"/>
  <c r="D41" i="20"/>
  <c r="G41" i="20" s="1"/>
  <c r="J41" i="20" s="1"/>
  <c r="D38" i="20"/>
  <c r="D37" i="20"/>
  <c r="G37" i="20" s="1"/>
  <c r="J37" i="20" s="1"/>
  <c r="L36" i="20"/>
  <c r="L35" i="20"/>
  <c r="D34" i="20"/>
  <c r="D33" i="20"/>
  <c r="D30" i="20"/>
  <c r="D26" i="20"/>
  <c r="D23" i="20"/>
  <c r="D22" i="20"/>
  <c r="D21" i="20"/>
  <c r="L19" i="20"/>
  <c r="D19" i="20"/>
  <c r="G19" i="20" s="1"/>
  <c r="L18" i="20"/>
  <c r="D18" i="20"/>
  <c r="D14" i="20"/>
  <c r="G14" i="20" s="1"/>
  <c r="M14" i="20" s="1"/>
  <c r="L12" i="20"/>
  <c r="D10" i="20"/>
  <c r="D7" i="20"/>
  <c r="D6" i="20"/>
  <c r="D5" i="20"/>
  <c r="G5" i="20" s="1"/>
  <c r="L27" i="19"/>
  <c r="L26" i="19"/>
  <c r="L25" i="19"/>
  <c r="L24" i="19"/>
  <c r="L23" i="19"/>
  <c r="L22" i="19"/>
  <c r="L21" i="19"/>
  <c r="L20" i="19"/>
  <c r="L17" i="19"/>
  <c r="L16" i="19"/>
  <c r="L15" i="19"/>
  <c r="L14" i="19"/>
  <c r="L13" i="19"/>
  <c r="L92" i="19"/>
  <c r="L93" i="19"/>
  <c r="L94" i="19"/>
  <c r="L95" i="19"/>
  <c r="L96" i="19"/>
  <c r="L97" i="19"/>
  <c r="L99" i="19"/>
  <c r="L83" i="19"/>
  <c r="L82" i="19"/>
  <c r="L81" i="19"/>
  <c r="L80" i="19"/>
  <c r="L79" i="19"/>
  <c r="L78" i="19"/>
  <c r="L77" i="19"/>
  <c r="L76" i="19"/>
  <c r="L91" i="19"/>
  <c r="L90" i="19"/>
  <c r="L89" i="19"/>
  <c r="L88" i="19"/>
  <c r="L87" i="19"/>
  <c r="L86" i="19"/>
  <c r="L85" i="19"/>
  <c r="L84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1" i="19"/>
  <c r="L40" i="19"/>
  <c r="L39" i="19"/>
  <c r="L38" i="19"/>
  <c r="L37" i="19"/>
  <c r="L35" i="19"/>
  <c r="L34" i="19"/>
  <c r="L33" i="19"/>
  <c r="L32" i="19"/>
  <c r="L31" i="19"/>
  <c r="L30" i="19"/>
  <c r="L29" i="19"/>
  <c r="L28" i="19"/>
  <c r="L11" i="19"/>
  <c r="L10" i="19"/>
  <c r="L9" i="19"/>
  <c r="L8" i="19"/>
  <c r="L7" i="19"/>
  <c r="L6" i="19"/>
  <c r="L5" i="19"/>
  <c r="L4" i="19"/>
  <c r="I89" i="19"/>
  <c r="I88" i="19"/>
  <c r="I87" i="19"/>
  <c r="I97" i="19"/>
  <c r="I96" i="19"/>
  <c r="I95" i="19"/>
  <c r="I98" i="19"/>
  <c r="I94" i="19"/>
  <c r="I93" i="19"/>
  <c r="I92" i="19"/>
  <c r="I90" i="19"/>
  <c r="I86" i="19"/>
  <c r="I85" i="19"/>
  <c r="I84" i="19"/>
  <c r="I81" i="19"/>
  <c r="I80" i="19"/>
  <c r="I79" i="19"/>
  <c r="I82" i="19"/>
  <c r="I78" i="19"/>
  <c r="I77" i="19"/>
  <c r="I76" i="19"/>
  <c r="I73" i="19"/>
  <c r="I72" i="19"/>
  <c r="I71" i="19"/>
  <c r="I74" i="19"/>
  <c r="I70" i="19"/>
  <c r="I69" i="19"/>
  <c r="I68" i="19"/>
  <c r="I65" i="19"/>
  <c r="I64" i="19"/>
  <c r="I63" i="19"/>
  <c r="I66" i="19"/>
  <c r="I62" i="19"/>
  <c r="I61" i="19"/>
  <c r="I60" i="19"/>
  <c r="I57" i="19"/>
  <c r="I56" i="19"/>
  <c r="I55" i="19"/>
  <c r="I58" i="19"/>
  <c r="I54" i="19"/>
  <c r="I53" i="19"/>
  <c r="I52" i="19"/>
  <c r="I48" i="19"/>
  <c r="I47" i="19"/>
  <c r="I50" i="19"/>
  <c r="I46" i="19"/>
  <c r="I45" i="19"/>
  <c r="I44" i="19"/>
  <c r="I41" i="19"/>
  <c r="I40" i="19"/>
  <c r="I39" i="19"/>
  <c r="I38" i="19"/>
  <c r="I37" i="19"/>
  <c r="I36" i="19"/>
  <c r="I33" i="19"/>
  <c r="I32" i="19"/>
  <c r="I31" i="19"/>
  <c r="I30" i="19"/>
  <c r="I29" i="19"/>
  <c r="I28" i="19"/>
  <c r="I25" i="19"/>
  <c r="I24" i="19"/>
  <c r="I23" i="19"/>
  <c r="I26" i="19"/>
  <c r="I22" i="19"/>
  <c r="I21" i="19"/>
  <c r="I20" i="19"/>
  <c r="I17" i="19"/>
  <c r="I16" i="19"/>
  <c r="I15" i="19"/>
  <c r="I14" i="19"/>
  <c r="I13" i="19"/>
  <c r="I12" i="19"/>
  <c r="I9" i="19"/>
  <c r="I8" i="19"/>
  <c r="I7" i="19"/>
  <c r="I6" i="19"/>
  <c r="I5" i="19"/>
  <c r="I4" i="19"/>
  <c r="E160" i="1"/>
  <c r="H160" i="1" s="1"/>
  <c r="E159" i="1"/>
  <c r="F159" i="1" s="1"/>
  <c r="E158" i="1"/>
  <c r="H158" i="1" s="1"/>
  <c r="E157" i="1"/>
  <c r="H157" i="1" s="1"/>
  <c r="E156" i="1"/>
  <c r="H156" i="1" s="1"/>
  <c r="E155" i="1"/>
  <c r="F155" i="1" s="1"/>
  <c r="E154" i="1"/>
  <c r="H154" i="1" s="1"/>
  <c r="C53" i="19"/>
  <c r="C54" i="19"/>
  <c r="C55" i="19"/>
  <c r="C56" i="19"/>
  <c r="D56" i="19" s="1"/>
  <c r="C57" i="19"/>
  <c r="C58" i="19"/>
  <c r="C59" i="19"/>
  <c r="C60" i="19"/>
  <c r="D60" i="19" s="1"/>
  <c r="G60" i="19" s="1"/>
  <c r="M60" i="19" s="1"/>
  <c r="C61" i="19"/>
  <c r="C62" i="19"/>
  <c r="D62" i="19" s="1"/>
  <c r="G62" i="19" s="1"/>
  <c r="C63" i="19"/>
  <c r="D63" i="19" s="1"/>
  <c r="G63" i="19" s="1"/>
  <c r="C64" i="19"/>
  <c r="D64" i="19" s="1"/>
  <c r="C65" i="19"/>
  <c r="C66" i="19"/>
  <c r="D66" i="19" s="1"/>
  <c r="G66" i="19" s="1"/>
  <c r="C67" i="19"/>
  <c r="D67" i="19" s="1"/>
  <c r="C68" i="19"/>
  <c r="D68" i="19" s="1"/>
  <c r="C69" i="19"/>
  <c r="C70" i="19"/>
  <c r="C71" i="19"/>
  <c r="D71" i="19" s="1"/>
  <c r="C72" i="19"/>
  <c r="D72" i="19" s="1"/>
  <c r="C73" i="19"/>
  <c r="C74" i="19"/>
  <c r="D74" i="19" s="1"/>
  <c r="C75" i="19"/>
  <c r="D75" i="19" s="1"/>
  <c r="C76" i="19"/>
  <c r="D76" i="19" s="1"/>
  <c r="G76" i="19" s="1"/>
  <c r="J76" i="19" s="1"/>
  <c r="C77" i="19"/>
  <c r="C78" i="19"/>
  <c r="C79" i="19"/>
  <c r="D79" i="19" s="1"/>
  <c r="G79" i="19" s="1"/>
  <c r="J79" i="19" s="1"/>
  <c r="C80" i="19"/>
  <c r="D80" i="19" s="1"/>
  <c r="C81" i="19"/>
  <c r="C82" i="19"/>
  <c r="D82" i="19" s="1"/>
  <c r="G82" i="19" s="1"/>
  <c r="C83" i="19"/>
  <c r="C84" i="19"/>
  <c r="D84" i="19" s="1"/>
  <c r="C85" i="19"/>
  <c r="C86" i="19"/>
  <c r="D86" i="19" s="1"/>
  <c r="C87" i="19"/>
  <c r="D87" i="19" s="1"/>
  <c r="C88" i="19"/>
  <c r="D88" i="19" s="1"/>
  <c r="C89" i="19"/>
  <c r="C90" i="19"/>
  <c r="D90" i="19" s="1"/>
  <c r="C91" i="19"/>
  <c r="C92" i="19"/>
  <c r="D92" i="19" s="1"/>
  <c r="G92" i="19" s="1"/>
  <c r="M92" i="19" s="1"/>
  <c r="C93" i="19"/>
  <c r="D93" i="19" s="1"/>
  <c r="G93" i="19" s="1"/>
  <c r="C94" i="19"/>
  <c r="D94" i="19" s="1"/>
  <c r="C95" i="19"/>
  <c r="C96" i="19"/>
  <c r="D96" i="19" s="1"/>
  <c r="C97" i="19"/>
  <c r="C98" i="19"/>
  <c r="D98" i="19" s="1"/>
  <c r="C99" i="19"/>
  <c r="C52" i="19"/>
  <c r="D52" i="19" s="1"/>
  <c r="C5" i="19"/>
  <c r="C6" i="19"/>
  <c r="D6" i="19" s="1"/>
  <c r="G6" i="19" s="1"/>
  <c r="C7" i="19"/>
  <c r="D7" i="19" s="1"/>
  <c r="G7" i="19" s="1"/>
  <c r="J7" i="19" s="1"/>
  <c r="C8" i="19"/>
  <c r="D8" i="19" s="1"/>
  <c r="C9" i="19"/>
  <c r="C10" i="19"/>
  <c r="D10" i="19" s="1"/>
  <c r="G10" i="19" s="1"/>
  <c r="C11" i="19"/>
  <c r="D11" i="19" s="1"/>
  <c r="G11" i="19" s="1"/>
  <c r="C12" i="19"/>
  <c r="D12" i="19" s="1"/>
  <c r="C13" i="19"/>
  <c r="C14" i="19"/>
  <c r="D14" i="19" s="1"/>
  <c r="C15" i="19"/>
  <c r="D15" i="19" s="1"/>
  <c r="C16" i="19"/>
  <c r="D16" i="19" s="1"/>
  <c r="C17" i="19"/>
  <c r="C18" i="19"/>
  <c r="D18" i="19" s="1"/>
  <c r="G18" i="19" s="1"/>
  <c r="M18" i="19" s="1"/>
  <c r="C19" i="19"/>
  <c r="D19" i="19" s="1"/>
  <c r="G19" i="19" s="1"/>
  <c r="C20" i="19"/>
  <c r="D20" i="19" s="1"/>
  <c r="G20" i="19" s="1"/>
  <c r="J20" i="19" s="1"/>
  <c r="C21" i="19"/>
  <c r="C22" i="19"/>
  <c r="D22" i="19" s="1"/>
  <c r="G22" i="19" s="1"/>
  <c r="C23" i="19"/>
  <c r="C24" i="19"/>
  <c r="D24" i="19" s="1"/>
  <c r="C25" i="19"/>
  <c r="C26" i="19"/>
  <c r="D26" i="19" s="1"/>
  <c r="G26" i="19" s="1"/>
  <c r="J26" i="19" s="1"/>
  <c r="C27" i="19"/>
  <c r="D27" i="19" s="1"/>
  <c r="G27" i="19" s="1"/>
  <c r="M27" i="19" s="1"/>
  <c r="C28" i="19"/>
  <c r="D28" i="19" s="1"/>
  <c r="G28" i="19" s="1"/>
  <c r="M28" i="19" s="1"/>
  <c r="C29" i="19"/>
  <c r="C30" i="19"/>
  <c r="C31" i="19"/>
  <c r="D31" i="19" s="1"/>
  <c r="G31" i="19" s="1"/>
  <c r="M31" i="19" s="1"/>
  <c r="C32" i="19"/>
  <c r="D32" i="19" s="1"/>
  <c r="C33" i="19"/>
  <c r="C34" i="19"/>
  <c r="C35" i="19"/>
  <c r="D35" i="19" s="1"/>
  <c r="C36" i="19"/>
  <c r="D36" i="19" s="1"/>
  <c r="C37" i="19"/>
  <c r="C38" i="19"/>
  <c r="C39" i="19"/>
  <c r="D39" i="19" s="1"/>
  <c r="C40" i="19"/>
  <c r="D40" i="19" s="1"/>
  <c r="C41" i="19"/>
  <c r="C42" i="19"/>
  <c r="D42" i="19" s="1"/>
  <c r="C43" i="19"/>
  <c r="C44" i="19"/>
  <c r="D44" i="19" s="1"/>
  <c r="C45" i="19"/>
  <c r="C46" i="19"/>
  <c r="D46" i="19" s="1"/>
  <c r="C47" i="19"/>
  <c r="D47" i="19" s="1"/>
  <c r="C48" i="19"/>
  <c r="D48" i="19" s="1"/>
  <c r="C49" i="19"/>
  <c r="C50" i="19"/>
  <c r="D50" i="19" s="1"/>
  <c r="C51" i="19"/>
  <c r="D51" i="19" s="1"/>
  <c r="C4" i="19"/>
  <c r="K152" i="1"/>
  <c r="K151" i="1"/>
  <c r="D99" i="19"/>
  <c r="L98" i="19"/>
  <c r="D97" i="19"/>
  <c r="G97" i="19" s="1"/>
  <c r="D95" i="19"/>
  <c r="D91" i="19"/>
  <c r="G91" i="19" s="1"/>
  <c r="D89" i="19"/>
  <c r="D85" i="19"/>
  <c r="D83" i="19"/>
  <c r="D81" i="19"/>
  <c r="G81" i="19" s="1"/>
  <c r="D78" i="19"/>
  <c r="G78" i="19" s="1"/>
  <c r="J78" i="19" s="1"/>
  <c r="D77" i="19"/>
  <c r="G77" i="19" s="1"/>
  <c r="D73" i="19"/>
  <c r="D70" i="19"/>
  <c r="D69" i="19"/>
  <c r="D65" i="19"/>
  <c r="G65" i="19" s="1"/>
  <c r="M65" i="19" s="1"/>
  <c r="L63" i="19"/>
  <c r="D61" i="19"/>
  <c r="G61" i="19" s="1"/>
  <c r="D59" i="19"/>
  <c r="G59" i="19" s="1"/>
  <c r="M59" i="19" s="1"/>
  <c r="D58" i="19"/>
  <c r="D57" i="19"/>
  <c r="D55" i="19"/>
  <c r="D54" i="19"/>
  <c r="D53" i="19"/>
  <c r="I49" i="19"/>
  <c r="D49" i="19"/>
  <c r="D45" i="19"/>
  <c r="L43" i="19"/>
  <c r="D43" i="19"/>
  <c r="L42" i="19"/>
  <c r="D41" i="19"/>
  <c r="D38" i="19"/>
  <c r="D37" i="19"/>
  <c r="L36" i="19"/>
  <c r="D34" i="19"/>
  <c r="G34" i="19" s="1"/>
  <c r="D33" i="19"/>
  <c r="G33" i="19" s="1"/>
  <c r="M33" i="19" s="1"/>
  <c r="D30" i="19"/>
  <c r="G30" i="19" s="1"/>
  <c r="D29" i="19"/>
  <c r="G29" i="19" s="1"/>
  <c r="M29" i="19" s="1"/>
  <c r="D25" i="19"/>
  <c r="G25" i="19" s="1"/>
  <c r="D23" i="19"/>
  <c r="G23" i="19" s="1"/>
  <c r="G21" i="19"/>
  <c r="D21" i="19"/>
  <c r="L19" i="19"/>
  <c r="L18" i="19"/>
  <c r="I18" i="19"/>
  <c r="D17" i="19"/>
  <c r="G17" i="19" s="1"/>
  <c r="D13" i="19"/>
  <c r="L12" i="19"/>
  <c r="D9" i="19"/>
  <c r="G9" i="19" s="1"/>
  <c r="D5" i="19"/>
  <c r="G5" i="19" s="1"/>
  <c r="D4" i="19"/>
  <c r="G4" i="19" s="1"/>
  <c r="M4" i="19" s="1"/>
  <c r="L99" i="18"/>
  <c r="L98" i="18"/>
  <c r="L97" i="18"/>
  <c r="L95" i="18"/>
  <c r="L94" i="18"/>
  <c r="L93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1" i="18"/>
  <c r="L40" i="18"/>
  <c r="L39" i="18"/>
  <c r="L38" i="18"/>
  <c r="L35" i="18"/>
  <c r="L34" i="18"/>
  <c r="L33" i="18"/>
  <c r="L32" i="18"/>
  <c r="L31" i="18"/>
  <c r="L30" i="18"/>
  <c r="L29" i="18"/>
  <c r="L28" i="18"/>
  <c r="L21" i="18"/>
  <c r="L20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I97" i="18"/>
  <c r="I96" i="18"/>
  <c r="I95" i="18"/>
  <c r="I98" i="18"/>
  <c r="I94" i="18"/>
  <c r="I93" i="18"/>
  <c r="I92" i="18"/>
  <c r="I89" i="18"/>
  <c r="I88" i="18"/>
  <c r="I87" i="18"/>
  <c r="I90" i="18"/>
  <c r="I86" i="18"/>
  <c r="I85" i="18"/>
  <c r="I84" i="18"/>
  <c r="I81" i="18"/>
  <c r="I80" i="18"/>
  <c r="I79" i="18"/>
  <c r="I82" i="18"/>
  <c r="I78" i="18"/>
  <c r="I77" i="18"/>
  <c r="I76" i="18"/>
  <c r="I73" i="18"/>
  <c r="I72" i="18"/>
  <c r="I71" i="18"/>
  <c r="I74" i="18"/>
  <c r="I70" i="18"/>
  <c r="I69" i="18"/>
  <c r="I68" i="18"/>
  <c r="I65" i="18"/>
  <c r="I64" i="18"/>
  <c r="I66" i="18"/>
  <c r="I63" i="18"/>
  <c r="I62" i="18"/>
  <c r="I61" i="18"/>
  <c r="I60" i="18"/>
  <c r="I57" i="18"/>
  <c r="I56" i="18"/>
  <c r="I55" i="18"/>
  <c r="I58" i="18"/>
  <c r="I54" i="18"/>
  <c r="I53" i="18"/>
  <c r="I52" i="18"/>
  <c r="I49" i="18"/>
  <c r="I48" i="18"/>
  <c r="I47" i="18"/>
  <c r="I50" i="18"/>
  <c r="I46" i="18"/>
  <c r="I45" i="18"/>
  <c r="I44" i="18"/>
  <c r="I41" i="18"/>
  <c r="I40" i="18"/>
  <c r="I39" i="18"/>
  <c r="I38" i="18"/>
  <c r="I37" i="18"/>
  <c r="I33" i="18"/>
  <c r="I32" i="18"/>
  <c r="I31" i="18"/>
  <c r="I34" i="18"/>
  <c r="I30" i="18"/>
  <c r="I29" i="18"/>
  <c r="I28" i="18"/>
  <c r="I25" i="18"/>
  <c r="I24" i="18"/>
  <c r="I23" i="18"/>
  <c r="I26" i="18"/>
  <c r="I22" i="18"/>
  <c r="I21" i="18"/>
  <c r="I20" i="18"/>
  <c r="I17" i="18"/>
  <c r="I16" i="18"/>
  <c r="I15" i="18"/>
  <c r="I18" i="18"/>
  <c r="I14" i="18"/>
  <c r="I13" i="18"/>
  <c r="I12" i="18"/>
  <c r="I9" i="18"/>
  <c r="I8" i="18"/>
  <c r="I7" i="18"/>
  <c r="I10" i="18"/>
  <c r="I6" i="18"/>
  <c r="I5" i="18"/>
  <c r="I4" i="18"/>
  <c r="F93" i="18"/>
  <c r="F94" i="18"/>
  <c r="F95" i="18"/>
  <c r="F96" i="18"/>
  <c r="F97" i="18"/>
  <c r="F98" i="18"/>
  <c r="F99" i="18"/>
  <c r="F92" i="18"/>
  <c r="F85" i="18"/>
  <c r="F86" i="18"/>
  <c r="F87" i="18"/>
  <c r="F88" i="18"/>
  <c r="F89" i="18"/>
  <c r="F90" i="18"/>
  <c r="F91" i="18"/>
  <c r="G91" i="18" s="1"/>
  <c r="F84" i="18"/>
  <c r="F77" i="18"/>
  <c r="F78" i="18"/>
  <c r="F79" i="18"/>
  <c r="F80" i="18"/>
  <c r="F81" i="18"/>
  <c r="G81" i="18" s="1"/>
  <c r="J81" i="18" s="1"/>
  <c r="F82" i="18"/>
  <c r="F83" i="18"/>
  <c r="F76" i="18"/>
  <c r="F69" i="18"/>
  <c r="F70" i="18"/>
  <c r="F71" i="18"/>
  <c r="F72" i="18"/>
  <c r="F73" i="18"/>
  <c r="F74" i="18"/>
  <c r="F75" i="18"/>
  <c r="F68" i="18"/>
  <c r="F61" i="18"/>
  <c r="F62" i="18"/>
  <c r="F63" i="18"/>
  <c r="F64" i="18"/>
  <c r="F65" i="18"/>
  <c r="F66" i="18"/>
  <c r="F67" i="18"/>
  <c r="F60" i="18"/>
  <c r="F53" i="18"/>
  <c r="F54" i="18"/>
  <c r="F55" i="18"/>
  <c r="F56" i="18"/>
  <c r="F57" i="18"/>
  <c r="F58" i="18"/>
  <c r="F59" i="18"/>
  <c r="F52" i="18"/>
  <c r="F45" i="18"/>
  <c r="F46" i="18"/>
  <c r="F47" i="18"/>
  <c r="F48" i="18"/>
  <c r="F49" i="18"/>
  <c r="F50" i="18"/>
  <c r="F51" i="18"/>
  <c r="F44" i="18"/>
  <c r="F37" i="18"/>
  <c r="F38" i="18"/>
  <c r="F39" i="18"/>
  <c r="F40" i="18"/>
  <c r="F41" i="18"/>
  <c r="F42" i="18"/>
  <c r="F43" i="18"/>
  <c r="F36" i="18"/>
  <c r="F29" i="18"/>
  <c r="F30" i="18"/>
  <c r="F31" i="18"/>
  <c r="F32" i="18"/>
  <c r="F33" i="18"/>
  <c r="F34" i="18"/>
  <c r="F35" i="18"/>
  <c r="F28" i="18"/>
  <c r="F21" i="18"/>
  <c r="F22" i="18"/>
  <c r="F23" i="18"/>
  <c r="F24" i="18"/>
  <c r="F25" i="18"/>
  <c r="F26" i="18"/>
  <c r="F27" i="18"/>
  <c r="F20" i="18"/>
  <c r="F13" i="18"/>
  <c r="F14" i="18"/>
  <c r="F15" i="18"/>
  <c r="F16" i="18"/>
  <c r="F17" i="18"/>
  <c r="F18" i="18"/>
  <c r="F19" i="18"/>
  <c r="F12" i="18"/>
  <c r="F5" i="18"/>
  <c r="F6" i="18"/>
  <c r="F7" i="18"/>
  <c r="F8" i="18"/>
  <c r="F9" i="18"/>
  <c r="F10" i="18"/>
  <c r="F11" i="18"/>
  <c r="F4" i="18"/>
  <c r="E151" i="1"/>
  <c r="H151" i="1" s="1"/>
  <c r="E150" i="1"/>
  <c r="F150" i="1" s="1"/>
  <c r="E149" i="1"/>
  <c r="F149" i="1" s="1"/>
  <c r="E148" i="1"/>
  <c r="H148" i="1" s="1"/>
  <c r="E147" i="1"/>
  <c r="H147" i="1" s="1"/>
  <c r="E146" i="1"/>
  <c r="F146" i="1" s="1"/>
  <c r="E145" i="1"/>
  <c r="H145" i="1" s="1"/>
  <c r="C53" i="18"/>
  <c r="C54" i="18"/>
  <c r="D54" i="18" s="1"/>
  <c r="C55" i="18"/>
  <c r="C56" i="18"/>
  <c r="D56" i="18" s="1"/>
  <c r="C57" i="18"/>
  <c r="C58" i="18"/>
  <c r="D58" i="18" s="1"/>
  <c r="C59" i="18"/>
  <c r="C60" i="18"/>
  <c r="D60" i="18" s="1"/>
  <c r="G60" i="18" s="1"/>
  <c r="C61" i="18"/>
  <c r="C62" i="18"/>
  <c r="D62" i="18" s="1"/>
  <c r="G62" i="18" s="1"/>
  <c r="C63" i="18"/>
  <c r="C64" i="18"/>
  <c r="D64" i="18" s="1"/>
  <c r="G64" i="18" s="1"/>
  <c r="C65" i="18"/>
  <c r="C66" i="18"/>
  <c r="D66" i="18" s="1"/>
  <c r="C67" i="18"/>
  <c r="D67" i="18" s="1"/>
  <c r="C68" i="18"/>
  <c r="D68" i="18" s="1"/>
  <c r="G68" i="18" s="1"/>
  <c r="M68" i="18" s="1"/>
  <c r="C69" i="18"/>
  <c r="C70" i="18"/>
  <c r="C71" i="18"/>
  <c r="C72" i="18"/>
  <c r="D72" i="18" s="1"/>
  <c r="G72" i="18" s="1"/>
  <c r="M72" i="18" s="1"/>
  <c r="C73" i="18"/>
  <c r="C74" i="18"/>
  <c r="D74" i="18" s="1"/>
  <c r="G74" i="18" s="1"/>
  <c r="M74" i="18" s="1"/>
  <c r="C75" i="18"/>
  <c r="C76" i="18"/>
  <c r="D76" i="18" s="1"/>
  <c r="C77" i="18"/>
  <c r="C78" i="18"/>
  <c r="D78" i="18" s="1"/>
  <c r="C79" i="18"/>
  <c r="C80" i="18"/>
  <c r="D80" i="18" s="1"/>
  <c r="C81" i="18"/>
  <c r="C82" i="18"/>
  <c r="C83" i="18"/>
  <c r="C84" i="18"/>
  <c r="D84" i="18" s="1"/>
  <c r="C85" i="18"/>
  <c r="C86" i="18"/>
  <c r="D86" i="18" s="1"/>
  <c r="C87" i="18"/>
  <c r="C88" i="18"/>
  <c r="D88" i="18" s="1"/>
  <c r="C89" i="18"/>
  <c r="C90" i="18"/>
  <c r="D90" i="18" s="1"/>
  <c r="C91" i="18"/>
  <c r="C92" i="18"/>
  <c r="D92" i="18" s="1"/>
  <c r="G92" i="18" s="1"/>
  <c r="C93" i="18"/>
  <c r="C94" i="18"/>
  <c r="D94" i="18" s="1"/>
  <c r="G94" i="18" s="1"/>
  <c r="C95" i="18"/>
  <c r="C96" i="18"/>
  <c r="D96" i="18" s="1"/>
  <c r="C97" i="18"/>
  <c r="C98" i="18"/>
  <c r="D98" i="18" s="1"/>
  <c r="G98" i="18" s="1"/>
  <c r="C99" i="18"/>
  <c r="C52" i="18"/>
  <c r="C5" i="18"/>
  <c r="C6" i="18"/>
  <c r="D6" i="18" s="1"/>
  <c r="G6" i="18" s="1"/>
  <c r="C7" i="18"/>
  <c r="C8" i="18"/>
  <c r="D8" i="18" s="1"/>
  <c r="C9" i="18"/>
  <c r="C10" i="18"/>
  <c r="C11" i="18"/>
  <c r="C12" i="18"/>
  <c r="D12" i="18" s="1"/>
  <c r="C13" i="18"/>
  <c r="C14" i="18"/>
  <c r="C15" i="18"/>
  <c r="C16" i="18"/>
  <c r="D16" i="18" s="1"/>
  <c r="C17" i="18"/>
  <c r="C18" i="18"/>
  <c r="D18" i="18" s="1"/>
  <c r="C19" i="18"/>
  <c r="D19" i="18" s="1"/>
  <c r="C20" i="18"/>
  <c r="C21" i="18"/>
  <c r="C22" i="18"/>
  <c r="D22" i="18" s="1"/>
  <c r="G22" i="18" s="1"/>
  <c r="C23" i="18"/>
  <c r="C24" i="18"/>
  <c r="D24" i="18" s="1"/>
  <c r="G24" i="18" s="1"/>
  <c r="C25" i="18"/>
  <c r="C26" i="18"/>
  <c r="D26" i="18" s="1"/>
  <c r="G26" i="18" s="1"/>
  <c r="C27" i="18"/>
  <c r="D27" i="18" s="1"/>
  <c r="C28" i="18"/>
  <c r="D28" i="18" s="1"/>
  <c r="C29" i="18"/>
  <c r="C30" i="18"/>
  <c r="D30" i="18" s="1"/>
  <c r="C31" i="18"/>
  <c r="C32" i="18"/>
  <c r="D32" i="18" s="1"/>
  <c r="C33" i="18"/>
  <c r="C34" i="18"/>
  <c r="D34" i="18" s="1"/>
  <c r="C35" i="18"/>
  <c r="C36" i="18"/>
  <c r="C37" i="18"/>
  <c r="C38" i="18"/>
  <c r="D38" i="18" s="1"/>
  <c r="G38" i="18" s="1"/>
  <c r="M38" i="18" s="1"/>
  <c r="C39" i="18"/>
  <c r="C40" i="18"/>
  <c r="D40" i="18" s="1"/>
  <c r="G40" i="18" s="1"/>
  <c r="M40" i="18" s="1"/>
  <c r="C41" i="18"/>
  <c r="C42" i="18"/>
  <c r="C43" i="18"/>
  <c r="C44" i="18"/>
  <c r="C45" i="18"/>
  <c r="C46" i="18"/>
  <c r="D46" i="18" s="1"/>
  <c r="G46" i="18" s="1"/>
  <c r="M46" i="18" s="1"/>
  <c r="C47" i="18"/>
  <c r="C48" i="18"/>
  <c r="C49" i="18"/>
  <c r="C50" i="18"/>
  <c r="D50" i="18" s="1"/>
  <c r="G50" i="18" s="1"/>
  <c r="M50" i="18" s="1"/>
  <c r="C51" i="18"/>
  <c r="C4" i="18"/>
  <c r="D4" i="18" s="1"/>
  <c r="G4" i="18" s="1"/>
  <c r="K142" i="1"/>
  <c r="K141" i="1"/>
  <c r="D99" i="18"/>
  <c r="D97" i="18"/>
  <c r="L96" i="18"/>
  <c r="D95" i="18"/>
  <c r="D93" i="18"/>
  <c r="L92" i="18"/>
  <c r="D91" i="18"/>
  <c r="D89" i="18"/>
  <c r="D87" i="18"/>
  <c r="D85" i="18"/>
  <c r="D83" i="18"/>
  <c r="G83" i="18" s="1"/>
  <c r="D82" i="18"/>
  <c r="D81" i="18"/>
  <c r="D79" i="18"/>
  <c r="G79" i="18" s="1"/>
  <c r="J79" i="18" s="1"/>
  <c r="D77" i="18"/>
  <c r="L75" i="18"/>
  <c r="D75" i="18"/>
  <c r="G75" i="18" s="1"/>
  <c r="D73" i="18"/>
  <c r="D71" i="18"/>
  <c r="G71" i="18" s="1"/>
  <c r="M71" i="18" s="1"/>
  <c r="D70" i="18"/>
  <c r="G70" i="18" s="1"/>
  <c r="M70" i="18" s="1"/>
  <c r="D69" i="18"/>
  <c r="D65" i="18"/>
  <c r="D63" i="18"/>
  <c r="G63" i="18" s="1"/>
  <c r="D61" i="18"/>
  <c r="D59" i="18"/>
  <c r="G59" i="18" s="1"/>
  <c r="M59" i="18" s="1"/>
  <c r="D57" i="18"/>
  <c r="D55" i="18"/>
  <c r="D53" i="18"/>
  <c r="D52" i="18"/>
  <c r="D51" i="18"/>
  <c r="D49" i="18"/>
  <c r="D48" i="18"/>
  <c r="G48" i="18" s="1"/>
  <c r="M48" i="18" s="1"/>
  <c r="D47" i="18"/>
  <c r="D45" i="18"/>
  <c r="D44" i="18"/>
  <c r="G44" i="18" s="1"/>
  <c r="M44" i="18" s="1"/>
  <c r="L43" i="18"/>
  <c r="D43" i="18"/>
  <c r="L42" i="18"/>
  <c r="D42" i="18"/>
  <c r="G42" i="18" s="1"/>
  <c r="D41" i="18"/>
  <c r="D39" i="18"/>
  <c r="G39" i="18" s="1"/>
  <c r="L37" i="18"/>
  <c r="D37" i="18"/>
  <c r="G37" i="18" s="1"/>
  <c r="M37" i="18" s="1"/>
  <c r="L36" i="18"/>
  <c r="I36" i="18"/>
  <c r="D36" i="18"/>
  <c r="G36" i="18" s="1"/>
  <c r="M36" i="18" s="1"/>
  <c r="D35" i="18"/>
  <c r="D33" i="18"/>
  <c r="D31" i="18"/>
  <c r="D29" i="18"/>
  <c r="D25" i="18"/>
  <c r="G25" i="18" s="1"/>
  <c r="D23" i="18"/>
  <c r="G23" i="18" s="1"/>
  <c r="D21" i="18"/>
  <c r="D20" i="18"/>
  <c r="L19" i="18"/>
  <c r="L18" i="18"/>
  <c r="D17" i="18"/>
  <c r="D15" i="18"/>
  <c r="D14" i="18"/>
  <c r="D13" i="18"/>
  <c r="D11" i="18"/>
  <c r="G11" i="18" s="1"/>
  <c r="M11" i="18" s="1"/>
  <c r="D10" i="18"/>
  <c r="D9" i="18"/>
  <c r="G9" i="18" s="1"/>
  <c r="J9" i="18" s="1"/>
  <c r="D7" i="18"/>
  <c r="G7" i="18" s="1"/>
  <c r="J7" i="18" s="1"/>
  <c r="D5" i="18"/>
  <c r="L99" i="17"/>
  <c r="L98" i="17"/>
  <c r="L97" i="17"/>
  <c r="L96" i="17"/>
  <c r="L95" i="17"/>
  <c r="L94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1" i="17"/>
  <c r="L40" i="17"/>
  <c r="L39" i="17"/>
  <c r="L38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8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I97" i="17"/>
  <c r="I96" i="17"/>
  <c r="I95" i="17"/>
  <c r="I98" i="17"/>
  <c r="I94" i="17"/>
  <c r="I93" i="17"/>
  <c r="I92" i="17"/>
  <c r="I89" i="17"/>
  <c r="I88" i="17"/>
  <c r="I87" i="17"/>
  <c r="I90" i="17"/>
  <c r="I86" i="17"/>
  <c r="I85" i="17"/>
  <c r="I84" i="17"/>
  <c r="I81" i="17"/>
  <c r="I80" i="17"/>
  <c r="I79" i="17"/>
  <c r="I82" i="17"/>
  <c r="I78" i="17"/>
  <c r="I77" i="17"/>
  <c r="I76" i="17"/>
  <c r="I73" i="17"/>
  <c r="I72" i="17"/>
  <c r="I71" i="17"/>
  <c r="I74" i="17"/>
  <c r="I70" i="17"/>
  <c r="I69" i="17"/>
  <c r="I68" i="17"/>
  <c r="I65" i="17"/>
  <c r="I64" i="17"/>
  <c r="I63" i="17"/>
  <c r="I66" i="17"/>
  <c r="I62" i="17"/>
  <c r="I61" i="17"/>
  <c r="I60" i="17"/>
  <c r="I57" i="17"/>
  <c r="I56" i="17"/>
  <c r="I55" i="17"/>
  <c r="I58" i="17"/>
  <c r="I54" i="17"/>
  <c r="I53" i="17"/>
  <c r="I52" i="17"/>
  <c r="I49" i="17"/>
  <c r="I48" i="17"/>
  <c r="I47" i="17"/>
  <c r="I50" i="17"/>
  <c r="I46" i="17"/>
  <c r="I45" i="17"/>
  <c r="I44" i="17"/>
  <c r="I41" i="17"/>
  <c r="I40" i="17"/>
  <c r="I39" i="17"/>
  <c r="I37" i="17"/>
  <c r="I36" i="17"/>
  <c r="I33" i="17"/>
  <c r="I32" i="17"/>
  <c r="I31" i="17"/>
  <c r="I34" i="17"/>
  <c r="I30" i="17"/>
  <c r="I29" i="17"/>
  <c r="I28" i="17"/>
  <c r="I25" i="17"/>
  <c r="I24" i="17"/>
  <c r="I23" i="17"/>
  <c r="I26" i="17"/>
  <c r="I22" i="17"/>
  <c r="I21" i="17"/>
  <c r="I20" i="17"/>
  <c r="I17" i="17"/>
  <c r="I16" i="17"/>
  <c r="I15" i="17"/>
  <c r="I18" i="17"/>
  <c r="I13" i="17"/>
  <c r="I12" i="17"/>
  <c r="I9" i="17"/>
  <c r="I8" i="17"/>
  <c r="I7" i="17"/>
  <c r="I10" i="17"/>
  <c r="I6" i="17"/>
  <c r="I5" i="17"/>
  <c r="I4" i="17"/>
  <c r="F93" i="17"/>
  <c r="F94" i="17"/>
  <c r="F95" i="17"/>
  <c r="F96" i="17"/>
  <c r="F97" i="17"/>
  <c r="F98" i="17"/>
  <c r="F99" i="17"/>
  <c r="F92" i="17"/>
  <c r="F85" i="17"/>
  <c r="F86" i="17"/>
  <c r="F87" i="17"/>
  <c r="F88" i="17"/>
  <c r="F89" i="17"/>
  <c r="F90" i="17"/>
  <c r="F91" i="17"/>
  <c r="F84" i="17"/>
  <c r="F77" i="17"/>
  <c r="F78" i="17"/>
  <c r="F79" i="17"/>
  <c r="F80" i="17"/>
  <c r="F81" i="17"/>
  <c r="F82" i="17"/>
  <c r="F83" i="17"/>
  <c r="F76" i="17"/>
  <c r="F69" i="17"/>
  <c r="F70" i="17"/>
  <c r="F71" i="17"/>
  <c r="F72" i="17"/>
  <c r="F73" i="17"/>
  <c r="F74" i="17"/>
  <c r="F75" i="17"/>
  <c r="F68" i="17"/>
  <c r="F61" i="17"/>
  <c r="F62" i="17"/>
  <c r="F63" i="17"/>
  <c r="F64" i="17"/>
  <c r="F65" i="17"/>
  <c r="F66" i="17"/>
  <c r="F67" i="17"/>
  <c r="F60" i="17"/>
  <c r="F53" i="17"/>
  <c r="F54" i="17"/>
  <c r="F55" i="17"/>
  <c r="F56" i="17"/>
  <c r="F57" i="17"/>
  <c r="F58" i="17"/>
  <c r="F59" i="17"/>
  <c r="F52" i="17"/>
  <c r="F45" i="17"/>
  <c r="F46" i="17"/>
  <c r="F47" i="17"/>
  <c r="F48" i="17"/>
  <c r="F49" i="17"/>
  <c r="F50" i="17"/>
  <c r="F51" i="17"/>
  <c r="F44" i="17"/>
  <c r="F37" i="17"/>
  <c r="F38" i="17"/>
  <c r="F39" i="17"/>
  <c r="F40" i="17"/>
  <c r="F41" i="17"/>
  <c r="F42" i="17"/>
  <c r="F43" i="17"/>
  <c r="F36" i="17"/>
  <c r="F29" i="17"/>
  <c r="F30" i="17"/>
  <c r="F31" i="17"/>
  <c r="F32" i="17"/>
  <c r="F33" i="17"/>
  <c r="F34" i="17"/>
  <c r="F35" i="17"/>
  <c r="F28" i="17"/>
  <c r="F21" i="17"/>
  <c r="F22" i="17"/>
  <c r="F23" i="17"/>
  <c r="F24" i="17"/>
  <c r="F25" i="17"/>
  <c r="F26" i="17"/>
  <c r="F27" i="17"/>
  <c r="F20" i="17"/>
  <c r="F13" i="17"/>
  <c r="F14" i="17"/>
  <c r="F15" i="17"/>
  <c r="F16" i="17"/>
  <c r="F17" i="17"/>
  <c r="F18" i="17"/>
  <c r="F19" i="17"/>
  <c r="F12" i="17"/>
  <c r="F5" i="17"/>
  <c r="F6" i="17"/>
  <c r="F7" i="17"/>
  <c r="F8" i="17"/>
  <c r="F9" i="17"/>
  <c r="F10" i="17"/>
  <c r="F11" i="17"/>
  <c r="F4" i="17"/>
  <c r="E142" i="1"/>
  <c r="H142" i="1" s="1"/>
  <c r="E141" i="1"/>
  <c r="F141" i="1" s="1"/>
  <c r="E140" i="1"/>
  <c r="F140" i="1" s="1"/>
  <c r="E139" i="1"/>
  <c r="H139" i="1" s="1"/>
  <c r="E138" i="1"/>
  <c r="H138" i="1" s="1"/>
  <c r="E137" i="1"/>
  <c r="F137" i="1" s="1"/>
  <c r="E136" i="1"/>
  <c r="H136" i="1" s="1"/>
  <c r="C53" i="17"/>
  <c r="D53" i="17" s="1"/>
  <c r="C54" i="17"/>
  <c r="C55" i="17"/>
  <c r="C56" i="17"/>
  <c r="D56" i="17" s="1"/>
  <c r="C57" i="17"/>
  <c r="D57" i="17" s="1"/>
  <c r="C58" i="17"/>
  <c r="C59" i="17"/>
  <c r="D59" i="17" s="1"/>
  <c r="C60" i="17"/>
  <c r="C61" i="17"/>
  <c r="C62" i="17"/>
  <c r="C63" i="17"/>
  <c r="D63" i="17" s="1"/>
  <c r="C64" i="17"/>
  <c r="D64" i="17" s="1"/>
  <c r="C65" i="17"/>
  <c r="C66" i="17"/>
  <c r="C67" i="17"/>
  <c r="D67" i="17" s="1"/>
  <c r="C68" i="17"/>
  <c r="D68" i="17" s="1"/>
  <c r="C69" i="17"/>
  <c r="D69" i="17" s="1"/>
  <c r="G69" i="17" s="1"/>
  <c r="M69" i="17" s="1"/>
  <c r="C70" i="17"/>
  <c r="C71" i="17"/>
  <c r="C72" i="17"/>
  <c r="D72" i="17" s="1"/>
  <c r="C73" i="17"/>
  <c r="D73" i="17" s="1"/>
  <c r="G73" i="17" s="1"/>
  <c r="M73" i="17" s="1"/>
  <c r="C74" i="17"/>
  <c r="C75" i="17"/>
  <c r="C76" i="17"/>
  <c r="D76" i="17" s="1"/>
  <c r="G76" i="17" s="1"/>
  <c r="C77" i="17"/>
  <c r="D77" i="17" s="1"/>
  <c r="C78" i="17"/>
  <c r="C79" i="17"/>
  <c r="D79" i="17" s="1"/>
  <c r="C80" i="17"/>
  <c r="C81" i="17"/>
  <c r="D81" i="17" s="1"/>
  <c r="G81" i="17" s="1"/>
  <c r="J81" i="17" s="1"/>
  <c r="C82" i="17"/>
  <c r="C83" i="17"/>
  <c r="C84" i="17"/>
  <c r="C85" i="17"/>
  <c r="D85" i="17" s="1"/>
  <c r="C86" i="17"/>
  <c r="C87" i="17"/>
  <c r="C88" i="17"/>
  <c r="C89" i="17"/>
  <c r="D89" i="17" s="1"/>
  <c r="C90" i="17"/>
  <c r="C91" i="17"/>
  <c r="C92" i="17"/>
  <c r="D92" i="17" s="1"/>
  <c r="C93" i="17"/>
  <c r="D93" i="17" s="1"/>
  <c r="G93" i="17" s="1"/>
  <c r="M93" i="17" s="1"/>
  <c r="C94" i="17"/>
  <c r="C95" i="17"/>
  <c r="D95" i="17" s="1"/>
  <c r="C96" i="17"/>
  <c r="D96" i="17" s="1"/>
  <c r="C97" i="17"/>
  <c r="D97" i="17" s="1"/>
  <c r="G97" i="17" s="1"/>
  <c r="J97" i="17" s="1"/>
  <c r="C98" i="17"/>
  <c r="C99" i="17"/>
  <c r="D99" i="17" s="1"/>
  <c r="C52" i="17"/>
  <c r="C5" i="17"/>
  <c r="C6" i="17"/>
  <c r="C7" i="17"/>
  <c r="C8" i="17"/>
  <c r="D8" i="17" s="1"/>
  <c r="C9" i="17"/>
  <c r="D9" i="17" s="1"/>
  <c r="G9" i="17" s="1"/>
  <c r="J9" i="17" s="1"/>
  <c r="C10" i="17"/>
  <c r="C11" i="17"/>
  <c r="C12" i="17"/>
  <c r="D12" i="17" s="1"/>
  <c r="C13" i="17"/>
  <c r="D13" i="17" s="1"/>
  <c r="C14" i="17"/>
  <c r="C15" i="17"/>
  <c r="D15" i="17" s="1"/>
  <c r="C16" i="17"/>
  <c r="C17" i="17"/>
  <c r="D17" i="17" s="1"/>
  <c r="C18" i="17"/>
  <c r="C19" i="17"/>
  <c r="C20" i="17"/>
  <c r="D20" i="17" s="1"/>
  <c r="C21" i="17"/>
  <c r="D21" i="17" s="1"/>
  <c r="G21" i="17" s="1"/>
  <c r="M21" i="17" s="1"/>
  <c r="C22" i="17"/>
  <c r="C23" i="17"/>
  <c r="C24" i="17"/>
  <c r="D24" i="17" s="1"/>
  <c r="C25" i="17"/>
  <c r="D25" i="17" s="1"/>
  <c r="G25" i="17" s="1"/>
  <c r="C26" i="17"/>
  <c r="C27" i="17"/>
  <c r="D27" i="17" s="1"/>
  <c r="C28" i="17"/>
  <c r="C29" i="17"/>
  <c r="C30" i="17"/>
  <c r="C31" i="17"/>
  <c r="D31" i="17" s="1"/>
  <c r="C32" i="17"/>
  <c r="D32" i="17" s="1"/>
  <c r="C33" i="17"/>
  <c r="D33" i="17" s="1"/>
  <c r="G33" i="17" s="1"/>
  <c r="M33" i="17" s="1"/>
  <c r="C34" i="17"/>
  <c r="C35" i="17"/>
  <c r="D35" i="17" s="1"/>
  <c r="C36" i="17"/>
  <c r="D36" i="17" s="1"/>
  <c r="C37" i="17"/>
  <c r="D37" i="17" s="1"/>
  <c r="G37" i="17" s="1"/>
  <c r="C38" i="17"/>
  <c r="C39" i="17"/>
  <c r="C40" i="17"/>
  <c r="D40" i="17" s="1"/>
  <c r="C41" i="17"/>
  <c r="C42" i="17"/>
  <c r="C43" i="17"/>
  <c r="C44" i="17"/>
  <c r="D44" i="17" s="1"/>
  <c r="C45" i="17"/>
  <c r="D45" i="17" s="1"/>
  <c r="G45" i="17" s="1"/>
  <c r="M45" i="17" s="1"/>
  <c r="C46" i="17"/>
  <c r="C47" i="17"/>
  <c r="C48" i="17"/>
  <c r="D48" i="17" s="1"/>
  <c r="C49" i="17"/>
  <c r="D49" i="17" s="1"/>
  <c r="G49" i="17" s="1"/>
  <c r="M49" i="17" s="1"/>
  <c r="C50" i="17"/>
  <c r="C51" i="17"/>
  <c r="C4" i="17"/>
  <c r="D4" i="17" s="1"/>
  <c r="K133" i="1"/>
  <c r="K132" i="1"/>
  <c r="D98" i="17"/>
  <c r="D94" i="17"/>
  <c r="G94" i="17" s="1"/>
  <c r="M94" i="17" s="1"/>
  <c r="L93" i="17"/>
  <c r="D91" i="17"/>
  <c r="G91" i="17" s="1"/>
  <c r="D90" i="17"/>
  <c r="D88" i="17"/>
  <c r="D87" i="17"/>
  <c r="D86" i="17"/>
  <c r="D84" i="17"/>
  <c r="D83" i="17"/>
  <c r="G83" i="17" s="1"/>
  <c r="D82" i="17"/>
  <c r="G82" i="17" s="1"/>
  <c r="D80" i="17"/>
  <c r="D78" i="17"/>
  <c r="G78" i="17" s="1"/>
  <c r="G77" i="17"/>
  <c r="J77" i="17" s="1"/>
  <c r="D75" i="17"/>
  <c r="G75" i="17" s="1"/>
  <c r="M75" i="17" s="1"/>
  <c r="D74" i="17"/>
  <c r="G74" i="17" s="1"/>
  <c r="M74" i="17" s="1"/>
  <c r="L72" i="17"/>
  <c r="D71" i="17"/>
  <c r="D70" i="17"/>
  <c r="G70" i="17" s="1"/>
  <c r="M70" i="17" s="1"/>
  <c r="D66" i="17"/>
  <c r="G66" i="17" s="1"/>
  <c r="D65" i="17"/>
  <c r="G65" i="17" s="1"/>
  <c r="M65" i="17" s="1"/>
  <c r="D62" i="17"/>
  <c r="G62" i="17" s="1"/>
  <c r="M62" i="17" s="1"/>
  <c r="D61" i="17"/>
  <c r="G61" i="17" s="1"/>
  <c r="M61" i="17" s="1"/>
  <c r="D60" i="17"/>
  <c r="G60" i="17" s="1"/>
  <c r="M60" i="17" s="1"/>
  <c r="D58" i="17"/>
  <c r="D55" i="17"/>
  <c r="D54" i="17"/>
  <c r="D52" i="17"/>
  <c r="D51" i="17"/>
  <c r="D50" i="17"/>
  <c r="D47" i="17"/>
  <c r="D46" i="17"/>
  <c r="G46" i="17" s="1"/>
  <c r="M46" i="17" s="1"/>
  <c r="L43" i="17"/>
  <c r="D43" i="17"/>
  <c r="L42" i="17"/>
  <c r="D42" i="17"/>
  <c r="D41" i="17"/>
  <c r="G41" i="17" s="1"/>
  <c r="M41" i="17" s="1"/>
  <c r="D39" i="17"/>
  <c r="I38" i="17"/>
  <c r="D38" i="17"/>
  <c r="L37" i="17"/>
  <c r="L36" i="17"/>
  <c r="D34" i="17"/>
  <c r="G34" i="17" s="1"/>
  <c r="D30" i="17"/>
  <c r="G30" i="17" s="1"/>
  <c r="M30" i="17" s="1"/>
  <c r="D29" i="17"/>
  <c r="G29" i="17" s="1"/>
  <c r="M29" i="17" s="1"/>
  <c r="D28" i="17"/>
  <c r="G28" i="17" s="1"/>
  <c r="M28" i="17" s="1"/>
  <c r="D26" i="17"/>
  <c r="G26" i="17" s="1"/>
  <c r="D23" i="17"/>
  <c r="G23" i="17" s="1"/>
  <c r="M23" i="17" s="1"/>
  <c r="D22" i="17"/>
  <c r="L19" i="17"/>
  <c r="D19" i="17"/>
  <c r="D18" i="17"/>
  <c r="L17" i="17"/>
  <c r="D16" i="17"/>
  <c r="I14" i="17"/>
  <c r="D14" i="17"/>
  <c r="D11" i="17"/>
  <c r="G11" i="17" s="1"/>
  <c r="D10" i="17"/>
  <c r="G10" i="17" s="1"/>
  <c r="D7" i="17"/>
  <c r="G7" i="17" s="1"/>
  <c r="D6" i="17"/>
  <c r="G6" i="17" s="1"/>
  <c r="D5" i="17"/>
  <c r="G5" i="17" s="1"/>
  <c r="L98" i="16"/>
  <c r="L96" i="16"/>
  <c r="L95" i="16"/>
  <c r="L94" i="16"/>
  <c r="L93" i="16"/>
  <c r="L92" i="16"/>
  <c r="L91" i="16"/>
  <c r="L90" i="16"/>
  <c r="L89" i="16"/>
  <c r="L87" i="16"/>
  <c r="L86" i="16"/>
  <c r="L88" i="16"/>
  <c r="L85" i="16"/>
  <c r="L84" i="16"/>
  <c r="L83" i="16"/>
  <c r="L82" i="16"/>
  <c r="L81" i="16"/>
  <c r="L80" i="16"/>
  <c r="L79" i="16"/>
  <c r="L78" i="16"/>
  <c r="L77" i="16"/>
  <c r="L76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1" i="16"/>
  <c r="L40" i="16"/>
  <c r="L39" i="16"/>
  <c r="L38" i="16"/>
  <c r="L37" i="16"/>
  <c r="L36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7" i="16"/>
  <c r="L16" i="16"/>
  <c r="L15" i="16"/>
  <c r="L14" i="16"/>
  <c r="L13" i="16"/>
  <c r="L12" i="16"/>
  <c r="L10" i="16"/>
  <c r="L9" i="16"/>
  <c r="L8" i="16"/>
  <c r="L7" i="16"/>
  <c r="L6" i="16"/>
  <c r="L5" i="16"/>
  <c r="L4" i="16"/>
  <c r="L3" i="16"/>
  <c r="I96" i="16"/>
  <c r="I95" i="16"/>
  <c r="I94" i="16"/>
  <c r="I97" i="16"/>
  <c r="I93" i="16"/>
  <c r="I92" i="16"/>
  <c r="I91" i="16"/>
  <c r="I88" i="16"/>
  <c r="I87" i="16"/>
  <c r="I86" i="16"/>
  <c r="I89" i="16"/>
  <c r="I85" i="16"/>
  <c r="I84" i="16"/>
  <c r="I83" i="16"/>
  <c r="I80" i="16"/>
  <c r="I79" i="16"/>
  <c r="I78" i="16"/>
  <c r="I81" i="16"/>
  <c r="I77" i="16"/>
  <c r="I76" i="16"/>
  <c r="I75" i="16"/>
  <c r="I73" i="16"/>
  <c r="I69" i="16"/>
  <c r="I68" i="16"/>
  <c r="I67" i="16"/>
  <c r="I64" i="16"/>
  <c r="I63" i="16"/>
  <c r="I62" i="16"/>
  <c r="I65" i="16"/>
  <c r="I61" i="16"/>
  <c r="I60" i="16"/>
  <c r="I59" i="16"/>
  <c r="I56" i="16"/>
  <c r="I55" i="16"/>
  <c r="I54" i="16"/>
  <c r="I57" i="16"/>
  <c r="I53" i="16"/>
  <c r="I52" i="16"/>
  <c r="I51" i="16"/>
  <c r="I48" i="16"/>
  <c r="I47" i="16"/>
  <c r="I46" i="16"/>
  <c r="I49" i="16"/>
  <c r="I45" i="16"/>
  <c r="I44" i="16"/>
  <c r="I43" i="16"/>
  <c r="I40" i="16"/>
  <c r="I39" i="16"/>
  <c r="I38" i="16"/>
  <c r="I36" i="16"/>
  <c r="I32" i="16"/>
  <c r="I31" i="16"/>
  <c r="I30" i="16"/>
  <c r="I33" i="16"/>
  <c r="I29" i="16"/>
  <c r="I28" i="16"/>
  <c r="I27" i="16"/>
  <c r="I25" i="16"/>
  <c r="I24" i="16"/>
  <c r="I23" i="16"/>
  <c r="I22" i="16"/>
  <c r="I21" i="16"/>
  <c r="I20" i="16"/>
  <c r="I19" i="16"/>
  <c r="I16" i="16"/>
  <c r="I15" i="16"/>
  <c r="I14" i="16"/>
  <c r="I13" i="16"/>
  <c r="I12" i="16"/>
  <c r="I11" i="16"/>
  <c r="I8" i="16"/>
  <c r="I7" i="16"/>
  <c r="I6" i="16"/>
  <c r="I9" i="16"/>
  <c r="I5" i="16"/>
  <c r="I4" i="16"/>
  <c r="I3" i="16"/>
  <c r="F92" i="16"/>
  <c r="F93" i="16"/>
  <c r="F94" i="16"/>
  <c r="F95" i="16"/>
  <c r="F96" i="16"/>
  <c r="F97" i="16"/>
  <c r="F98" i="16"/>
  <c r="F91" i="16"/>
  <c r="F76" i="16"/>
  <c r="F77" i="16"/>
  <c r="F78" i="16"/>
  <c r="F79" i="16"/>
  <c r="F80" i="16"/>
  <c r="F81" i="16"/>
  <c r="F82" i="16"/>
  <c r="F75" i="16"/>
  <c r="F68" i="16"/>
  <c r="F69" i="16"/>
  <c r="F70" i="16"/>
  <c r="F71" i="16"/>
  <c r="F72" i="16"/>
  <c r="F73" i="16"/>
  <c r="F74" i="16"/>
  <c r="F67" i="16"/>
  <c r="F60" i="16"/>
  <c r="F61" i="16"/>
  <c r="F62" i="16"/>
  <c r="F63" i="16"/>
  <c r="F64" i="16"/>
  <c r="F65" i="16"/>
  <c r="F66" i="16"/>
  <c r="F59" i="16"/>
  <c r="F52" i="16"/>
  <c r="F53" i="16"/>
  <c r="F54" i="16"/>
  <c r="F55" i="16"/>
  <c r="F56" i="16"/>
  <c r="F57" i="16"/>
  <c r="F58" i="16"/>
  <c r="F51" i="16"/>
  <c r="F44" i="16"/>
  <c r="F45" i="16"/>
  <c r="F46" i="16"/>
  <c r="F47" i="16"/>
  <c r="F48" i="16"/>
  <c r="F49" i="16"/>
  <c r="F50" i="16"/>
  <c r="F43" i="16"/>
  <c r="F28" i="16"/>
  <c r="F29" i="16"/>
  <c r="F30" i="16"/>
  <c r="F31" i="16"/>
  <c r="F32" i="16"/>
  <c r="F33" i="16"/>
  <c r="F34" i="16"/>
  <c r="F27" i="16"/>
  <c r="F20" i="16"/>
  <c r="G20" i="16" s="1"/>
  <c r="J20" i="16" s="1"/>
  <c r="F21" i="16"/>
  <c r="F22" i="16"/>
  <c r="F23" i="16"/>
  <c r="F24" i="16"/>
  <c r="F25" i="16"/>
  <c r="F26" i="16"/>
  <c r="F19" i="16"/>
  <c r="F12" i="16"/>
  <c r="F13" i="16"/>
  <c r="F14" i="16"/>
  <c r="F15" i="16"/>
  <c r="F16" i="16"/>
  <c r="F17" i="16"/>
  <c r="F18" i="16"/>
  <c r="F11" i="16"/>
  <c r="F4" i="16"/>
  <c r="F5" i="16"/>
  <c r="F6" i="16"/>
  <c r="F7" i="16"/>
  <c r="F8" i="16"/>
  <c r="F9" i="16"/>
  <c r="F10" i="16"/>
  <c r="F3" i="16"/>
  <c r="G3" i="16" s="1"/>
  <c r="J3" i="16" s="1"/>
  <c r="E132" i="1"/>
  <c r="H132" i="1" s="1"/>
  <c r="E131" i="1"/>
  <c r="F131" i="1" s="1"/>
  <c r="E130" i="1"/>
  <c r="F130" i="1" s="1"/>
  <c r="E129" i="1"/>
  <c r="H129" i="1" s="1"/>
  <c r="E128" i="1"/>
  <c r="H128" i="1" s="1"/>
  <c r="E127" i="1"/>
  <c r="F127" i="1" s="1"/>
  <c r="E126" i="1"/>
  <c r="H126" i="1" s="1"/>
  <c r="C52" i="16"/>
  <c r="D52" i="16" s="1"/>
  <c r="C53" i="16"/>
  <c r="C54" i="16"/>
  <c r="C55" i="16"/>
  <c r="D55" i="16" s="1"/>
  <c r="C56" i="16"/>
  <c r="D56" i="16" s="1"/>
  <c r="C57" i="16"/>
  <c r="D57" i="16" s="1"/>
  <c r="C58" i="16"/>
  <c r="C59" i="16"/>
  <c r="D59" i="16" s="1"/>
  <c r="C60" i="16"/>
  <c r="D60" i="16" s="1"/>
  <c r="C61" i="16"/>
  <c r="D61" i="16" s="1"/>
  <c r="G61" i="16" s="1"/>
  <c r="C62" i="16"/>
  <c r="C63" i="16"/>
  <c r="D63" i="16" s="1"/>
  <c r="C64" i="16"/>
  <c r="D64" i="16" s="1"/>
  <c r="C65" i="16"/>
  <c r="D65" i="16" s="1"/>
  <c r="G65" i="16" s="1"/>
  <c r="C66" i="16"/>
  <c r="C67" i="16"/>
  <c r="D67" i="16" s="1"/>
  <c r="C68" i="16"/>
  <c r="D68" i="16" s="1"/>
  <c r="C69" i="16"/>
  <c r="D69" i="16" s="1"/>
  <c r="C70" i="16"/>
  <c r="C71" i="16"/>
  <c r="C72" i="16"/>
  <c r="D72" i="16" s="1"/>
  <c r="C73" i="16"/>
  <c r="D73" i="16" s="1"/>
  <c r="C74" i="16"/>
  <c r="C75" i="16"/>
  <c r="C76" i="16"/>
  <c r="D76" i="16" s="1"/>
  <c r="C77" i="16"/>
  <c r="D77" i="16" s="1"/>
  <c r="G77" i="16" s="1"/>
  <c r="J77" i="16" s="1"/>
  <c r="C78" i="16"/>
  <c r="C79" i="16"/>
  <c r="D79" i="16" s="1"/>
  <c r="C80" i="16"/>
  <c r="D80" i="16" s="1"/>
  <c r="C81" i="16"/>
  <c r="D81" i="16" s="1"/>
  <c r="G81" i="16" s="1"/>
  <c r="C82" i="16"/>
  <c r="C83" i="16"/>
  <c r="D83" i="16" s="1"/>
  <c r="C84" i="16"/>
  <c r="D84" i="16" s="1"/>
  <c r="C85" i="16"/>
  <c r="D85" i="16" s="1"/>
  <c r="C86" i="16"/>
  <c r="C87" i="16"/>
  <c r="D87" i="16" s="1"/>
  <c r="C88" i="16"/>
  <c r="D88" i="16" s="1"/>
  <c r="C89" i="16"/>
  <c r="C90" i="16"/>
  <c r="C91" i="16"/>
  <c r="D91" i="16" s="1"/>
  <c r="C92" i="16"/>
  <c r="D92" i="16" s="1"/>
  <c r="C93" i="16"/>
  <c r="D93" i="16" s="1"/>
  <c r="G93" i="16" s="1"/>
  <c r="C94" i="16"/>
  <c r="C95" i="16"/>
  <c r="D95" i="16" s="1"/>
  <c r="C96" i="16"/>
  <c r="D96" i="16" s="1"/>
  <c r="C97" i="16"/>
  <c r="D97" i="16" s="1"/>
  <c r="G97" i="16" s="1"/>
  <c r="C98" i="16"/>
  <c r="C51" i="16"/>
  <c r="C4" i="16"/>
  <c r="C5" i="16"/>
  <c r="C6" i="16"/>
  <c r="C7" i="16"/>
  <c r="D7" i="16" s="1"/>
  <c r="C8" i="16"/>
  <c r="D8" i="16" s="1"/>
  <c r="C9" i="16"/>
  <c r="D9" i="16" s="1"/>
  <c r="G9" i="16" s="1"/>
  <c r="J9" i="16" s="1"/>
  <c r="C10" i="16"/>
  <c r="C11" i="16"/>
  <c r="D11" i="16" s="1"/>
  <c r="C12" i="16"/>
  <c r="C13" i="16"/>
  <c r="D13" i="16" s="1"/>
  <c r="G13" i="16" s="1"/>
  <c r="C14" i="16"/>
  <c r="C15" i="16"/>
  <c r="D15" i="16" s="1"/>
  <c r="C16" i="16"/>
  <c r="D16" i="16" s="1"/>
  <c r="C17" i="16"/>
  <c r="C18" i="16"/>
  <c r="C19" i="16"/>
  <c r="D19" i="16" s="1"/>
  <c r="C20" i="16"/>
  <c r="C21" i="16"/>
  <c r="D21" i="16" s="1"/>
  <c r="G21" i="16" s="1"/>
  <c r="J21" i="16" s="1"/>
  <c r="C22" i="16"/>
  <c r="C23" i="16"/>
  <c r="C24" i="16"/>
  <c r="D24" i="16" s="1"/>
  <c r="C25" i="16"/>
  <c r="C26" i="16"/>
  <c r="C27" i="16"/>
  <c r="D27" i="16" s="1"/>
  <c r="C28" i="16"/>
  <c r="D28" i="16" s="1"/>
  <c r="C29" i="16"/>
  <c r="D29" i="16" s="1"/>
  <c r="G29" i="16" s="1"/>
  <c r="C30" i="16"/>
  <c r="C31" i="16"/>
  <c r="D31" i="16" s="1"/>
  <c r="C32" i="16"/>
  <c r="C33" i="16"/>
  <c r="D33" i="16" s="1"/>
  <c r="G33" i="16" s="1"/>
  <c r="C34" i="16"/>
  <c r="C35" i="16"/>
  <c r="C36" i="16"/>
  <c r="C37" i="16"/>
  <c r="D37" i="16" s="1"/>
  <c r="C38" i="16"/>
  <c r="C39" i="16"/>
  <c r="C40" i="16"/>
  <c r="C41" i="16"/>
  <c r="D41" i="16" s="1"/>
  <c r="C42" i="16"/>
  <c r="C43" i="16"/>
  <c r="D43" i="16" s="1"/>
  <c r="C44" i="16"/>
  <c r="C45" i="16"/>
  <c r="D45" i="16" s="1"/>
  <c r="C46" i="16"/>
  <c r="C47" i="16"/>
  <c r="D47" i="16" s="1"/>
  <c r="C48" i="16"/>
  <c r="C49" i="16"/>
  <c r="D49" i="16" s="1"/>
  <c r="G49" i="16" s="1"/>
  <c r="C50" i="16"/>
  <c r="C3" i="16"/>
  <c r="D3" i="16" s="1"/>
  <c r="D98" i="16"/>
  <c r="L97" i="16"/>
  <c r="M97" i="16" s="1"/>
  <c r="D94" i="16"/>
  <c r="G94" i="16" s="1"/>
  <c r="G90" i="16"/>
  <c r="M90" i="16" s="1"/>
  <c r="D90" i="16"/>
  <c r="D89" i="16"/>
  <c r="D86" i="16"/>
  <c r="D82" i="16"/>
  <c r="D78" i="16"/>
  <c r="G78" i="16" s="1"/>
  <c r="L75" i="16"/>
  <c r="D75" i="16"/>
  <c r="G75" i="16" s="1"/>
  <c r="J75" i="16" s="1"/>
  <c r="D74" i="16"/>
  <c r="G74" i="16" s="1"/>
  <c r="D71" i="16"/>
  <c r="D70" i="16"/>
  <c r="D66" i="16"/>
  <c r="D62" i="16"/>
  <c r="G62" i="16" s="1"/>
  <c r="G58" i="16"/>
  <c r="M58" i="16" s="1"/>
  <c r="D58" i="16"/>
  <c r="D54" i="16"/>
  <c r="D53" i="16"/>
  <c r="D51" i="16"/>
  <c r="D50" i="16"/>
  <c r="D48" i="16"/>
  <c r="D46" i="16"/>
  <c r="D44" i="16"/>
  <c r="L42" i="16"/>
  <c r="G42" i="16"/>
  <c r="D42" i="16"/>
  <c r="D40" i="16"/>
  <c r="D39" i="16"/>
  <c r="D38" i="16"/>
  <c r="I37" i="16"/>
  <c r="D36" i="16"/>
  <c r="L35" i="16"/>
  <c r="I35" i="16"/>
  <c r="D35" i="16"/>
  <c r="L34" i="16"/>
  <c r="D34" i="16"/>
  <c r="D32" i="16"/>
  <c r="G32" i="16" s="1"/>
  <c r="D30" i="16"/>
  <c r="G30" i="16" s="1"/>
  <c r="D26" i="16"/>
  <c r="G26" i="16" s="1"/>
  <c r="M26" i="16" s="1"/>
  <c r="D25" i="16"/>
  <c r="G25" i="16" s="1"/>
  <c r="J25" i="16" s="1"/>
  <c r="D23" i="16"/>
  <c r="D22" i="16"/>
  <c r="G22" i="16" s="1"/>
  <c r="D20" i="16"/>
  <c r="L18" i="16"/>
  <c r="D18" i="16"/>
  <c r="I17" i="16"/>
  <c r="D17" i="16"/>
  <c r="G17" i="16" s="1"/>
  <c r="D14" i="16"/>
  <c r="D12" i="16"/>
  <c r="L11" i="16"/>
  <c r="D10" i="16"/>
  <c r="D6" i="16"/>
  <c r="D5" i="16"/>
  <c r="G5" i="16" s="1"/>
  <c r="J5" i="16" s="1"/>
  <c r="D4" i="16"/>
  <c r="L84" i="15"/>
  <c r="L68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3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7" i="15"/>
  <c r="L69" i="15"/>
  <c r="L66" i="14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0" i="15"/>
  <c r="L39" i="15"/>
  <c r="L38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20" i="14"/>
  <c r="L21" i="14"/>
  <c r="L22" i="14"/>
  <c r="L24" i="14"/>
  <c r="L19" i="15"/>
  <c r="L17" i="15"/>
  <c r="L16" i="15"/>
  <c r="L15" i="15"/>
  <c r="L14" i="15"/>
  <c r="L13" i="15"/>
  <c r="L12" i="15"/>
  <c r="L9" i="15"/>
  <c r="L8" i="15"/>
  <c r="L7" i="15"/>
  <c r="L6" i="15"/>
  <c r="L5" i="15"/>
  <c r="L4" i="15"/>
  <c r="L3" i="15"/>
  <c r="I96" i="15"/>
  <c r="I95" i="15"/>
  <c r="I94" i="15"/>
  <c r="I97" i="15"/>
  <c r="I93" i="15"/>
  <c r="I92" i="15"/>
  <c r="I91" i="15"/>
  <c r="I88" i="15"/>
  <c r="I87" i="15"/>
  <c r="I86" i="15"/>
  <c r="I89" i="15"/>
  <c r="I85" i="15"/>
  <c r="I84" i="15"/>
  <c r="I83" i="15"/>
  <c r="I80" i="15"/>
  <c r="I79" i="15"/>
  <c r="I78" i="15"/>
  <c r="I81" i="15"/>
  <c r="I77" i="15"/>
  <c r="I76" i="15"/>
  <c r="I75" i="15"/>
  <c r="I72" i="15"/>
  <c r="I71" i="15"/>
  <c r="I70" i="15"/>
  <c r="I73" i="15"/>
  <c r="I69" i="15"/>
  <c r="I68" i="15"/>
  <c r="I67" i="15"/>
  <c r="I64" i="15"/>
  <c r="I63" i="15"/>
  <c r="I62" i="15"/>
  <c r="I65" i="15"/>
  <c r="I61" i="15"/>
  <c r="I60" i="15"/>
  <c r="I59" i="15"/>
  <c r="I55" i="15"/>
  <c r="I54" i="15"/>
  <c r="I57" i="15"/>
  <c r="I53" i="15"/>
  <c r="I52" i="15"/>
  <c r="I48" i="15"/>
  <c r="I47" i="15"/>
  <c r="I46" i="15"/>
  <c r="I49" i="15"/>
  <c r="I45" i="15"/>
  <c r="I44" i="15"/>
  <c r="I43" i="15"/>
  <c r="I40" i="15"/>
  <c r="I39" i="15"/>
  <c r="I38" i="15"/>
  <c r="I36" i="15"/>
  <c r="I32" i="15"/>
  <c r="I31" i="15"/>
  <c r="I33" i="15"/>
  <c r="I29" i="15"/>
  <c r="I28" i="15"/>
  <c r="I27" i="15"/>
  <c r="I24" i="15"/>
  <c r="I23" i="15"/>
  <c r="I22" i="15"/>
  <c r="I25" i="15"/>
  <c r="I21" i="15"/>
  <c r="I20" i="15"/>
  <c r="I19" i="15"/>
  <c r="I15" i="15"/>
  <c r="I14" i="15"/>
  <c r="I12" i="15"/>
  <c r="I11" i="15"/>
  <c r="I8" i="15"/>
  <c r="I7" i="15"/>
  <c r="I6" i="15"/>
  <c r="I5" i="15"/>
  <c r="I4" i="15"/>
  <c r="I3" i="15"/>
  <c r="F92" i="15"/>
  <c r="F93" i="15"/>
  <c r="F94" i="15"/>
  <c r="F95" i="15"/>
  <c r="F96" i="15"/>
  <c r="F97" i="15"/>
  <c r="F98" i="15"/>
  <c r="F91" i="15"/>
  <c r="F84" i="15"/>
  <c r="F85" i="15"/>
  <c r="F86" i="15"/>
  <c r="F87" i="15"/>
  <c r="F88" i="15"/>
  <c r="F89" i="15"/>
  <c r="F90" i="15"/>
  <c r="F83" i="15"/>
  <c r="F76" i="15"/>
  <c r="F77" i="15"/>
  <c r="F78" i="15"/>
  <c r="F79" i="15"/>
  <c r="F80" i="15"/>
  <c r="G80" i="15" s="1"/>
  <c r="J80" i="15" s="1"/>
  <c r="F81" i="15"/>
  <c r="F82" i="15"/>
  <c r="F75" i="15"/>
  <c r="F68" i="15"/>
  <c r="F69" i="15"/>
  <c r="F70" i="15"/>
  <c r="F71" i="15"/>
  <c r="F72" i="15"/>
  <c r="F73" i="15"/>
  <c r="F74" i="15"/>
  <c r="F67" i="15"/>
  <c r="F61" i="15"/>
  <c r="F62" i="15"/>
  <c r="F63" i="15"/>
  <c r="F64" i="15"/>
  <c r="F65" i="15"/>
  <c r="F66" i="15"/>
  <c r="F59" i="15"/>
  <c r="F60" i="15"/>
  <c r="F52" i="15"/>
  <c r="F53" i="15"/>
  <c r="F54" i="15"/>
  <c r="F55" i="15"/>
  <c r="F56" i="15"/>
  <c r="F57" i="15"/>
  <c r="F58" i="15"/>
  <c r="F51" i="15"/>
  <c r="F44" i="15"/>
  <c r="F45" i="15"/>
  <c r="F46" i="15"/>
  <c r="F47" i="15"/>
  <c r="F48" i="15"/>
  <c r="F49" i="15"/>
  <c r="F50" i="15"/>
  <c r="F43" i="15"/>
  <c r="F36" i="15"/>
  <c r="F37" i="15"/>
  <c r="F38" i="15"/>
  <c r="F39" i="15"/>
  <c r="F40" i="15"/>
  <c r="F41" i="15"/>
  <c r="F42" i="15"/>
  <c r="F35" i="15"/>
  <c r="F28" i="15"/>
  <c r="F29" i="15"/>
  <c r="F30" i="15"/>
  <c r="F31" i="15"/>
  <c r="F32" i="15"/>
  <c r="F33" i="15"/>
  <c r="F34" i="15"/>
  <c r="F27" i="15"/>
  <c r="F20" i="15"/>
  <c r="F21" i="15"/>
  <c r="F22" i="15"/>
  <c r="F23" i="15"/>
  <c r="F24" i="15"/>
  <c r="F25" i="15"/>
  <c r="F26" i="15"/>
  <c r="F19" i="15"/>
  <c r="F12" i="15"/>
  <c r="F13" i="15"/>
  <c r="F14" i="15"/>
  <c r="F15" i="15"/>
  <c r="F16" i="15"/>
  <c r="F17" i="15"/>
  <c r="F18" i="15"/>
  <c r="F11" i="15"/>
  <c r="F4" i="15"/>
  <c r="F5" i="15"/>
  <c r="F6" i="15"/>
  <c r="F7" i="15"/>
  <c r="F8" i="15"/>
  <c r="F9" i="15"/>
  <c r="F10" i="15"/>
  <c r="F3" i="15"/>
  <c r="E123" i="1"/>
  <c r="H123" i="1" s="1"/>
  <c r="E122" i="1"/>
  <c r="F122" i="1" s="1"/>
  <c r="E121" i="1"/>
  <c r="F121" i="1" s="1"/>
  <c r="E120" i="1"/>
  <c r="H120" i="1" s="1"/>
  <c r="E119" i="1"/>
  <c r="H119" i="1" s="1"/>
  <c r="E118" i="1"/>
  <c r="F118" i="1" s="1"/>
  <c r="E117" i="1"/>
  <c r="H117" i="1" s="1"/>
  <c r="C52" i="15"/>
  <c r="C53" i="15"/>
  <c r="C54" i="15"/>
  <c r="D54" i="15" s="1"/>
  <c r="C55" i="15"/>
  <c r="D55" i="15" s="1"/>
  <c r="C56" i="15"/>
  <c r="C57" i="15"/>
  <c r="D57" i="15" s="1"/>
  <c r="C58" i="15"/>
  <c r="C59" i="15"/>
  <c r="D59" i="15" s="1"/>
  <c r="G59" i="15" s="1"/>
  <c r="M59" i="15" s="1"/>
  <c r="C60" i="15"/>
  <c r="C61" i="15"/>
  <c r="D61" i="15" s="1"/>
  <c r="G61" i="15" s="1"/>
  <c r="M61" i="15" s="1"/>
  <c r="C62" i="15"/>
  <c r="D62" i="15" s="1"/>
  <c r="G62" i="15" s="1"/>
  <c r="C63" i="15"/>
  <c r="D63" i="15" s="1"/>
  <c r="G63" i="15" s="1"/>
  <c r="C64" i="15"/>
  <c r="C65" i="15"/>
  <c r="C66" i="15"/>
  <c r="D66" i="15" s="1"/>
  <c r="C67" i="15"/>
  <c r="C68" i="15"/>
  <c r="C69" i="15"/>
  <c r="C70" i="15"/>
  <c r="D70" i="15" s="1"/>
  <c r="C71" i="15"/>
  <c r="C72" i="15"/>
  <c r="C73" i="15"/>
  <c r="D73" i="15" s="1"/>
  <c r="C74" i="15"/>
  <c r="D74" i="15" s="1"/>
  <c r="G74" i="15" s="1"/>
  <c r="M74" i="15" s="1"/>
  <c r="C75" i="15"/>
  <c r="D75" i="15" s="1"/>
  <c r="G75" i="15" s="1"/>
  <c r="M75" i="15" s="1"/>
  <c r="C76" i="15"/>
  <c r="C77" i="15"/>
  <c r="C78" i="15"/>
  <c r="D78" i="15" s="1"/>
  <c r="G78" i="15" s="1"/>
  <c r="M78" i="15" s="1"/>
  <c r="C79" i="15"/>
  <c r="D79" i="15" s="1"/>
  <c r="G79" i="15" s="1"/>
  <c r="M79" i="15" s="1"/>
  <c r="C80" i="15"/>
  <c r="C81" i="15"/>
  <c r="C82" i="15"/>
  <c r="D82" i="15" s="1"/>
  <c r="C83" i="15"/>
  <c r="D83" i="15" s="1"/>
  <c r="C84" i="15"/>
  <c r="C85" i="15"/>
  <c r="D85" i="15" s="1"/>
  <c r="C86" i="15"/>
  <c r="D86" i="15" s="1"/>
  <c r="C87" i="15"/>
  <c r="D87" i="15" s="1"/>
  <c r="C88" i="15"/>
  <c r="C89" i="15"/>
  <c r="C90" i="15"/>
  <c r="D90" i="15" s="1"/>
  <c r="G90" i="15" s="1"/>
  <c r="M90" i="15" s="1"/>
  <c r="C91" i="15"/>
  <c r="D91" i="15" s="1"/>
  <c r="G91" i="15" s="1"/>
  <c r="C92" i="15"/>
  <c r="C93" i="15"/>
  <c r="D93" i="15" s="1"/>
  <c r="C94" i="15"/>
  <c r="C95" i="15"/>
  <c r="D95" i="15" s="1"/>
  <c r="G95" i="15" s="1"/>
  <c r="C96" i="15"/>
  <c r="C97" i="15"/>
  <c r="D97" i="15" s="1"/>
  <c r="G97" i="15" s="1"/>
  <c r="C98" i="15"/>
  <c r="D98" i="15" s="1"/>
  <c r="C51" i="15"/>
  <c r="C4" i="15"/>
  <c r="C5" i="15"/>
  <c r="C6" i="15"/>
  <c r="D6" i="15" s="1"/>
  <c r="G6" i="15" s="1"/>
  <c r="C7" i="15"/>
  <c r="D7" i="15" s="1"/>
  <c r="G7" i="15" s="1"/>
  <c r="J7" i="15" s="1"/>
  <c r="C8" i="15"/>
  <c r="C9" i="15"/>
  <c r="D9" i="15" s="1"/>
  <c r="G9" i="15" s="1"/>
  <c r="J9" i="15" s="1"/>
  <c r="C10" i="15"/>
  <c r="D10" i="15" s="1"/>
  <c r="G10" i="15" s="1"/>
  <c r="M10" i="15" s="1"/>
  <c r="C11" i="15"/>
  <c r="D11" i="15" s="1"/>
  <c r="G11" i="15" s="1"/>
  <c r="C12" i="15"/>
  <c r="C13" i="15"/>
  <c r="C14" i="15"/>
  <c r="D14" i="15" s="1"/>
  <c r="G14" i="15" s="1"/>
  <c r="M14" i="15" s="1"/>
  <c r="C15" i="15"/>
  <c r="D15" i="15" s="1"/>
  <c r="G15" i="15" s="1"/>
  <c r="M15" i="15" s="1"/>
  <c r="C16" i="15"/>
  <c r="C17" i="15"/>
  <c r="D17" i="15" s="1"/>
  <c r="C18" i="15"/>
  <c r="D18" i="15" s="1"/>
  <c r="G18" i="15" s="1"/>
  <c r="M18" i="15" s="1"/>
  <c r="C19" i="15"/>
  <c r="C20" i="15"/>
  <c r="C21" i="15"/>
  <c r="D21" i="15" s="1"/>
  <c r="G21" i="15" s="1"/>
  <c r="C22" i="15"/>
  <c r="C23" i="15"/>
  <c r="C24" i="15"/>
  <c r="C25" i="15"/>
  <c r="D25" i="15" s="1"/>
  <c r="G25" i="15" s="1"/>
  <c r="C26" i="15"/>
  <c r="D26" i="15" s="1"/>
  <c r="G26" i="15" s="1"/>
  <c r="M26" i="15" s="1"/>
  <c r="C27" i="15"/>
  <c r="C28" i="15"/>
  <c r="C29" i="15"/>
  <c r="D29" i="15" s="1"/>
  <c r="G29" i="15" s="1"/>
  <c r="M29" i="15" s="1"/>
  <c r="C30" i="15"/>
  <c r="D30" i="15" s="1"/>
  <c r="G30" i="15" s="1"/>
  <c r="M30" i="15" s="1"/>
  <c r="C31" i="15"/>
  <c r="D31" i="15" s="1"/>
  <c r="G31" i="15" s="1"/>
  <c r="C32" i="15"/>
  <c r="C33" i="15"/>
  <c r="C34" i="15"/>
  <c r="D34" i="15" s="1"/>
  <c r="C35" i="15"/>
  <c r="C36" i="15"/>
  <c r="C37" i="15"/>
  <c r="C38" i="15"/>
  <c r="D38" i="15" s="1"/>
  <c r="C39" i="15"/>
  <c r="C40" i="15"/>
  <c r="C41" i="15"/>
  <c r="D41" i="15" s="1"/>
  <c r="C42" i="15"/>
  <c r="D42" i="15" s="1"/>
  <c r="G42" i="15" s="1"/>
  <c r="C43" i="15"/>
  <c r="D43" i="15" s="1"/>
  <c r="C44" i="15"/>
  <c r="C45" i="15"/>
  <c r="D45" i="15" s="1"/>
  <c r="C46" i="15"/>
  <c r="D46" i="15" s="1"/>
  <c r="C47" i="15"/>
  <c r="D47" i="15" s="1"/>
  <c r="C48" i="15"/>
  <c r="C49" i="15"/>
  <c r="C50" i="15"/>
  <c r="D50" i="15" s="1"/>
  <c r="C3" i="15"/>
  <c r="D96" i="15"/>
  <c r="G96" i="15" s="1"/>
  <c r="D94" i="15"/>
  <c r="G94" i="15" s="1"/>
  <c r="D92" i="15"/>
  <c r="D89" i="15"/>
  <c r="D88" i="15"/>
  <c r="D84" i="15"/>
  <c r="L82" i="15"/>
  <c r="D81" i="15"/>
  <c r="G81" i="15" s="1"/>
  <c r="D80" i="15"/>
  <c r="D77" i="15"/>
  <c r="D76" i="15"/>
  <c r="G76" i="15" s="1"/>
  <c r="J76" i="15" s="1"/>
  <c r="D72" i="15"/>
  <c r="D71" i="15"/>
  <c r="D69" i="15"/>
  <c r="D68" i="15"/>
  <c r="D67" i="15"/>
  <c r="D65" i="15"/>
  <c r="G65" i="15" s="1"/>
  <c r="D64" i="15"/>
  <c r="D60" i="15"/>
  <c r="G60" i="15" s="1"/>
  <c r="D58" i="15"/>
  <c r="G58" i="15" s="1"/>
  <c r="M58" i="15" s="1"/>
  <c r="D56" i="15"/>
  <c r="D53" i="15"/>
  <c r="D52" i="15"/>
  <c r="D51" i="15"/>
  <c r="D49" i="15"/>
  <c r="D48" i="15"/>
  <c r="D44" i="15"/>
  <c r="L42" i="15"/>
  <c r="L41" i="15"/>
  <c r="D40" i="15"/>
  <c r="D39" i="15"/>
  <c r="I37" i="15"/>
  <c r="D37" i="15"/>
  <c r="L36" i="15"/>
  <c r="D36" i="15"/>
  <c r="L35" i="15"/>
  <c r="I35" i="15"/>
  <c r="D35" i="15"/>
  <c r="L34" i="15"/>
  <c r="D33" i="15"/>
  <c r="D32" i="15"/>
  <c r="G32" i="15" s="1"/>
  <c r="M32" i="15" s="1"/>
  <c r="I30" i="15"/>
  <c r="D28" i="15"/>
  <c r="G28" i="15" s="1"/>
  <c r="M28" i="15" s="1"/>
  <c r="D27" i="15"/>
  <c r="G27" i="15" s="1"/>
  <c r="M27" i="15" s="1"/>
  <c r="D24" i="15"/>
  <c r="D23" i="15"/>
  <c r="G23" i="15" s="1"/>
  <c r="D22" i="15"/>
  <c r="G22" i="15" s="1"/>
  <c r="J22" i="15" s="1"/>
  <c r="D20" i="15"/>
  <c r="D19" i="15"/>
  <c r="G19" i="15" s="1"/>
  <c r="L18" i="15"/>
  <c r="I17" i="15"/>
  <c r="I16" i="15"/>
  <c r="D16" i="15"/>
  <c r="G16" i="15" s="1"/>
  <c r="M16" i="15" s="1"/>
  <c r="I13" i="15"/>
  <c r="D13" i="15"/>
  <c r="D12" i="15"/>
  <c r="G12" i="15" s="1"/>
  <c r="M12" i="15" s="1"/>
  <c r="L11" i="15"/>
  <c r="L10" i="15"/>
  <c r="I9" i="15"/>
  <c r="D8" i="15"/>
  <c r="D5" i="15"/>
  <c r="G5" i="15" s="1"/>
  <c r="J5" i="15" s="1"/>
  <c r="D4" i="15"/>
  <c r="D3" i="15"/>
  <c r="G3" i="15" s="1"/>
  <c r="J3" i="15" s="1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3" i="14"/>
  <c r="L82" i="14"/>
  <c r="L80" i="14"/>
  <c r="L79" i="14"/>
  <c r="L78" i="14"/>
  <c r="L77" i="14"/>
  <c r="L76" i="14"/>
  <c r="L75" i="14"/>
  <c r="L74" i="14"/>
  <c r="L73" i="14"/>
  <c r="L71" i="14"/>
  <c r="L70" i="14"/>
  <c r="L69" i="14"/>
  <c r="L68" i="14"/>
  <c r="L67" i="14"/>
  <c r="L65" i="14"/>
  <c r="L64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1" i="14"/>
  <c r="L40" i="14"/>
  <c r="L39" i="14"/>
  <c r="L35" i="14"/>
  <c r="L34" i="14"/>
  <c r="L33" i="14"/>
  <c r="L32" i="14"/>
  <c r="L31" i="14"/>
  <c r="L30" i="14"/>
  <c r="L29" i="14"/>
  <c r="L28" i="14"/>
  <c r="L27" i="14"/>
  <c r="L26" i="14"/>
  <c r="L25" i="14"/>
  <c r="L23" i="14"/>
  <c r="L18" i="14"/>
  <c r="L17" i="14"/>
  <c r="L16" i="14"/>
  <c r="L15" i="14"/>
  <c r="L14" i="14"/>
  <c r="L13" i="14"/>
  <c r="L11" i="14"/>
  <c r="L10" i="14"/>
  <c r="L9" i="14"/>
  <c r="L8" i="14"/>
  <c r="L7" i="14"/>
  <c r="L6" i="14"/>
  <c r="L5" i="14"/>
  <c r="L4" i="14"/>
  <c r="I97" i="14"/>
  <c r="I96" i="14"/>
  <c r="I98" i="14"/>
  <c r="I94" i="14"/>
  <c r="I93" i="14"/>
  <c r="I92" i="14"/>
  <c r="I89" i="14"/>
  <c r="I88" i="14"/>
  <c r="I87" i="14"/>
  <c r="I90" i="14"/>
  <c r="I86" i="14"/>
  <c r="I85" i="14"/>
  <c r="I84" i="14"/>
  <c r="I81" i="14"/>
  <c r="I80" i="14"/>
  <c r="I79" i="14"/>
  <c r="I78" i="14"/>
  <c r="I77" i="14"/>
  <c r="I76" i="14"/>
  <c r="I73" i="14"/>
  <c r="I72" i="14"/>
  <c r="I71" i="14"/>
  <c r="I74" i="14"/>
  <c r="I70" i="14"/>
  <c r="I69" i="14"/>
  <c r="I68" i="14"/>
  <c r="I65" i="14"/>
  <c r="I64" i="14"/>
  <c r="I63" i="14"/>
  <c r="I66" i="14"/>
  <c r="I62" i="14"/>
  <c r="I61" i="14"/>
  <c r="I60" i="14"/>
  <c r="I56" i="14"/>
  <c r="I55" i="14"/>
  <c r="I58" i="14"/>
  <c r="I54" i="14"/>
  <c r="I53" i="14"/>
  <c r="I52" i="14"/>
  <c r="I49" i="14"/>
  <c r="I48" i="14"/>
  <c r="I50" i="14"/>
  <c r="I46" i="14"/>
  <c r="I45" i="14"/>
  <c r="I44" i="14"/>
  <c r="I41" i="14"/>
  <c r="I40" i="14"/>
  <c r="I39" i="14"/>
  <c r="I37" i="14"/>
  <c r="I36" i="14"/>
  <c r="I33" i="14"/>
  <c r="I32" i="14"/>
  <c r="I31" i="14"/>
  <c r="I34" i="14"/>
  <c r="I30" i="14"/>
  <c r="I29" i="14"/>
  <c r="I28" i="14"/>
  <c r="I25" i="14"/>
  <c r="I24" i="14"/>
  <c r="I23" i="14"/>
  <c r="I26" i="14"/>
  <c r="I22" i="14"/>
  <c r="I21" i="14"/>
  <c r="I20" i="14"/>
  <c r="I17" i="14"/>
  <c r="I16" i="14"/>
  <c r="I15" i="14"/>
  <c r="I18" i="14"/>
  <c r="I13" i="14"/>
  <c r="I12" i="14"/>
  <c r="I9" i="14"/>
  <c r="I8" i="14"/>
  <c r="I7" i="14"/>
  <c r="I10" i="14"/>
  <c r="I6" i="14"/>
  <c r="I5" i="14"/>
  <c r="I4" i="14"/>
  <c r="F93" i="14"/>
  <c r="F94" i="14"/>
  <c r="F95" i="14"/>
  <c r="F96" i="14"/>
  <c r="F97" i="14"/>
  <c r="F98" i="14"/>
  <c r="F99" i="14"/>
  <c r="F92" i="14"/>
  <c r="F85" i="14"/>
  <c r="F86" i="14"/>
  <c r="F87" i="14"/>
  <c r="F88" i="14"/>
  <c r="F89" i="14"/>
  <c r="F90" i="14"/>
  <c r="F91" i="14"/>
  <c r="F84" i="14"/>
  <c r="F77" i="14"/>
  <c r="G77" i="14" s="1"/>
  <c r="M77" i="14" s="1"/>
  <c r="F78" i="14"/>
  <c r="F79" i="14"/>
  <c r="F80" i="14"/>
  <c r="F81" i="14"/>
  <c r="F82" i="14"/>
  <c r="F83" i="14"/>
  <c r="F76" i="14"/>
  <c r="F69" i="14"/>
  <c r="F70" i="14"/>
  <c r="F71" i="14"/>
  <c r="F72" i="14"/>
  <c r="F73" i="14"/>
  <c r="F74" i="14"/>
  <c r="F75" i="14"/>
  <c r="F68" i="14"/>
  <c r="F61" i="14"/>
  <c r="F62" i="14"/>
  <c r="F63" i="14"/>
  <c r="F64" i="14"/>
  <c r="F65" i="14"/>
  <c r="F66" i="14"/>
  <c r="F67" i="14"/>
  <c r="F60" i="14"/>
  <c r="F53" i="14"/>
  <c r="F54" i="14"/>
  <c r="G54" i="14" s="1"/>
  <c r="F55" i="14"/>
  <c r="F56" i="14"/>
  <c r="F57" i="14"/>
  <c r="F58" i="14"/>
  <c r="F59" i="14"/>
  <c r="F52" i="14"/>
  <c r="F45" i="14"/>
  <c r="F46" i="14"/>
  <c r="F47" i="14"/>
  <c r="F48" i="14"/>
  <c r="F49" i="14"/>
  <c r="F50" i="14"/>
  <c r="F51" i="14"/>
  <c r="F44" i="14"/>
  <c r="F37" i="14"/>
  <c r="F38" i="14"/>
  <c r="F39" i="14"/>
  <c r="F40" i="14"/>
  <c r="F41" i="14"/>
  <c r="F42" i="14"/>
  <c r="F43" i="14"/>
  <c r="F36" i="14"/>
  <c r="F29" i="14"/>
  <c r="F30" i="14"/>
  <c r="F31" i="14"/>
  <c r="F32" i="14"/>
  <c r="F33" i="14"/>
  <c r="F34" i="14"/>
  <c r="F35" i="14"/>
  <c r="F28" i="14"/>
  <c r="F21" i="14"/>
  <c r="F22" i="14"/>
  <c r="F23" i="14"/>
  <c r="F24" i="14"/>
  <c r="F25" i="14"/>
  <c r="F26" i="14"/>
  <c r="F27" i="14"/>
  <c r="F20" i="14"/>
  <c r="F13" i="14"/>
  <c r="F14" i="14"/>
  <c r="F15" i="14"/>
  <c r="F16" i="14"/>
  <c r="F17" i="14"/>
  <c r="F18" i="14"/>
  <c r="F19" i="14"/>
  <c r="F12" i="14"/>
  <c r="F5" i="14"/>
  <c r="F6" i="14"/>
  <c r="F7" i="14"/>
  <c r="F8" i="14"/>
  <c r="F9" i="14"/>
  <c r="F10" i="14"/>
  <c r="F11" i="14"/>
  <c r="F4" i="14"/>
  <c r="E113" i="1"/>
  <c r="H113" i="1" s="1"/>
  <c r="E112" i="1"/>
  <c r="F112" i="1" s="1"/>
  <c r="E111" i="1"/>
  <c r="F111" i="1" s="1"/>
  <c r="E110" i="1"/>
  <c r="H110" i="1" s="1"/>
  <c r="E109" i="1"/>
  <c r="H109" i="1" s="1"/>
  <c r="E108" i="1"/>
  <c r="F108" i="1" s="1"/>
  <c r="E107" i="1"/>
  <c r="F107" i="1" s="1"/>
  <c r="C53" i="14"/>
  <c r="C54" i="14"/>
  <c r="D54" i="14" s="1"/>
  <c r="C55" i="14"/>
  <c r="D55" i="14" s="1"/>
  <c r="G55" i="14" s="1"/>
  <c r="C56" i="14"/>
  <c r="D56" i="14" s="1"/>
  <c r="C57" i="14"/>
  <c r="C58" i="14"/>
  <c r="D58" i="14" s="1"/>
  <c r="C59" i="14"/>
  <c r="D59" i="14" s="1"/>
  <c r="G59" i="14" s="1"/>
  <c r="M59" i="14" s="1"/>
  <c r="C60" i="14"/>
  <c r="C61" i="14"/>
  <c r="C62" i="14"/>
  <c r="D62" i="14" s="1"/>
  <c r="C63" i="14"/>
  <c r="D63" i="14" s="1"/>
  <c r="G63" i="14" s="1"/>
  <c r="M63" i="14" s="1"/>
  <c r="C64" i="14"/>
  <c r="C65" i="14"/>
  <c r="C66" i="14"/>
  <c r="D66" i="14" s="1"/>
  <c r="G66" i="14" s="1"/>
  <c r="C67" i="14"/>
  <c r="D67" i="14" s="1"/>
  <c r="C68" i="14"/>
  <c r="C69" i="14"/>
  <c r="C70" i="14"/>
  <c r="D70" i="14" s="1"/>
  <c r="C71" i="14"/>
  <c r="D71" i="14" s="1"/>
  <c r="C72" i="14"/>
  <c r="C73" i="14"/>
  <c r="C74" i="14"/>
  <c r="D74" i="14" s="1"/>
  <c r="C75" i="14"/>
  <c r="C76" i="14"/>
  <c r="D76" i="14" s="1"/>
  <c r="G76" i="14" s="1"/>
  <c r="C77" i="14"/>
  <c r="C78" i="14"/>
  <c r="D78" i="14" s="1"/>
  <c r="G78" i="14" s="1"/>
  <c r="J78" i="14" s="1"/>
  <c r="C79" i="14"/>
  <c r="D79" i="14" s="1"/>
  <c r="C80" i="14"/>
  <c r="C81" i="14"/>
  <c r="C82" i="14"/>
  <c r="C83" i="14"/>
  <c r="D83" i="14" s="1"/>
  <c r="C84" i="14"/>
  <c r="D84" i="14" s="1"/>
  <c r="C85" i="14"/>
  <c r="C86" i="14"/>
  <c r="C87" i="14"/>
  <c r="D87" i="14" s="1"/>
  <c r="C88" i="14"/>
  <c r="D88" i="14" s="1"/>
  <c r="C89" i="14"/>
  <c r="C90" i="14"/>
  <c r="C91" i="14"/>
  <c r="D91" i="14" s="1"/>
  <c r="G91" i="14" s="1"/>
  <c r="M91" i="14" s="1"/>
  <c r="C92" i="14"/>
  <c r="C93" i="14"/>
  <c r="C94" i="14"/>
  <c r="D94" i="14" s="1"/>
  <c r="G94" i="14" s="1"/>
  <c r="C95" i="14"/>
  <c r="D95" i="14" s="1"/>
  <c r="G95" i="14" s="1"/>
  <c r="C96" i="14"/>
  <c r="C97" i="14"/>
  <c r="C98" i="14"/>
  <c r="D98" i="14" s="1"/>
  <c r="C99" i="14"/>
  <c r="D99" i="14" s="1"/>
  <c r="C52" i="14"/>
  <c r="D52" i="14" s="1"/>
  <c r="G52" i="14" s="1"/>
  <c r="C5" i="14"/>
  <c r="C6" i="14"/>
  <c r="C7" i="14"/>
  <c r="D7" i="14" s="1"/>
  <c r="G7" i="14" s="1"/>
  <c r="C8" i="14"/>
  <c r="D8" i="14" s="1"/>
  <c r="C9" i="14"/>
  <c r="C10" i="14"/>
  <c r="D10" i="14" s="1"/>
  <c r="C11" i="14"/>
  <c r="D11" i="14" s="1"/>
  <c r="G11" i="14" s="1"/>
  <c r="M11" i="14" s="1"/>
  <c r="C12" i="14"/>
  <c r="D12" i="14" s="1"/>
  <c r="G12" i="14" s="1"/>
  <c r="C13" i="14"/>
  <c r="C14" i="14"/>
  <c r="D14" i="14" s="1"/>
  <c r="G14" i="14" s="1"/>
  <c r="C15" i="14"/>
  <c r="D15" i="14" s="1"/>
  <c r="G15" i="14" s="1"/>
  <c r="M15" i="14" s="1"/>
  <c r="C16" i="14"/>
  <c r="D16" i="14" s="1"/>
  <c r="C17" i="14"/>
  <c r="C18" i="14"/>
  <c r="D18" i="14" s="1"/>
  <c r="G18" i="14" s="1"/>
  <c r="M18" i="14" s="1"/>
  <c r="C19" i="14"/>
  <c r="D19" i="14" s="1"/>
  <c r="G19" i="14" s="1"/>
  <c r="M19" i="14" s="1"/>
  <c r="C20" i="14"/>
  <c r="D20" i="14" s="1"/>
  <c r="G20" i="14" s="1"/>
  <c r="J20" i="14" s="1"/>
  <c r="C21" i="14"/>
  <c r="C22" i="14"/>
  <c r="C23" i="14"/>
  <c r="D23" i="14" s="1"/>
  <c r="G23" i="14" s="1"/>
  <c r="J23" i="14" s="1"/>
  <c r="C24" i="14"/>
  <c r="D24" i="14" s="1"/>
  <c r="C25" i="14"/>
  <c r="C26" i="14"/>
  <c r="D26" i="14" s="1"/>
  <c r="G26" i="14" s="1"/>
  <c r="J26" i="14" s="1"/>
  <c r="C27" i="14"/>
  <c r="D27" i="14" s="1"/>
  <c r="G27" i="14" s="1"/>
  <c r="M27" i="14" s="1"/>
  <c r="C28" i="14"/>
  <c r="D28" i="14" s="1"/>
  <c r="G28" i="14" s="1"/>
  <c r="C29" i="14"/>
  <c r="C30" i="14"/>
  <c r="D30" i="14" s="1"/>
  <c r="G30" i="14" s="1"/>
  <c r="M30" i="14" s="1"/>
  <c r="C31" i="14"/>
  <c r="D31" i="14" s="1"/>
  <c r="G31" i="14" s="1"/>
  <c r="M31" i="14" s="1"/>
  <c r="C32" i="14"/>
  <c r="D32" i="14" s="1"/>
  <c r="C33" i="14"/>
  <c r="C34" i="14"/>
  <c r="C35" i="14"/>
  <c r="D35" i="14" s="1"/>
  <c r="C36" i="14"/>
  <c r="D36" i="14" s="1"/>
  <c r="C37" i="14"/>
  <c r="C38" i="14"/>
  <c r="D38" i="14" s="1"/>
  <c r="C39" i="14"/>
  <c r="D39" i="14" s="1"/>
  <c r="C40" i="14"/>
  <c r="D40" i="14" s="1"/>
  <c r="C41" i="14"/>
  <c r="C42" i="14"/>
  <c r="D42" i="14" s="1"/>
  <c r="C43" i="14"/>
  <c r="D43" i="14" s="1"/>
  <c r="C44" i="14"/>
  <c r="D44" i="14" s="1"/>
  <c r="C45" i="14"/>
  <c r="C46" i="14"/>
  <c r="D46" i="14" s="1"/>
  <c r="C47" i="14"/>
  <c r="D47" i="14" s="1"/>
  <c r="C48" i="14"/>
  <c r="D48" i="14" s="1"/>
  <c r="C49" i="14"/>
  <c r="C50" i="14"/>
  <c r="C51" i="14"/>
  <c r="D51" i="14" s="1"/>
  <c r="C4" i="14"/>
  <c r="D97" i="14"/>
  <c r="D96" i="14"/>
  <c r="D93" i="14"/>
  <c r="D92" i="14"/>
  <c r="G92" i="14" s="1"/>
  <c r="D90" i="14"/>
  <c r="D89" i="14"/>
  <c r="D86" i="14"/>
  <c r="L85" i="14"/>
  <c r="D85" i="14"/>
  <c r="I82" i="14"/>
  <c r="D82" i="14"/>
  <c r="G82" i="14" s="1"/>
  <c r="L81" i="14"/>
  <c r="D81" i="14"/>
  <c r="D80" i="14"/>
  <c r="G80" i="14" s="1"/>
  <c r="G79" i="14"/>
  <c r="J79" i="14" s="1"/>
  <c r="D77" i="14"/>
  <c r="D75" i="14"/>
  <c r="G75" i="14" s="1"/>
  <c r="M75" i="14" s="1"/>
  <c r="D73" i="14"/>
  <c r="L72" i="14"/>
  <c r="D72" i="14"/>
  <c r="D69" i="14"/>
  <c r="D68" i="14"/>
  <c r="D65" i="14"/>
  <c r="D64" i="14"/>
  <c r="G64" i="14" s="1"/>
  <c r="M64" i="14" s="1"/>
  <c r="L63" i="14"/>
  <c r="D61" i="14"/>
  <c r="G61" i="14" s="1"/>
  <c r="M61" i="14" s="1"/>
  <c r="D60" i="14"/>
  <c r="G60" i="14" s="1"/>
  <c r="D57" i="14"/>
  <c r="G57" i="14" s="1"/>
  <c r="G53" i="14"/>
  <c r="D53" i="14"/>
  <c r="D50" i="14"/>
  <c r="D49" i="14"/>
  <c r="D45" i="14"/>
  <c r="L43" i="14"/>
  <c r="L42" i="14"/>
  <c r="D41" i="14"/>
  <c r="L38" i="14"/>
  <c r="I38" i="14"/>
  <c r="L37" i="14"/>
  <c r="D37" i="14"/>
  <c r="L36" i="14"/>
  <c r="D34" i="14"/>
  <c r="D33" i="14"/>
  <c r="G33" i="14" s="1"/>
  <c r="M33" i="14" s="1"/>
  <c r="D29" i="14"/>
  <c r="G29" i="14" s="1"/>
  <c r="M29" i="14" s="1"/>
  <c r="D25" i="14"/>
  <c r="D22" i="14"/>
  <c r="D21" i="14"/>
  <c r="G21" i="14" s="1"/>
  <c r="L19" i="14"/>
  <c r="D17" i="14"/>
  <c r="G17" i="14" s="1"/>
  <c r="M17" i="14" s="1"/>
  <c r="I14" i="14"/>
  <c r="D13" i="14"/>
  <c r="G13" i="14" s="1"/>
  <c r="M13" i="14" s="1"/>
  <c r="L12" i="14"/>
  <c r="D9" i="14"/>
  <c r="D6" i="14"/>
  <c r="G6" i="14" s="1"/>
  <c r="J6" i="14" s="1"/>
  <c r="D5" i="14"/>
  <c r="D4" i="14"/>
  <c r="G4" i="14" s="1"/>
  <c r="L99" i="13"/>
  <c r="L98" i="13"/>
  <c r="L97" i="13"/>
  <c r="L96" i="13"/>
  <c r="L95" i="13"/>
  <c r="L94" i="13"/>
  <c r="L93" i="13"/>
  <c r="L92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1" i="13"/>
  <c r="L40" i="13"/>
  <c r="L39" i="13"/>
  <c r="L38" i="13"/>
  <c r="L37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8" i="13"/>
  <c r="L17" i="13"/>
  <c r="L16" i="13"/>
  <c r="L15" i="13"/>
  <c r="L14" i="13"/>
  <c r="L13" i="13"/>
  <c r="L11" i="13"/>
  <c r="L10" i="13"/>
  <c r="L9" i="13"/>
  <c r="L8" i="13"/>
  <c r="L7" i="13"/>
  <c r="L6" i="13"/>
  <c r="L5" i="13"/>
  <c r="L4" i="13"/>
  <c r="I97" i="13"/>
  <c r="I96" i="13"/>
  <c r="I95" i="13"/>
  <c r="I98" i="13"/>
  <c r="I94" i="13"/>
  <c r="I93" i="13"/>
  <c r="I92" i="13"/>
  <c r="I89" i="13"/>
  <c r="I88" i="13"/>
  <c r="I87" i="13"/>
  <c r="I90" i="13"/>
  <c r="I86" i="13"/>
  <c r="I85" i="13"/>
  <c r="I84" i="13"/>
  <c r="I81" i="13"/>
  <c r="I80" i="13"/>
  <c r="I82" i="13"/>
  <c r="I79" i="13"/>
  <c r="I78" i="13"/>
  <c r="I77" i="13"/>
  <c r="I76" i="13"/>
  <c r="I73" i="13"/>
  <c r="I72" i="13"/>
  <c r="I71" i="13"/>
  <c r="I70" i="13"/>
  <c r="I68" i="13"/>
  <c r="I65" i="13"/>
  <c r="I64" i="13"/>
  <c r="I63" i="13"/>
  <c r="I66" i="13"/>
  <c r="I62" i="13"/>
  <c r="I61" i="13"/>
  <c r="I60" i="13"/>
  <c r="I57" i="13"/>
  <c r="I56" i="13"/>
  <c r="I55" i="13"/>
  <c r="I58" i="13"/>
  <c r="I54" i="13"/>
  <c r="I53" i="13"/>
  <c r="I52" i="13"/>
  <c r="I49" i="13"/>
  <c r="I48" i="13"/>
  <c r="I47" i="13"/>
  <c r="I50" i="13"/>
  <c r="I46" i="13"/>
  <c r="I45" i="13"/>
  <c r="I44" i="13"/>
  <c r="I41" i="13"/>
  <c r="I40" i="13"/>
  <c r="I39" i="13"/>
  <c r="I37" i="13"/>
  <c r="I36" i="13"/>
  <c r="I33" i="13"/>
  <c r="I32" i="13"/>
  <c r="I31" i="13"/>
  <c r="I34" i="13"/>
  <c r="I30" i="13"/>
  <c r="I29" i="13"/>
  <c r="I28" i="13"/>
  <c r="I25" i="13"/>
  <c r="I24" i="13"/>
  <c r="I23" i="13"/>
  <c r="I26" i="13"/>
  <c r="I22" i="13"/>
  <c r="I21" i="13"/>
  <c r="I20" i="13"/>
  <c r="I17" i="13"/>
  <c r="I16" i="13"/>
  <c r="I15" i="13"/>
  <c r="I18" i="13"/>
  <c r="I13" i="13"/>
  <c r="I9" i="13"/>
  <c r="I8" i="13"/>
  <c r="I7" i="13"/>
  <c r="I10" i="13"/>
  <c r="I6" i="13"/>
  <c r="I5" i="13"/>
  <c r="I4" i="13"/>
  <c r="F93" i="13"/>
  <c r="F94" i="13"/>
  <c r="F95" i="13"/>
  <c r="F96" i="13"/>
  <c r="F97" i="13"/>
  <c r="F98" i="13"/>
  <c r="F99" i="13"/>
  <c r="F92" i="13"/>
  <c r="F85" i="13"/>
  <c r="F86" i="13"/>
  <c r="F87" i="13"/>
  <c r="F88" i="13"/>
  <c r="F89" i="13"/>
  <c r="F90" i="13"/>
  <c r="F91" i="13"/>
  <c r="F84" i="13"/>
  <c r="F77" i="13"/>
  <c r="F78" i="13"/>
  <c r="F79" i="13"/>
  <c r="F80" i="13"/>
  <c r="F81" i="13"/>
  <c r="F82" i="13"/>
  <c r="F83" i="13"/>
  <c r="F76" i="13"/>
  <c r="F69" i="13"/>
  <c r="F70" i="13"/>
  <c r="F71" i="13"/>
  <c r="F72" i="13"/>
  <c r="F73" i="13"/>
  <c r="F74" i="13"/>
  <c r="F75" i="13"/>
  <c r="F68" i="13"/>
  <c r="F61" i="13"/>
  <c r="F62" i="13"/>
  <c r="F63" i="13"/>
  <c r="F64" i="13"/>
  <c r="F65" i="13"/>
  <c r="F66" i="13"/>
  <c r="F67" i="13"/>
  <c r="F60" i="13"/>
  <c r="F53" i="13"/>
  <c r="F54" i="13"/>
  <c r="F55" i="13"/>
  <c r="F56" i="13"/>
  <c r="F57" i="13"/>
  <c r="F58" i="13"/>
  <c r="F59" i="13"/>
  <c r="F52" i="13"/>
  <c r="F45" i="13"/>
  <c r="F46" i="13"/>
  <c r="F47" i="13"/>
  <c r="F48" i="13"/>
  <c r="F49" i="13"/>
  <c r="F50" i="13"/>
  <c r="F51" i="13"/>
  <c r="F44" i="13"/>
  <c r="F37" i="13"/>
  <c r="F38" i="13"/>
  <c r="F39" i="13"/>
  <c r="F40" i="13"/>
  <c r="F41" i="13"/>
  <c r="F42" i="13"/>
  <c r="F43" i="13"/>
  <c r="F36" i="13"/>
  <c r="F29" i="13"/>
  <c r="F30" i="13"/>
  <c r="F31" i="13"/>
  <c r="F32" i="13"/>
  <c r="F33" i="13"/>
  <c r="F34" i="13"/>
  <c r="F35" i="13"/>
  <c r="F28" i="13"/>
  <c r="F21" i="13"/>
  <c r="F22" i="13"/>
  <c r="F23" i="13"/>
  <c r="F24" i="13"/>
  <c r="F25" i="13"/>
  <c r="F26" i="13"/>
  <c r="F27" i="13"/>
  <c r="F20" i="13"/>
  <c r="F13" i="13"/>
  <c r="F14" i="13"/>
  <c r="F15" i="13"/>
  <c r="F16" i="13"/>
  <c r="F17" i="13"/>
  <c r="F18" i="13"/>
  <c r="F19" i="13"/>
  <c r="F12" i="13"/>
  <c r="F5" i="13"/>
  <c r="F6" i="13"/>
  <c r="F7" i="13"/>
  <c r="F8" i="13"/>
  <c r="F9" i="13"/>
  <c r="F10" i="13"/>
  <c r="F11" i="13"/>
  <c r="F4" i="13"/>
  <c r="E103" i="1"/>
  <c r="H103" i="1" s="1"/>
  <c r="E102" i="1"/>
  <c r="F102" i="1" s="1"/>
  <c r="E101" i="1"/>
  <c r="F101" i="1" s="1"/>
  <c r="E100" i="1"/>
  <c r="F100" i="1" s="1"/>
  <c r="E99" i="1"/>
  <c r="H99" i="1" s="1"/>
  <c r="E98" i="1"/>
  <c r="F98" i="1" s="1"/>
  <c r="E97" i="1"/>
  <c r="H97" i="1" s="1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52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4" i="13"/>
  <c r="N428" i="22" l="1"/>
  <c r="N481" i="22"/>
  <c r="N434" i="22"/>
  <c r="N423" i="22"/>
  <c r="N448" i="22"/>
  <c r="N449" i="22"/>
  <c r="N479" i="22"/>
  <c r="N432" i="22"/>
  <c r="N453" i="22"/>
  <c r="N445" i="22"/>
  <c r="N446" i="22"/>
  <c r="N424" i="22"/>
  <c r="N422" i="22"/>
  <c r="N420" i="22"/>
  <c r="N375" i="22"/>
  <c r="N345" i="22"/>
  <c r="N341" i="22"/>
  <c r="N373" i="22"/>
  <c r="M14" i="14"/>
  <c r="J14" i="14"/>
  <c r="G58" i="14"/>
  <c r="M58" i="14" s="1"/>
  <c r="G22" i="14"/>
  <c r="J22" i="14" s="1"/>
  <c r="G34" i="14"/>
  <c r="G10" i="14"/>
  <c r="J10" i="14" s="1"/>
  <c r="G62" i="14"/>
  <c r="M62" i="14" s="1"/>
  <c r="G77" i="15"/>
  <c r="G93" i="15"/>
  <c r="G25" i="14"/>
  <c r="G81" i="14"/>
  <c r="J81" i="14" s="1"/>
  <c r="G93" i="14"/>
  <c r="M93" i="14" s="1"/>
  <c r="G20" i="15"/>
  <c r="J20" i="15" s="1"/>
  <c r="G24" i="15"/>
  <c r="J24" i="15" s="1"/>
  <c r="M60" i="15"/>
  <c r="G12" i="16"/>
  <c r="G28" i="16"/>
  <c r="M28" i="16" s="1"/>
  <c r="G16" i="16"/>
  <c r="G8" i="16"/>
  <c r="J8" i="16" s="1"/>
  <c r="J33" i="17"/>
  <c r="J80" i="14"/>
  <c r="G13" i="15"/>
  <c r="G33" i="15"/>
  <c r="G17" i="15"/>
  <c r="M17" i="15" s="1"/>
  <c r="G9" i="14"/>
  <c r="M12" i="14"/>
  <c r="J76" i="14"/>
  <c r="G4" i="15"/>
  <c r="G4" i="16"/>
  <c r="M37" i="17"/>
  <c r="M30" i="19"/>
  <c r="M91" i="19"/>
  <c r="M19" i="19"/>
  <c r="M63" i="19"/>
  <c r="M53" i="20"/>
  <c r="G24" i="16"/>
  <c r="J24" i="16" s="1"/>
  <c r="G96" i="16"/>
  <c r="G92" i="16"/>
  <c r="G80" i="16"/>
  <c r="J80" i="16" s="1"/>
  <c r="G76" i="16"/>
  <c r="J76" i="16" s="1"/>
  <c r="G64" i="16"/>
  <c r="J64" i="16" s="1"/>
  <c r="G60" i="16"/>
  <c r="M60" i="16" s="1"/>
  <c r="J7" i="17"/>
  <c r="G4" i="17"/>
  <c r="M4" i="17" s="1"/>
  <c r="G48" i="17"/>
  <c r="G44" i="17"/>
  <c r="M44" i="17" s="1"/>
  <c r="G40" i="17"/>
  <c r="M40" i="17" s="1"/>
  <c r="G36" i="17"/>
  <c r="M36" i="17" s="1"/>
  <c r="G32" i="17"/>
  <c r="M32" i="17" s="1"/>
  <c r="G24" i="17"/>
  <c r="G20" i="17"/>
  <c r="M20" i="17" s="1"/>
  <c r="G96" i="17"/>
  <c r="M96" i="17" s="1"/>
  <c r="G92" i="17"/>
  <c r="M92" i="17" s="1"/>
  <c r="G72" i="17"/>
  <c r="M72" i="17" s="1"/>
  <c r="G68" i="17"/>
  <c r="M68" i="17" s="1"/>
  <c r="G64" i="17"/>
  <c r="M64" i="17" s="1"/>
  <c r="M39" i="18"/>
  <c r="J9" i="19"/>
  <c r="J21" i="19"/>
  <c r="M61" i="19"/>
  <c r="M62" i="19"/>
  <c r="J5" i="20"/>
  <c r="M65" i="20"/>
  <c r="J70" i="20"/>
  <c r="M74" i="20"/>
  <c r="M94" i="20"/>
  <c r="G5" i="14"/>
  <c r="J5" i="14" s="1"/>
  <c r="G65" i="14"/>
  <c r="M65" i="14" s="1"/>
  <c r="G56" i="14"/>
  <c r="G8" i="15"/>
  <c r="M8" i="15" s="1"/>
  <c r="J19" i="15"/>
  <c r="G92" i="15"/>
  <c r="M11" i="15"/>
  <c r="M74" i="16"/>
  <c r="J78" i="16"/>
  <c r="G31" i="16"/>
  <c r="M31" i="16" s="1"/>
  <c r="G27" i="16"/>
  <c r="M27" i="16" s="1"/>
  <c r="G19" i="16"/>
  <c r="J19" i="16" s="1"/>
  <c r="G15" i="16"/>
  <c r="G11" i="16"/>
  <c r="G7" i="16"/>
  <c r="G95" i="16"/>
  <c r="G91" i="16"/>
  <c r="G79" i="16"/>
  <c r="J79" i="16" s="1"/>
  <c r="G63" i="16"/>
  <c r="M63" i="16" s="1"/>
  <c r="G59" i="16"/>
  <c r="J59" i="16" s="1"/>
  <c r="G39" i="17"/>
  <c r="M39" i="17" s="1"/>
  <c r="G71" i="17"/>
  <c r="M71" i="17" s="1"/>
  <c r="M82" i="17"/>
  <c r="G31" i="17"/>
  <c r="M31" i="17" s="1"/>
  <c r="G27" i="17"/>
  <c r="M27" i="17" s="1"/>
  <c r="G95" i="17"/>
  <c r="M95" i="17" s="1"/>
  <c r="G79" i="17"/>
  <c r="G63" i="17"/>
  <c r="G59" i="17"/>
  <c r="M59" i="17" s="1"/>
  <c r="G21" i="18"/>
  <c r="J21" i="18" s="1"/>
  <c r="G41" i="18"/>
  <c r="G47" i="18"/>
  <c r="M47" i="18" s="1"/>
  <c r="G51" i="18"/>
  <c r="G61" i="18"/>
  <c r="G69" i="18"/>
  <c r="M69" i="18" s="1"/>
  <c r="G95" i="18"/>
  <c r="M95" i="18" s="1"/>
  <c r="G27" i="18"/>
  <c r="M66" i="20"/>
  <c r="J4" i="20"/>
  <c r="G6" i="16"/>
  <c r="J6" i="16" s="1"/>
  <c r="G10" i="16"/>
  <c r="M10" i="16" s="1"/>
  <c r="G14" i="16"/>
  <c r="J14" i="16" s="1"/>
  <c r="G18" i="16"/>
  <c r="M18" i="16" s="1"/>
  <c r="G22" i="17"/>
  <c r="M22" i="17" s="1"/>
  <c r="G38" i="17"/>
  <c r="G42" i="17"/>
  <c r="M42" i="17" s="1"/>
  <c r="G50" i="17"/>
  <c r="M50" i="17" s="1"/>
  <c r="G5" i="18"/>
  <c r="J5" i="18" s="1"/>
  <c r="G45" i="18"/>
  <c r="G49" i="18"/>
  <c r="M49" i="18" s="1"/>
  <c r="G73" i="18"/>
  <c r="M73" i="18" s="1"/>
  <c r="G77" i="18"/>
  <c r="J77" i="18" s="1"/>
  <c r="G93" i="18"/>
  <c r="M93" i="18" s="1"/>
  <c r="M17" i="19"/>
  <c r="J25" i="19"/>
  <c r="M97" i="19"/>
  <c r="M93" i="19"/>
  <c r="M86" i="20"/>
  <c r="H140" i="1"/>
  <c r="H149" i="1"/>
  <c r="F163" i="1"/>
  <c r="H121" i="1"/>
  <c r="H167" i="1"/>
  <c r="H101" i="1"/>
  <c r="H130" i="1"/>
  <c r="H102" i="1"/>
  <c r="H168" i="1"/>
  <c r="H164" i="1"/>
  <c r="G98" i="19"/>
  <c r="M98" i="19" s="1"/>
  <c r="G94" i="19"/>
  <c r="M94" i="19" s="1"/>
  <c r="G75" i="19"/>
  <c r="M75" i="19" s="1"/>
  <c r="J61" i="19"/>
  <c r="F165" i="1"/>
  <c r="H166" i="1"/>
  <c r="F169" i="1"/>
  <c r="G68" i="20"/>
  <c r="J68" i="20" s="1"/>
  <c r="G83" i="20"/>
  <c r="M83" i="20" s="1"/>
  <c r="M67" i="20"/>
  <c r="J84" i="20"/>
  <c r="J85" i="20"/>
  <c r="G29" i="20"/>
  <c r="G30" i="20"/>
  <c r="M30" i="20" s="1"/>
  <c r="G39" i="20"/>
  <c r="J39" i="20" s="1"/>
  <c r="G42" i="20"/>
  <c r="M42" i="20" s="1"/>
  <c r="G22" i="20"/>
  <c r="M22" i="20" s="1"/>
  <c r="G26" i="20"/>
  <c r="J26" i="20" s="1"/>
  <c r="G10" i="20"/>
  <c r="J10" i="20" s="1"/>
  <c r="G11" i="20"/>
  <c r="M11" i="20" s="1"/>
  <c r="J13" i="20"/>
  <c r="J36" i="20"/>
  <c r="M36" i="20"/>
  <c r="M9" i="20"/>
  <c r="M19" i="20"/>
  <c r="M45" i="20"/>
  <c r="G33" i="20"/>
  <c r="M33" i="20" s="1"/>
  <c r="G34" i="20"/>
  <c r="M34" i="20" s="1"/>
  <c r="G50" i="20"/>
  <c r="J50" i="20" s="1"/>
  <c r="M5" i="20"/>
  <c r="G7" i="20"/>
  <c r="J7" i="20" s="1"/>
  <c r="J15" i="20"/>
  <c r="G18" i="20"/>
  <c r="M18" i="20" s="1"/>
  <c r="M49" i="20"/>
  <c r="G51" i="20"/>
  <c r="M51" i="20" s="1"/>
  <c r="J62" i="20"/>
  <c r="G72" i="20"/>
  <c r="J72" i="20" s="1"/>
  <c r="M75" i="20"/>
  <c r="J87" i="20"/>
  <c r="G6" i="20"/>
  <c r="J6" i="20" s="1"/>
  <c r="J30" i="20"/>
  <c r="G40" i="20"/>
  <c r="J40" i="20" s="1"/>
  <c r="G69" i="20"/>
  <c r="J69" i="20" s="1"/>
  <c r="G20" i="20"/>
  <c r="J20" i="20" s="1"/>
  <c r="G38" i="20"/>
  <c r="J38" i="20" s="1"/>
  <c r="G46" i="20"/>
  <c r="J46" i="20" s="1"/>
  <c r="J55" i="20"/>
  <c r="M71" i="20"/>
  <c r="G73" i="20"/>
  <c r="J73" i="20" s="1"/>
  <c r="M54" i="20"/>
  <c r="J54" i="20"/>
  <c r="M58" i="20"/>
  <c r="J17" i="20"/>
  <c r="G28" i="20"/>
  <c r="J28" i="20" s="1"/>
  <c r="G32" i="20"/>
  <c r="M32" i="20" s="1"/>
  <c r="J60" i="20"/>
  <c r="G16" i="20"/>
  <c r="J16" i="20" s="1"/>
  <c r="G24" i="20"/>
  <c r="M44" i="20"/>
  <c r="M48" i="20"/>
  <c r="J52" i="20"/>
  <c r="J53" i="20"/>
  <c r="J56" i="20"/>
  <c r="M70" i="20"/>
  <c r="J88" i="20"/>
  <c r="J89" i="20"/>
  <c r="M57" i="20"/>
  <c r="J57" i="20"/>
  <c r="J22" i="20"/>
  <c r="J64" i="20"/>
  <c r="M4" i="20"/>
  <c r="M8" i="20"/>
  <c r="J12" i="20"/>
  <c r="J24" i="20"/>
  <c r="M37" i="20"/>
  <c r="M41" i="20"/>
  <c r="M47" i="20"/>
  <c r="M99" i="20"/>
  <c r="G21" i="20"/>
  <c r="J21" i="20" s="1"/>
  <c r="G23" i="20"/>
  <c r="J23" i="20" s="1"/>
  <c r="G25" i="20"/>
  <c r="J25" i="20" s="1"/>
  <c r="G27" i="20"/>
  <c r="M27" i="20" s="1"/>
  <c r="J31" i="20"/>
  <c r="G77" i="20"/>
  <c r="J77" i="20" s="1"/>
  <c r="G79" i="20"/>
  <c r="J79" i="20" s="1"/>
  <c r="G81" i="20"/>
  <c r="J81" i="20" s="1"/>
  <c r="J92" i="20"/>
  <c r="J94" i="20"/>
  <c r="J96" i="20"/>
  <c r="J14" i="20"/>
  <c r="M24" i="20"/>
  <c r="G59" i="20"/>
  <c r="M59" i="20" s="1"/>
  <c r="J61" i="20"/>
  <c r="J63" i="20"/>
  <c r="J65" i="20"/>
  <c r="G76" i="20"/>
  <c r="J76" i="20" s="1"/>
  <c r="G78" i="20"/>
  <c r="J78" i="20" s="1"/>
  <c r="G80" i="20"/>
  <c r="J80" i="20" s="1"/>
  <c r="G82" i="20"/>
  <c r="M82" i="20" s="1"/>
  <c r="M90" i="20"/>
  <c r="G91" i="20"/>
  <c r="M91" i="20" s="1"/>
  <c r="J93" i="20"/>
  <c r="J95" i="20"/>
  <c r="J97" i="20"/>
  <c r="G96" i="19"/>
  <c r="M96" i="19" s="1"/>
  <c r="G95" i="19"/>
  <c r="M95" i="19" s="1"/>
  <c r="G80" i="19"/>
  <c r="J80" i="19" s="1"/>
  <c r="G64" i="19"/>
  <c r="M64" i="19" s="1"/>
  <c r="G32" i="19"/>
  <c r="M32" i="19" s="1"/>
  <c r="J29" i="19"/>
  <c r="J33" i="19"/>
  <c r="G24" i="19"/>
  <c r="J24" i="19" s="1"/>
  <c r="G16" i="19"/>
  <c r="M16" i="19" s="1"/>
  <c r="G8" i="19"/>
  <c r="M8" i="19" s="1"/>
  <c r="F160" i="1"/>
  <c r="H159" i="1"/>
  <c r="F158" i="1"/>
  <c r="F156" i="1"/>
  <c r="H155" i="1"/>
  <c r="F154" i="1"/>
  <c r="F157" i="1"/>
  <c r="J81" i="19"/>
  <c r="M81" i="19"/>
  <c r="J63" i="19"/>
  <c r="G83" i="19"/>
  <c r="M83" i="19" s="1"/>
  <c r="J23" i="19"/>
  <c r="M23" i="19"/>
  <c r="G12" i="19"/>
  <c r="J12" i="19" s="1"/>
  <c r="J31" i="19"/>
  <c r="J22" i="19"/>
  <c r="M22" i="19"/>
  <c r="J77" i="19"/>
  <c r="M77" i="19"/>
  <c r="G14" i="19"/>
  <c r="J14" i="19" s="1"/>
  <c r="G43" i="19"/>
  <c r="M43" i="19" s="1"/>
  <c r="G68" i="19"/>
  <c r="M68" i="19" s="1"/>
  <c r="G69" i="19"/>
  <c r="J69" i="19" s="1"/>
  <c r="G70" i="19"/>
  <c r="J70" i="19" s="1"/>
  <c r="G71" i="19"/>
  <c r="J71" i="19" s="1"/>
  <c r="G72" i="19"/>
  <c r="M72" i="19" s="1"/>
  <c r="G73" i="19"/>
  <c r="J73" i="19" s="1"/>
  <c r="G74" i="19"/>
  <c r="M74" i="19" s="1"/>
  <c r="J17" i="19"/>
  <c r="M26" i="19"/>
  <c r="G36" i="19"/>
  <c r="J36" i="19" s="1"/>
  <c r="G37" i="19"/>
  <c r="J37" i="19" s="1"/>
  <c r="G38" i="19"/>
  <c r="J38" i="19" s="1"/>
  <c r="G39" i="19"/>
  <c r="J39" i="19" s="1"/>
  <c r="G40" i="19"/>
  <c r="J40" i="19" s="1"/>
  <c r="G41" i="19"/>
  <c r="J41" i="19" s="1"/>
  <c r="G42" i="19"/>
  <c r="M42" i="19" s="1"/>
  <c r="J65" i="19"/>
  <c r="G67" i="19"/>
  <c r="M67" i="19" s="1"/>
  <c r="J72" i="19"/>
  <c r="M76" i="19"/>
  <c r="G84" i="19"/>
  <c r="J84" i="19" s="1"/>
  <c r="G85" i="19"/>
  <c r="M85" i="19" s="1"/>
  <c r="G86" i="19"/>
  <c r="M86" i="19" s="1"/>
  <c r="G87" i="19"/>
  <c r="J87" i="19" s="1"/>
  <c r="G88" i="19"/>
  <c r="J88" i="19" s="1"/>
  <c r="G89" i="19"/>
  <c r="J89" i="19" s="1"/>
  <c r="G90" i="19"/>
  <c r="M90" i="19" s="1"/>
  <c r="J92" i="19"/>
  <c r="J5" i="19"/>
  <c r="M5" i="19"/>
  <c r="J8" i="19"/>
  <c r="J4" i="19"/>
  <c r="J10" i="19"/>
  <c r="M10" i="19"/>
  <c r="J6" i="19"/>
  <c r="M6" i="19"/>
  <c r="M11" i="19"/>
  <c r="G35" i="19"/>
  <c r="M35" i="19" s="1"/>
  <c r="G52" i="19"/>
  <c r="M52" i="19" s="1"/>
  <c r="G53" i="19"/>
  <c r="M53" i="19" s="1"/>
  <c r="G54" i="19"/>
  <c r="J54" i="19" s="1"/>
  <c r="G55" i="19"/>
  <c r="J55" i="19" s="1"/>
  <c r="G56" i="19"/>
  <c r="M56" i="19" s="1"/>
  <c r="G57" i="19"/>
  <c r="M57" i="19" s="1"/>
  <c r="G58" i="19"/>
  <c r="M58" i="19" s="1"/>
  <c r="M70" i="19"/>
  <c r="G13" i="19"/>
  <c r="J13" i="19" s="1"/>
  <c r="G15" i="19"/>
  <c r="J16" i="19"/>
  <c r="J18" i="19"/>
  <c r="M21" i="19"/>
  <c r="M25" i="19"/>
  <c r="M34" i="19"/>
  <c r="G44" i="19"/>
  <c r="M44" i="19" s="1"/>
  <c r="G45" i="19"/>
  <c r="J45" i="19" s="1"/>
  <c r="G46" i="19"/>
  <c r="M46" i="19" s="1"/>
  <c r="G47" i="19"/>
  <c r="M47" i="19" s="1"/>
  <c r="G48" i="19"/>
  <c r="J48" i="19" s="1"/>
  <c r="G49" i="19"/>
  <c r="J49" i="19" s="1"/>
  <c r="G50" i="19"/>
  <c r="M50" i="19" s="1"/>
  <c r="G51" i="19"/>
  <c r="M51" i="19" s="1"/>
  <c r="J60" i="19"/>
  <c r="J62" i="19"/>
  <c r="J64" i="19"/>
  <c r="M66" i="19"/>
  <c r="M79" i="19"/>
  <c r="M82" i="19"/>
  <c r="J93" i="19"/>
  <c r="J95" i="19"/>
  <c r="J97" i="19"/>
  <c r="G99" i="19"/>
  <c r="M99" i="19" s="1"/>
  <c r="M7" i="19"/>
  <c r="M9" i="19"/>
  <c r="M20" i="19"/>
  <c r="M24" i="19"/>
  <c r="J28" i="19"/>
  <c r="J30" i="19"/>
  <c r="J46" i="19"/>
  <c r="M78" i="19"/>
  <c r="G96" i="18"/>
  <c r="J96" i="18" s="1"/>
  <c r="G97" i="18"/>
  <c r="M75" i="18"/>
  <c r="M26" i="18"/>
  <c r="G16" i="18"/>
  <c r="M16" i="18" s="1"/>
  <c r="H150" i="1"/>
  <c r="H146" i="1"/>
  <c r="F145" i="1"/>
  <c r="F148" i="1"/>
  <c r="F147" i="1"/>
  <c r="F151" i="1"/>
  <c r="G76" i="18"/>
  <c r="M76" i="18" s="1"/>
  <c r="J16" i="18"/>
  <c r="G8" i="18"/>
  <c r="M25" i="18"/>
  <c r="G82" i="18"/>
  <c r="M82" i="18" s="1"/>
  <c r="M23" i="18"/>
  <c r="M77" i="18"/>
  <c r="M7" i="18"/>
  <c r="G15" i="18"/>
  <c r="J15" i="18" s="1"/>
  <c r="G20" i="18"/>
  <c r="G43" i="18"/>
  <c r="M43" i="18" s="1"/>
  <c r="G80" i="18"/>
  <c r="M81" i="18"/>
  <c r="G10" i="18"/>
  <c r="J10" i="18" s="1"/>
  <c r="G19" i="18"/>
  <c r="M19" i="18" s="1"/>
  <c r="M22" i="18"/>
  <c r="G28" i="18"/>
  <c r="J28" i="18" s="1"/>
  <c r="G32" i="18"/>
  <c r="J32" i="18" s="1"/>
  <c r="G78" i="18"/>
  <c r="M78" i="18" s="1"/>
  <c r="M79" i="18"/>
  <c r="J6" i="18"/>
  <c r="M6" i="18"/>
  <c r="G17" i="18"/>
  <c r="J17" i="18" s="1"/>
  <c r="G34" i="18"/>
  <c r="M34" i="18" s="1"/>
  <c r="J44" i="18"/>
  <c r="J50" i="18"/>
  <c r="J47" i="18"/>
  <c r="J4" i="18"/>
  <c r="M9" i="18"/>
  <c r="M21" i="18"/>
  <c r="J46" i="18"/>
  <c r="J80" i="18"/>
  <c r="M80" i="18"/>
  <c r="J76" i="18"/>
  <c r="G13" i="18"/>
  <c r="J13" i="18" s="1"/>
  <c r="M24" i="18"/>
  <c r="G30" i="18"/>
  <c r="J30" i="18" s="1"/>
  <c r="M60" i="18"/>
  <c r="J60" i="18"/>
  <c r="M61" i="18"/>
  <c r="J61" i="18"/>
  <c r="M62" i="18"/>
  <c r="J62" i="18"/>
  <c r="M63" i="18"/>
  <c r="J63" i="18"/>
  <c r="M64" i="18"/>
  <c r="J64" i="18"/>
  <c r="M92" i="18"/>
  <c r="J92" i="18"/>
  <c r="J93" i="18"/>
  <c r="M94" i="18"/>
  <c r="J94" i="18"/>
  <c r="J95" i="18"/>
  <c r="M96" i="18"/>
  <c r="G66" i="18"/>
  <c r="M66" i="18" s="1"/>
  <c r="J23" i="18"/>
  <c r="J25" i="18"/>
  <c r="M27" i="18"/>
  <c r="G35" i="18"/>
  <c r="M35" i="18" s="1"/>
  <c r="J37" i="18"/>
  <c r="J39" i="18"/>
  <c r="G52" i="18"/>
  <c r="J52" i="18" s="1"/>
  <c r="G54" i="18"/>
  <c r="J54" i="18" s="1"/>
  <c r="G56" i="18"/>
  <c r="J56" i="18" s="1"/>
  <c r="G58" i="18"/>
  <c r="M58" i="18" s="1"/>
  <c r="G67" i="18"/>
  <c r="M67" i="18" s="1"/>
  <c r="J71" i="18"/>
  <c r="J73" i="18"/>
  <c r="G84" i="18"/>
  <c r="J84" i="18" s="1"/>
  <c r="G86" i="18"/>
  <c r="J86" i="18" s="1"/>
  <c r="G88" i="18"/>
  <c r="J88" i="18" s="1"/>
  <c r="G90" i="18"/>
  <c r="M90" i="18" s="1"/>
  <c r="G99" i="18"/>
  <c r="M99" i="18" s="1"/>
  <c r="G12" i="18"/>
  <c r="J12" i="18" s="1"/>
  <c r="G14" i="18"/>
  <c r="J14" i="18" s="1"/>
  <c r="G18" i="18"/>
  <c r="J18" i="18" s="1"/>
  <c r="G29" i="18"/>
  <c r="J29" i="18" s="1"/>
  <c r="G31" i="18"/>
  <c r="J31" i="18" s="1"/>
  <c r="G33" i="18"/>
  <c r="J33" i="18" s="1"/>
  <c r="J48" i="18"/>
  <c r="J49" i="18"/>
  <c r="M51" i="18"/>
  <c r="G65" i="18"/>
  <c r="J65" i="18" s="1"/>
  <c r="M83" i="18"/>
  <c r="M98" i="18"/>
  <c r="J22" i="18"/>
  <c r="J24" i="18"/>
  <c r="J26" i="18"/>
  <c r="J36" i="18"/>
  <c r="J38" i="18"/>
  <c r="J40" i="18"/>
  <c r="M42" i="18"/>
  <c r="G53" i="18"/>
  <c r="J53" i="18" s="1"/>
  <c r="G55" i="18"/>
  <c r="J55" i="18" s="1"/>
  <c r="G57" i="18"/>
  <c r="J57" i="18" s="1"/>
  <c r="J68" i="18"/>
  <c r="J70" i="18"/>
  <c r="J72" i="18"/>
  <c r="G85" i="18"/>
  <c r="J85" i="18" s="1"/>
  <c r="G87" i="18"/>
  <c r="J87" i="18" s="1"/>
  <c r="G89" i="18"/>
  <c r="J89" i="18" s="1"/>
  <c r="M91" i="18"/>
  <c r="G80" i="17"/>
  <c r="J80" i="17" s="1"/>
  <c r="G51" i="17"/>
  <c r="M51" i="17" s="1"/>
  <c r="G47" i="17"/>
  <c r="M47" i="17" s="1"/>
  <c r="G8" i="17"/>
  <c r="H141" i="1"/>
  <c r="H137" i="1"/>
  <c r="F136" i="1"/>
  <c r="F139" i="1"/>
  <c r="F138" i="1"/>
  <c r="F142" i="1"/>
  <c r="J76" i="17"/>
  <c r="M76" i="17"/>
  <c r="G88" i="17"/>
  <c r="G55" i="17"/>
  <c r="J55" i="17" s="1"/>
  <c r="G84" i="17"/>
  <c r="J84" i="17" s="1"/>
  <c r="J61" i="17"/>
  <c r="G67" i="17"/>
  <c r="M67" i="17" s="1"/>
  <c r="M7" i="17"/>
  <c r="J29" i="17"/>
  <c r="J78" i="17"/>
  <c r="M78" i="17"/>
  <c r="J26" i="17"/>
  <c r="M26" i="17"/>
  <c r="J25" i="17"/>
  <c r="M25" i="17"/>
  <c r="G14" i="17"/>
  <c r="J14" i="17" s="1"/>
  <c r="G18" i="17"/>
  <c r="J18" i="17" s="1"/>
  <c r="G52" i="17"/>
  <c r="G56" i="17"/>
  <c r="J56" i="17" s="1"/>
  <c r="G43" i="17"/>
  <c r="M43" i="17" s="1"/>
  <c r="J44" i="17"/>
  <c r="J45" i="17"/>
  <c r="J46" i="17"/>
  <c r="J49" i="17"/>
  <c r="G53" i="17"/>
  <c r="J53" i="17" s="1"/>
  <c r="G57" i="17"/>
  <c r="J57" i="17" s="1"/>
  <c r="G86" i="17"/>
  <c r="J86" i="17" s="1"/>
  <c r="G99" i="17"/>
  <c r="M99" i="17" s="1"/>
  <c r="M9" i="17"/>
  <c r="M11" i="17"/>
  <c r="G85" i="17"/>
  <c r="J85" i="17" s="1"/>
  <c r="G89" i="17"/>
  <c r="J89" i="17" s="1"/>
  <c r="G90" i="17"/>
  <c r="M90" i="17" s="1"/>
  <c r="G16" i="17"/>
  <c r="M16" i="17" s="1"/>
  <c r="J31" i="17"/>
  <c r="G35" i="17"/>
  <c r="M35" i="17" s="1"/>
  <c r="G54" i="17"/>
  <c r="J54" i="17" s="1"/>
  <c r="G58" i="17"/>
  <c r="M58" i="17" s="1"/>
  <c r="J65" i="17"/>
  <c r="G87" i="17"/>
  <c r="J87" i="17" s="1"/>
  <c r="M91" i="17"/>
  <c r="M5" i="17"/>
  <c r="J5" i="17"/>
  <c r="M6" i="17"/>
  <c r="J6" i="17"/>
  <c r="J8" i="17"/>
  <c r="M8" i="17"/>
  <c r="J10" i="17"/>
  <c r="M10" i="17"/>
  <c r="J4" i="17"/>
  <c r="G13" i="17"/>
  <c r="J13" i="17" s="1"/>
  <c r="G15" i="17"/>
  <c r="J15" i="17" s="1"/>
  <c r="G17" i="17"/>
  <c r="J17" i="17" s="1"/>
  <c r="G19" i="17"/>
  <c r="M19" i="17" s="1"/>
  <c r="J21" i="17"/>
  <c r="J23" i="17"/>
  <c r="M34" i="17"/>
  <c r="J36" i="17"/>
  <c r="J37" i="17"/>
  <c r="J39" i="17"/>
  <c r="J40" i="17"/>
  <c r="J41" i="17"/>
  <c r="M56" i="17"/>
  <c r="J68" i="17"/>
  <c r="J69" i="17"/>
  <c r="J70" i="17"/>
  <c r="J71" i="17"/>
  <c r="J72" i="17"/>
  <c r="J73" i="17"/>
  <c r="M77" i="17"/>
  <c r="M81" i="17"/>
  <c r="J93" i="17"/>
  <c r="G98" i="17"/>
  <c r="M98" i="17" s="1"/>
  <c r="M14" i="17"/>
  <c r="M18" i="17"/>
  <c r="J28" i="17"/>
  <c r="J30" i="17"/>
  <c r="J60" i="17"/>
  <c r="J62" i="17"/>
  <c r="J64" i="17"/>
  <c r="M66" i="17"/>
  <c r="M83" i="17"/>
  <c r="M97" i="17"/>
  <c r="J50" i="17"/>
  <c r="J47" i="17"/>
  <c r="G12" i="17"/>
  <c r="M12" i="17" s="1"/>
  <c r="J20" i="17"/>
  <c r="J22" i="17"/>
  <c r="M84" i="17"/>
  <c r="J92" i="17"/>
  <c r="J94" i="17"/>
  <c r="J22" i="16"/>
  <c r="J49" i="16"/>
  <c r="G23" i="16"/>
  <c r="J23" i="16" s="1"/>
  <c r="H131" i="1"/>
  <c r="H127" i="1"/>
  <c r="F126" i="1"/>
  <c r="F129" i="1"/>
  <c r="F128" i="1"/>
  <c r="F132" i="1"/>
  <c r="M49" i="16"/>
  <c r="G43" i="16"/>
  <c r="M43" i="16" s="1"/>
  <c r="G44" i="16"/>
  <c r="J44" i="16" s="1"/>
  <c r="G45" i="16"/>
  <c r="M45" i="16" s="1"/>
  <c r="G46" i="16"/>
  <c r="G47" i="16"/>
  <c r="M47" i="16" s="1"/>
  <c r="G48" i="16"/>
  <c r="J48" i="16" s="1"/>
  <c r="G50" i="16"/>
  <c r="M50" i="16" s="1"/>
  <c r="G67" i="16"/>
  <c r="M67" i="16" s="1"/>
  <c r="G68" i="16"/>
  <c r="G69" i="16"/>
  <c r="G70" i="16"/>
  <c r="M70" i="16" s="1"/>
  <c r="G71" i="16"/>
  <c r="J71" i="16" s="1"/>
  <c r="G72" i="16"/>
  <c r="G73" i="16"/>
  <c r="M73" i="16" s="1"/>
  <c r="M81" i="16"/>
  <c r="J28" i="16"/>
  <c r="M32" i="16"/>
  <c r="J32" i="16"/>
  <c r="J60" i="16"/>
  <c r="M64" i="16"/>
  <c r="M65" i="16"/>
  <c r="M92" i="16"/>
  <c r="J92" i="16"/>
  <c r="M11" i="16"/>
  <c r="J11" i="16"/>
  <c r="M15" i="16"/>
  <c r="J15" i="16"/>
  <c r="M29" i="16"/>
  <c r="J29" i="16"/>
  <c r="G35" i="16"/>
  <c r="J35" i="16" s="1"/>
  <c r="G36" i="16"/>
  <c r="J36" i="16" s="1"/>
  <c r="G37" i="16"/>
  <c r="M37" i="16" s="1"/>
  <c r="G38" i="16"/>
  <c r="M38" i="16" s="1"/>
  <c r="G39" i="16"/>
  <c r="G40" i="16"/>
  <c r="J40" i="16" s="1"/>
  <c r="G41" i="16"/>
  <c r="M42" i="16"/>
  <c r="M61" i="16"/>
  <c r="J61" i="16"/>
  <c r="M93" i="16"/>
  <c r="J93" i="16"/>
  <c r="M16" i="16"/>
  <c r="J16" i="16"/>
  <c r="M30" i="16"/>
  <c r="J30" i="16"/>
  <c r="G34" i="16"/>
  <c r="M34" i="16" s="1"/>
  <c r="J38" i="16"/>
  <c r="J39" i="16"/>
  <c r="G51" i="16"/>
  <c r="J51" i="16" s="1"/>
  <c r="G52" i="16"/>
  <c r="G53" i="16"/>
  <c r="M53" i="16" s="1"/>
  <c r="G54" i="16"/>
  <c r="M54" i="16" s="1"/>
  <c r="G55" i="16"/>
  <c r="J55" i="16" s="1"/>
  <c r="G56" i="16"/>
  <c r="M56" i="16" s="1"/>
  <c r="G57" i="16"/>
  <c r="M57" i="16" s="1"/>
  <c r="M62" i="16"/>
  <c r="J62" i="16"/>
  <c r="G66" i="16"/>
  <c r="M66" i="16" s="1"/>
  <c r="J67" i="16"/>
  <c r="J68" i="16"/>
  <c r="J69" i="16"/>
  <c r="J72" i="16"/>
  <c r="G83" i="16"/>
  <c r="M83" i="16" s="1"/>
  <c r="G84" i="16"/>
  <c r="M84" i="16" s="1"/>
  <c r="G85" i="16"/>
  <c r="M85" i="16" s="1"/>
  <c r="G86" i="16"/>
  <c r="M86" i="16" s="1"/>
  <c r="G87" i="16"/>
  <c r="M87" i="16" s="1"/>
  <c r="G88" i="16"/>
  <c r="M88" i="16" s="1"/>
  <c r="G89" i="16"/>
  <c r="M89" i="16" s="1"/>
  <c r="M94" i="16"/>
  <c r="J94" i="16"/>
  <c r="G98" i="16"/>
  <c r="M98" i="16" s="1"/>
  <c r="M13" i="16"/>
  <c r="J13" i="16"/>
  <c r="M17" i="16"/>
  <c r="J17" i="16"/>
  <c r="J31" i="16"/>
  <c r="M33" i="16"/>
  <c r="M35" i="16"/>
  <c r="M39" i="16"/>
  <c r="M40" i="16"/>
  <c r="J54" i="16"/>
  <c r="J56" i="16"/>
  <c r="M59" i="16"/>
  <c r="J63" i="16"/>
  <c r="M68" i="16"/>
  <c r="M69" i="16"/>
  <c r="M71" i="16"/>
  <c r="M72" i="16"/>
  <c r="G82" i="16"/>
  <c r="M82" i="16" s="1"/>
  <c r="J85" i="16"/>
  <c r="J86" i="16"/>
  <c r="M91" i="16"/>
  <c r="J91" i="16"/>
  <c r="M95" i="16"/>
  <c r="J95" i="16"/>
  <c r="M3" i="16"/>
  <c r="M5" i="16"/>
  <c r="M6" i="16"/>
  <c r="M8" i="16"/>
  <c r="M9" i="16"/>
  <c r="M19" i="16"/>
  <c r="M20" i="16"/>
  <c r="M21" i="16"/>
  <c r="M22" i="16"/>
  <c r="M23" i="16"/>
  <c r="M25" i="16"/>
  <c r="M75" i="16"/>
  <c r="M76" i="16"/>
  <c r="M77" i="16"/>
  <c r="M78" i="16"/>
  <c r="M79" i="16"/>
  <c r="M80" i="16"/>
  <c r="M97" i="15"/>
  <c r="G64" i="15"/>
  <c r="J64" i="15" s="1"/>
  <c r="M65" i="15"/>
  <c r="J29" i="15"/>
  <c r="H122" i="1"/>
  <c r="H118" i="1"/>
  <c r="F117" i="1"/>
  <c r="F120" i="1"/>
  <c r="F119" i="1"/>
  <c r="F123" i="1"/>
  <c r="G83" i="15"/>
  <c r="M83" i="15" s="1"/>
  <c r="G84" i="15"/>
  <c r="M84" i="15" s="1"/>
  <c r="G85" i="15"/>
  <c r="M85" i="15" s="1"/>
  <c r="G86" i="15"/>
  <c r="J86" i="15" s="1"/>
  <c r="G88" i="15"/>
  <c r="M88" i="15" s="1"/>
  <c r="G89" i="15"/>
  <c r="M89" i="15" s="1"/>
  <c r="G98" i="15"/>
  <c r="M98" i="15" s="1"/>
  <c r="M31" i="15"/>
  <c r="J31" i="15"/>
  <c r="J21" i="15"/>
  <c r="M21" i="15"/>
  <c r="J30" i="15"/>
  <c r="J27" i="15"/>
  <c r="J32" i="15"/>
  <c r="J25" i="15"/>
  <c r="M25" i="15"/>
  <c r="J8" i="15"/>
  <c r="J6" i="15"/>
  <c r="M6" i="15"/>
  <c r="J23" i="15"/>
  <c r="M23" i="15"/>
  <c r="J4" i="15"/>
  <c r="M4" i="15"/>
  <c r="M81" i="15"/>
  <c r="J28" i="15"/>
  <c r="G34" i="15"/>
  <c r="G51" i="15"/>
  <c r="M51" i="15" s="1"/>
  <c r="G52" i="15"/>
  <c r="M52" i="15" s="1"/>
  <c r="G53" i="15"/>
  <c r="M53" i="15" s="1"/>
  <c r="G54" i="15"/>
  <c r="J54" i="15" s="1"/>
  <c r="G55" i="15"/>
  <c r="G56" i="15"/>
  <c r="G87" i="15"/>
  <c r="M87" i="15" s="1"/>
  <c r="M34" i="15"/>
  <c r="M19" i="15"/>
  <c r="M64" i="15"/>
  <c r="J92" i="15"/>
  <c r="M92" i="15"/>
  <c r="J96" i="15"/>
  <c r="M96" i="15"/>
  <c r="M5" i="15"/>
  <c r="M9" i="15"/>
  <c r="J12" i="15"/>
  <c r="J14" i="15"/>
  <c r="J16" i="15"/>
  <c r="M22" i="15"/>
  <c r="G35" i="15"/>
  <c r="M35" i="15" s="1"/>
  <c r="G36" i="15"/>
  <c r="J36" i="15" s="1"/>
  <c r="G37" i="15"/>
  <c r="J37" i="15" s="1"/>
  <c r="G38" i="15"/>
  <c r="M38" i="15" s="1"/>
  <c r="G39" i="15"/>
  <c r="J39" i="15" s="1"/>
  <c r="G40" i="15"/>
  <c r="J40" i="15" s="1"/>
  <c r="G41" i="15"/>
  <c r="M42" i="15"/>
  <c r="J60" i="15"/>
  <c r="G67" i="15"/>
  <c r="J67" i="15" s="1"/>
  <c r="G68" i="15"/>
  <c r="J68" i="15" s="1"/>
  <c r="G69" i="15"/>
  <c r="M69" i="15" s="1"/>
  <c r="G70" i="15"/>
  <c r="J70" i="15" s="1"/>
  <c r="G71" i="15"/>
  <c r="J71" i="15" s="1"/>
  <c r="G72" i="15"/>
  <c r="J72" i="15" s="1"/>
  <c r="G73" i="15"/>
  <c r="M73" i="15" s="1"/>
  <c r="M93" i="15"/>
  <c r="J93" i="15"/>
  <c r="G57" i="15"/>
  <c r="J62" i="15"/>
  <c r="M62" i="15"/>
  <c r="G66" i="15"/>
  <c r="J69" i="15"/>
  <c r="M94" i="15"/>
  <c r="J94" i="15"/>
  <c r="M3" i="15"/>
  <c r="M7" i="15"/>
  <c r="J11" i="15"/>
  <c r="J15" i="15"/>
  <c r="J17" i="15"/>
  <c r="M20" i="15"/>
  <c r="M24" i="15"/>
  <c r="M33" i="15"/>
  <c r="M39" i="15"/>
  <c r="G43" i="15"/>
  <c r="M43" i="15" s="1"/>
  <c r="G44" i="15"/>
  <c r="J44" i="15" s="1"/>
  <c r="G45" i="15"/>
  <c r="M45" i="15" s="1"/>
  <c r="G46" i="15"/>
  <c r="M46" i="15" s="1"/>
  <c r="G47" i="15"/>
  <c r="M47" i="15" s="1"/>
  <c r="G48" i="15"/>
  <c r="J48" i="15" s="1"/>
  <c r="G49" i="15"/>
  <c r="M49" i="15" s="1"/>
  <c r="G50" i="15"/>
  <c r="M50" i="15" s="1"/>
  <c r="J51" i="15"/>
  <c r="J59" i="15"/>
  <c r="J61" i="15"/>
  <c r="M63" i="15"/>
  <c r="J63" i="15"/>
  <c r="M66" i="15"/>
  <c r="M67" i="15"/>
  <c r="M71" i="15"/>
  <c r="G82" i="15"/>
  <c r="M82" i="15" s="1"/>
  <c r="J84" i="15"/>
  <c r="J87" i="15"/>
  <c r="M91" i="15"/>
  <c r="J91" i="15"/>
  <c r="J95" i="15"/>
  <c r="M95" i="15"/>
  <c r="M76" i="15"/>
  <c r="M80" i="15"/>
  <c r="J75" i="15"/>
  <c r="J78" i="15"/>
  <c r="J79" i="15"/>
  <c r="M60" i="14"/>
  <c r="G96" i="14"/>
  <c r="J96" i="14" s="1"/>
  <c r="G32" i="14"/>
  <c r="M32" i="14" s="1"/>
  <c r="G24" i="14"/>
  <c r="G16" i="14"/>
  <c r="G8" i="14"/>
  <c r="H111" i="1"/>
  <c r="F110" i="1"/>
  <c r="H107" i="1"/>
  <c r="H108" i="1"/>
  <c r="H112" i="1"/>
  <c r="F109" i="1"/>
  <c r="F113" i="1"/>
  <c r="J53" i="14"/>
  <c r="J54" i="14"/>
  <c r="J55" i="14"/>
  <c r="J57" i="14"/>
  <c r="M53" i="14"/>
  <c r="M54" i="14"/>
  <c r="M55" i="14"/>
  <c r="M57" i="14"/>
  <c r="J64" i="14"/>
  <c r="M52" i="14"/>
  <c r="J52" i="14"/>
  <c r="M28" i="14"/>
  <c r="J28" i="14"/>
  <c r="M16" i="14"/>
  <c r="J16" i="14"/>
  <c r="J8" i="14"/>
  <c r="M8" i="14"/>
  <c r="J25" i="14"/>
  <c r="M25" i="14"/>
  <c r="G35" i="14"/>
  <c r="M35" i="14" s="1"/>
  <c r="G44" i="14"/>
  <c r="J44" i="14" s="1"/>
  <c r="G45" i="14"/>
  <c r="G46" i="14"/>
  <c r="J46" i="14" s="1"/>
  <c r="G47" i="14"/>
  <c r="G48" i="14"/>
  <c r="J48" i="14" s="1"/>
  <c r="G49" i="14"/>
  <c r="G50" i="14"/>
  <c r="J50" i="14" s="1"/>
  <c r="G51" i="14"/>
  <c r="M51" i="14" s="1"/>
  <c r="M34" i="14"/>
  <c r="J7" i="14"/>
  <c r="M7" i="14"/>
  <c r="J24" i="14"/>
  <c r="M24" i="14"/>
  <c r="J21" i="14"/>
  <c r="M21" i="14"/>
  <c r="M66" i="14"/>
  <c r="M82" i="14"/>
  <c r="G97" i="14"/>
  <c r="J97" i="14" s="1"/>
  <c r="J12" i="14"/>
  <c r="J62" i="14"/>
  <c r="G98" i="14"/>
  <c r="M98" i="14" s="1"/>
  <c r="J18" i="14"/>
  <c r="M20" i="14"/>
  <c r="J30" i="14"/>
  <c r="J60" i="14"/>
  <c r="G83" i="14"/>
  <c r="M83" i="14" s="1"/>
  <c r="J4" i="14"/>
  <c r="M4" i="14"/>
  <c r="G43" i="14"/>
  <c r="J45" i="14"/>
  <c r="J49" i="14"/>
  <c r="G68" i="14"/>
  <c r="J68" i="14" s="1"/>
  <c r="G69" i="14"/>
  <c r="J69" i="14" s="1"/>
  <c r="G70" i="14"/>
  <c r="J70" i="14" s="1"/>
  <c r="G71" i="14"/>
  <c r="M71" i="14" s="1"/>
  <c r="G72" i="14"/>
  <c r="J72" i="14" s="1"/>
  <c r="G73" i="14"/>
  <c r="J73" i="14" s="1"/>
  <c r="G74" i="14"/>
  <c r="M74" i="14" s="1"/>
  <c r="J94" i="14"/>
  <c r="M94" i="14"/>
  <c r="J93" i="14"/>
  <c r="M6" i="14"/>
  <c r="M10" i="14"/>
  <c r="J13" i="14"/>
  <c r="J15" i="14"/>
  <c r="J17" i="14"/>
  <c r="M23" i="14"/>
  <c r="G36" i="14"/>
  <c r="M36" i="14" s="1"/>
  <c r="G37" i="14"/>
  <c r="M37" i="14" s="1"/>
  <c r="G38" i="14"/>
  <c r="M38" i="14" s="1"/>
  <c r="G39" i="14"/>
  <c r="M39" i="14" s="1"/>
  <c r="G40" i="14"/>
  <c r="G41" i="14"/>
  <c r="M41" i="14" s="1"/>
  <c r="G42" i="14"/>
  <c r="M42" i="14" s="1"/>
  <c r="M43" i="14"/>
  <c r="M44" i="14"/>
  <c r="M45" i="14"/>
  <c r="M49" i="14"/>
  <c r="J61" i="14"/>
  <c r="J63" i="14"/>
  <c r="J65" i="14"/>
  <c r="G67" i="14"/>
  <c r="M67" i="14" s="1"/>
  <c r="G84" i="14"/>
  <c r="M84" i="14" s="1"/>
  <c r="G85" i="14"/>
  <c r="M85" i="14" s="1"/>
  <c r="G86" i="14"/>
  <c r="M86" i="14" s="1"/>
  <c r="G87" i="14"/>
  <c r="J87" i="14" s="1"/>
  <c r="G88" i="14"/>
  <c r="G89" i="14"/>
  <c r="M89" i="14" s="1"/>
  <c r="G90" i="14"/>
  <c r="M90" i="14" s="1"/>
  <c r="J95" i="14"/>
  <c r="M95" i="14"/>
  <c r="G99" i="14"/>
  <c r="M99" i="14" s="1"/>
  <c r="M5" i="14"/>
  <c r="M22" i="14"/>
  <c r="M26" i="14"/>
  <c r="J29" i="14"/>
  <c r="J31" i="14"/>
  <c r="J33" i="14"/>
  <c r="J39" i="14"/>
  <c r="M69" i="14"/>
  <c r="M73" i="14"/>
  <c r="J86" i="14"/>
  <c r="M92" i="14"/>
  <c r="J92" i="14"/>
  <c r="M96" i="14"/>
  <c r="M78" i="14"/>
  <c r="M87" i="14"/>
  <c r="M76" i="14"/>
  <c r="M79" i="14"/>
  <c r="M80" i="14"/>
  <c r="M81" i="14"/>
  <c r="J77" i="14"/>
  <c r="H98" i="1"/>
  <c r="F97" i="1"/>
  <c r="F99" i="1"/>
  <c r="H100" i="1"/>
  <c r="F103" i="1"/>
  <c r="D99" i="13"/>
  <c r="G99" i="13" s="1"/>
  <c r="D98" i="13"/>
  <c r="G98" i="13" s="1"/>
  <c r="M98" i="13" s="1"/>
  <c r="D97" i="13"/>
  <c r="G97" i="13" s="1"/>
  <c r="M97" i="13" s="1"/>
  <c r="D96" i="13"/>
  <c r="G96" i="13" s="1"/>
  <c r="M96" i="13" s="1"/>
  <c r="D95" i="13"/>
  <c r="G95" i="13" s="1"/>
  <c r="M95" i="13" s="1"/>
  <c r="D94" i="13"/>
  <c r="G94" i="13" s="1"/>
  <c r="M94" i="13" s="1"/>
  <c r="D93" i="13"/>
  <c r="G93" i="13" s="1"/>
  <c r="M93" i="13" s="1"/>
  <c r="D92" i="13"/>
  <c r="G92" i="13" s="1"/>
  <c r="M92" i="13" s="1"/>
  <c r="L91" i="13"/>
  <c r="D91" i="13"/>
  <c r="D90" i="13"/>
  <c r="G90" i="13" s="1"/>
  <c r="D89" i="13"/>
  <c r="G89" i="13" s="1"/>
  <c r="M89" i="13" s="1"/>
  <c r="D88" i="13"/>
  <c r="G88" i="13" s="1"/>
  <c r="M88" i="13" s="1"/>
  <c r="D87" i="13"/>
  <c r="G87" i="13" s="1"/>
  <c r="M87" i="13" s="1"/>
  <c r="D86" i="13"/>
  <c r="G86" i="13" s="1"/>
  <c r="M86" i="13" s="1"/>
  <c r="D85" i="13"/>
  <c r="G85" i="13" s="1"/>
  <c r="M85" i="13" s="1"/>
  <c r="D84" i="13"/>
  <c r="G84" i="13" s="1"/>
  <c r="M84" i="13" s="1"/>
  <c r="D83" i="13"/>
  <c r="D82" i="13"/>
  <c r="D81" i="13"/>
  <c r="G81" i="13" s="1"/>
  <c r="J81" i="13" s="1"/>
  <c r="D80" i="13"/>
  <c r="D79" i="13"/>
  <c r="G79" i="13" s="1"/>
  <c r="M79" i="13" s="1"/>
  <c r="D78" i="13"/>
  <c r="G78" i="13" s="1"/>
  <c r="D77" i="13"/>
  <c r="G77" i="13" s="1"/>
  <c r="M77" i="13" s="1"/>
  <c r="D76" i="13"/>
  <c r="G76" i="13" s="1"/>
  <c r="M76" i="13" s="1"/>
  <c r="D75" i="13"/>
  <c r="G75" i="13" s="1"/>
  <c r="M75" i="13" s="1"/>
  <c r="D74" i="13"/>
  <c r="D73" i="13"/>
  <c r="D72" i="13"/>
  <c r="D71" i="13"/>
  <c r="D70" i="13"/>
  <c r="D69" i="13"/>
  <c r="D68" i="13"/>
  <c r="D67" i="13"/>
  <c r="G67" i="13" s="1"/>
  <c r="D66" i="13"/>
  <c r="G66" i="13" s="1"/>
  <c r="M66" i="13" s="1"/>
  <c r="D65" i="13"/>
  <c r="G65" i="13" s="1"/>
  <c r="D64" i="13"/>
  <c r="G64" i="13" s="1"/>
  <c r="J64" i="13" s="1"/>
  <c r="D63" i="13"/>
  <c r="G63" i="13" s="1"/>
  <c r="J63" i="13" s="1"/>
  <c r="D62" i="13"/>
  <c r="G62" i="13" s="1"/>
  <c r="G61" i="13"/>
  <c r="J61" i="13" s="1"/>
  <c r="D61" i="13"/>
  <c r="D60" i="13"/>
  <c r="G60" i="13" s="1"/>
  <c r="J60" i="13" s="1"/>
  <c r="D59" i="13"/>
  <c r="G59" i="13" s="1"/>
  <c r="M59" i="13" s="1"/>
  <c r="L58" i="13"/>
  <c r="D58" i="13"/>
  <c r="G58" i="13" s="1"/>
  <c r="D57" i="13"/>
  <c r="G57" i="13" s="1"/>
  <c r="M57" i="13" s="1"/>
  <c r="D56" i="13"/>
  <c r="G56" i="13" s="1"/>
  <c r="M56" i="13" s="1"/>
  <c r="D55" i="13"/>
  <c r="G55" i="13" s="1"/>
  <c r="M55" i="13" s="1"/>
  <c r="D54" i="13"/>
  <c r="G54" i="13" s="1"/>
  <c r="M54" i="13" s="1"/>
  <c r="D53" i="13"/>
  <c r="G53" i="13" s="1"/>
  <c r="M53" i="13" s="1"/>
  <c r="D52" i="13"/>
  <c r="G52" i="13" s="1"/>
  <c r="M52" i="13" s="1"/>
  <c r="D51" i="13"/>
  <c r="D50" i="13"/>
  <c r="G50" i="13" s="1"/>
  <c r="J50" i="13" s="1"/>
  <c r="D49" i="13"/>
  <c r="D48" i="13"/>
  <c r="D47" i="13"/>
  <c r="G47" i="13" s="1"/>
  <c r="J47" i="13" s="1"/>
  <c r="D46" i="13"/>
  <c r="G46" i="13" s="1"/>
  <c r="J46" i="13" s="1"/>
  <c r="D45" i="13"/>
  <c r="D44" i="13"/>
  <c r="L43" i="13"/>
  <c r="D43" i="13"/>
  <c r="G43" i="13" s="1"/>
  <c r="L42" i="13"/>
  <c r="D42" i="13"/>
  <c r="D41" i="13"/>
  <c r="D40" i="13"/>
  <c r="D39" i="13"/>
  <c r="G39" i="13" s="1"/>
  <c r="J39" i="13" s="1"/>
  <c r="I38" i="13"/>
  <c r="D38" i="13"/>
  <c r="D37" i="13"/>
  <c r="L36" i="13"/>
  <c r="D36" i="13"/>
  <c r="G36" i="13" s="1"/>
  <c r="J36" i="13" s="1"/>
  <c r="D35" i="13"/>
  <c r="G35" i="13" s="1"/>
  <c r="D34" i="13"/>
  <c r="G34" i="13" s="1"/>
  <c r="D33" i="13"/>
  <c r="G33" i="13" s="1"/>
  <c r="D32" i="13"/>
  <c r="G32" i="13" s="1"/>
  <c r="J32" i="13" s="1"/>
  <c r="D31" i="13"/>
  <c r="G31" i="13" s="1"/>
  <c r="J31" i="13" s="1"/>
  <c r="D30" i="13"/>
  <c r="G30" i="13" s="1"/>
  <c r="D29" i="13"/>
  <c r="G29" i="13" s="1"/>
  <c r="J29" i="13" s="1"/>
  <c r="D28" i="13"/>
  <c r="G28" i="13" s="1"/>
  <c r="J28" i="13" s="1"/>
  <c r="D27" i="13"/>
  <c r="G27" i="13" s="1"/>
  <c r="M27" i="13" s="1"/>
  <c r="D26" i="13"/>
  <c r="G26" i="13" s="1"/>
  <c r="M26" i="13" s="1"/>
  <c r="D25" i="13"/>
  <c r="G25" i="13" s="1"/>
  <c r="M25" i="13" s="1"/>
  <c r="D24" i="13"/>
  <c r="G24" i="13" s="1"/>
  <c r="M24" i="13" s="1"/>
  <c r="D23" i="13"/>
  <c r="G23" i="13" s="1"/>
  <c r="M23" i="13" s="1"/>
  <c r="D22" i="13"/>
  <c r="G22" i="13" s="1"/>
  <c r="M22" i="13" s="1"/>
  <c r="D21" i="13"/>
  <c r="G21" i="13" s="1"/>
  <c r="M21" i="13" s="1"/>
  <c r="D20" i="13"/>
  <c r="G20" i="13" s="1"/>
  <c r="M20" i="13" s="1"/>
  <c r="L19" i="13"/>
  <c r="D19" i="13"/>
  <c r="G19" i="13" s="1"/>
  <c r="M19" i="13" s="1"/>
  <c r="D18" i="13"/>
  <c r="G18" i="13" s="1"/>
  <c r="J18" i="13" s="1"/>
  <c r="D17" i="13"/>
  <c r="G17" i="13" s="1"/>
  <c r="J17" i="13" s="1"/>
  <c r="D16" i="13"/>
  <c r="G16" i="13" s="1"/>
  <c r="G15" i="13"/>
  <c r="J15" i="13" s="1"/>
  <c r="D15" i="13"/>
  <c r="I14" i="13"/>
  <c r="D14" i="13"/>
  <c r="G14" i="13" s="1"/>
  <c r="J14" i="13" s="1"/>
  <c r="D13" i="13"/>
  <c r="G13" i="13" s="1"/>
  <c r="L12" i="13"/>
  <c r="I12" i="13"/>
  <c r="D12" i="13"/>
  <c r="G12" i="13" s="1"/>
  <c r="J12" i="13" s="1"/>
  <c r="D11" i="13"/>
  <c r="G11" i="13" s="1"/>
  <c r="M11" i="13" s="1"/>
  <c r="D10" i="13"/>
  <c r="G10" i="13" s="1"/>
  <c r="M10" i="13" s="1"/>
  <c r="D9" i="13"/>
  <c r="G9" i="13" s="1"/>
  <c r="M9" i="13" s="1"/>
  <c r="D8" i="13"/>
  <c r="G8" i="13" s="1"/>
  <c r="M8" i="13" s="1"/>
  <c r="D7" i="13"/>
  <c r="G7" i="13" s="1"/>
  <c r="M7" i="13" s="1"/>
  <c r="D6" i="13"/>
  <c r="G6" i="13" s="1"/>
  <c r="M6" i="13" s="1"/>
  <c r="D5" i="13"/>
  <c r="G5" i="13" s="1"/>
  <c r="M5" i="13" s="1"/>
  <c r="D4" i="13"/>
  <c r="G4" i="13" s="1"/>
  <c r="M4" i="13" s="1"/>
  <c r="L99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0" i="12"/>
  <c r="L39" i="12"/>
  <c r="L38" i="12"/>
  <c r="L37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7" i="12"/>
  <c r="L16" i="12"/>
  <c r="L15" i="12"/>
  <c r="L14" i="12"/>
  <c r="L13" i="12"/>
  <c r="L11" i="12"/>
  <c r="L9" i="12"/>
  <c r="L8" i="12"/>
  <c r="L7" i="12"/>
  <c r="L4" i="12"/>
  <c r="I97" i="12"/>
  <c r="I96" i="12"/>
  <c r="I95" i="12"/>
  <c r="I98" i="12"/>
  <c r="I94" i="12"/>
  <c r="I93" i="12"/>
  <c r="I90" i="12"/>
  <c r="I89" i="12"/>
  <c r="I87" i="12"/>
  <c r="I88" i="12"/>
  <c r="I86" i="12"/>
  <c r="I85" i="12"/>
  <c r="I84" i="12"/>
  <c r="I81" i="12"/>
  <c r="I80" i="12"/>
  <c r="I79" i="12"/>
  <c r="I78" i="12"/>
  <c r="I77" i="12"/>
  <c r="I76" i="12"/>
  <c r="I74" i="12"/>
  <c r="I73" i="12"/>
  <c r="I72" i="12"/>
  <c r="I71" i="12"/>
  <c r="I70" i="12"/>
  <c r="I69" i="12"/>
  <c r="I68" i="12"/>
  <c r="I65" i="12"/>
  <c r="I64" i="12"/>
  <c r="I66" i="12"/>
  <c r="I63" i="12"/>
  <c r="I62" i="12"/>
  <c r="I61" i="12"/>
  <c r="I60" i="12"/>
  <c r="I58" i="12"/>
  <c r="I57" i="12"/>
  <c r="I56" i="12"/>
  <c r="I55" i="12"/>
  <c r="I54" i="12"/>
  <c r="I53" i="12"/>
  <c r="I52" i="12"/>
  <c r="I48" i="12"/>
  <c r="I50" i="12"/>
  <c r="I46" i="12"/>
  <c r="I45" i="12"/>
  <c r="I44" i="12"/>
  <c r="I41" i="12"/>
  <c r="I40" i="12"/>
  <c r="I39" i="12"/>
  <c r="I38" i="12"/>
  <c r="I37" i="12"/>
  <c r="I36" i="12"/>
  <c r="I33" i="12"/>
  <c r="I32" i="12"/>
  <c r="I31" i="12"/>
  <c r="I30" i="12"/>
  <c r="I29" i="12"/>
  <c r="I28" i="12"/>
  <c r="I26" i="12"/>
  <c r="I25" i="12"/>
  <c r="I24" i="12"/>
  <c r="I23" i="12"/>
  <c r="I22" i="12"/>
  <c r="I21" i="12"/>
  <c r="I20" i="12"/>
  <c r="I17" i="12"/>
  <c r="I16" i="12"/>
  <c r="I15" i="12"/>
  <c r="I14" i="12"/>
  <c r="I13" i="12"/>
  <c r="I9" i="12"/>
  <c r="I8" i="12"/>
  <c r="I7" i="12"/>
  <c r="I10" i="12"/>
  <c r="I6" i="12"/>
  <c r="I5" i="12"/>
  <c r="I4" i="12"/>
  <c r="F93" i="12"/>
  <c r="F94" i="12"/>
  <c r="F95" i="12"/>
  <c r="F96" i="12"/>
  <c r="F97" i="12"/>
  <c r="F98" i="12"/>
  <c r="F99" i="12"/>
  <c r="F92" i="12"/>
  <c r="F85" i="12"/>
  <c r="F86" i="12"/>
  <c r="F87" i="12"/>
  <c r="F88" i="12"/>
  <c r="F89" i="12"/>
  <c r="F90" i="12"/>
  <c r="F91" i="12"/>
  <c r="F84" i="12"/>
  <c r="F77" i="12"/>
  <c r="F78" i="12"/>
  <c r="F79" i="12"/>
  <c r="F80" i="12"/>
  <c r="F81" i="12"/>
  <c r="F82" i="12"/>
  <c r="F83" i="12"/>
  <c r="F76" i="12"/>
  <c r="F69" i="12"/>
  <c r="F70" i="12"/>
  <c r="F71" i="12"/>
  <c r="F72" i="12"/>
  <c r="F73" i="12"/>
  <c r="F74" i="12"/>
  <c r="F75" i="12"/>
  <c r="F68" i="12"/>
  <c r="F61" i="12"/>
  <c r="F62" i="12"/>
  <c r="F63" i="12"/>
  <c r="F64" i="12"/>
  <c r="F65" i="12"/>
  <c r="F66" i="12"/>
  <c r="F67" i="12"/>
  <c r="F60" i="12"/>
  <c r="F52" i="12"/>
  <c r="F45" i="12"/>
  <c r="F46" i="12"/>
  <c r="F47" i="12"/>
  <c r="F48" i="12"/>
  <c r="F49" i="12"/>
  <c r="F50" i="12"/>
  <c r="F51" i="12"/>
  <c r="F44" i="12"/>
  <c r="F37" i="12"/>
  <c r="F38" i="12"/>
  <c r="F39" i="12"/>
  <c r="F40" i="12"/>
  <c r="F41" i="12"/>
  <c r="F42" i="12"/>
  <c r="F43" i="12"/>
  <c r="F36" i="12"/>
  <c r="F35" i="12"/>
  <c r="F29" i="12"/>
  <c r="F30" i="12"/>
  <c r="F31" i="12"/>
  <c r="F32" i="12"/>
  <c r="F33" i="12"/>
  <c r="F34" i="12"/>
  <c r="F28" i="12"/>
  <c r="F21" i="12"/>
  <c r="F22" i="12"/>
  <c r="F23" i="12"/>
  <c r="F24" i="12"/>
  <c r="F25" i="12"/>
  <c r="F26" i="12"/>
  <c r="F27" i="12"/>
  <c r="F20" i="12"/>
  <c r="F13" i="12"/>
  <c r="F14" i="12"/>
  <c r="F15" i="12"/>
  <c r="F16" i="12"/>
  <c r="F17" i="12"/>
  <c r="F18" i="12"/>
  <c r="F19" i="12"/>
  <c r="F12" i="12"/>
  <c r="F5" i="12"/>
  <c r="F6" i="12"/>
  <c r="F7" i="12"/>
  <c r="F8" i="12"/>
  <c r="F9" i="12"/>
  <c r="F10" i="12"/>
  <c r="F11" i="12"/>
  <c r="F4" i="12"/>
  <c r="E85" i="1"/>
  <c r="H85" i="1" s="1"/>
  <c r="E84" i="1"/>
  <c r="F84" i="1" s="1"/>
  <c r="E83" i="1"/>
  <c r="H83" i="1" s="1"/>
  <c r="E82" i="1"/>
  <c r="F82" i="1" s="1"/>
  <c r="E81" i="1"/>
  <c r="H81" i="1" s="1"/>
  <c r="E80" i="1"/>
  <c r="F80" i="1" s="1"/>
  <c r="E79" i="1"/>
  <c r="H79" i="1" s="1"/>
  <c r="C53" i="12"/>
  <c r="C54" i="12"/>
  <c r="D54" i="12" s="1"/>
  <c r="C55" i="12"/>
  <c r="D55" i="12" s="1"/>
  <c r="G55" i="12" s="1"/>
  <c r="J55" i="12" s="1"/>
  <c r="C56" i="12"/>
  <c r="C57" i="12"/>
  <c r="C58" i="12"/>
  <c r="D58" i="12" s="1"/>
  <c r="C59" i="12"/>
  <c r="D59" i="12" s="1"/>
  <c r="G59" i="12" s="1"/>
  <c r="C60" i="12"/>
  <c r="D60" i="12" s="1"/>
  <c r="C61" i="12"/>
  <c r="C62" i="12"/>
  <c r="D62" i="12" s="1"/>
  <c r="C63" i="12"/>
  <c r="D63" i="12" s="1"/>
  <c r="C64" i="12"/>
  <c r="D64" i="12" s="1"/>
  <c r="C65" i="12"/>
  <c r="D65" i="12" s="1"/>
  <c r="C66" i="12"/>
  <c r="C67" i="12"/>
  <c r="D67" i="12" s="1"/>
  <c r="G67" i="12" s="1"/>
  <c r="M67" i="12" s="1"/>
  <c r="C68" i="12"/>
  <c r="D68" i="12" s="1"/>
  <c r="G68" i="12" s="1"/>
  <c r="C69" i="12"/>
  <c r="C70" i="12"/>
  <c r="D70" i="12" s="1"/>
  <c r="G70" i="12" s="1"/>
  <c r="C71" i="12"/>
  <c r="D71" i="12" s="1"/>
  <c r="G71" i="12" s="1"/>
  <c r="C72" i="12"/>
  <c r="D72" i="12" s="1"/>
  <c r="C73" i="12"/>
  <c r="C74" i="12"/>
  <c r="D74" i="12" s="1"/>
  <c r="G74" i="12" s="1"/>
  <c r="C75" i="12"/>
  <c r="D75" i="12" s="1"/>
  <c r="C76" i="12"/>
  <c r="D76" i="12" s="1"/>
  <c r="G76" i="12" s="1"/>
  <c r="C77" i="12"/>
  <c r="C78" i="12"/>
  <c r="D78" i="12" s="1"/>
  <c r="G78" i="12" s="1"/>
  <c r="M78" i="12" s="1"/>
  <c r="C79" i="12"/>
  <c r="D79" i="12" s="1"/>
  <c r="C80" i="12"/>
  <c r="D80" i="12" s="1"/>
  <c r="C81" i="12"/>
  <c r="C82" i="12"/>
  <c r="D82" i="12" s="1"/>
  <c r="G82" i="12" s="1"/>
  <c r="M82" i="12" s="1"/>
  <c r="C83" i="12"/>
  <c r="D83" i="12" s="1"/>
  <c r="G83" i="12" s="1"/>
  <c r="C84" i="12"/>
  <c r="D84" i="12" s="1"/>
  <c r="C85" i="12"/>
  <c r="C86" i="12"/>
  <c r="D86" i="12" s="1"/>
  <c r="C87" i="12"/>
  <c r="D87" i="12" s="1"/>
  <c r="G87" i="12" s="1"/>
  <c r="J87" i="12" s="1"/>
  <c r="C88" i="12"/>
  <c r="D88" i="12" s="1"/>
  <c r="C89" i="12"/>
  <c r="C90" i="12"/>
  <c r="C91" i="12"/>
  <c r="D91" i="12" s="1"/>
  <c r="G91" i="12" s="1"/>
  <c r="C92" i="12"/>
  <c r="D92" i="12" s="1"/>
  <c r="C93" i="12"/>
  <c r="C94" i="12"/>
  <c r="C95" i="12"/>
  <c r="D95" i="12" s="1"/>
  <c r="C96" i="12"/>
  <c r="D96" i="12" s="1"/>
  <c r="C97" i="12"/>
  <c r="D97" i="12" s="1"/>
  <c r="C98" i="12"/>
  <c r="C99" i="12"/>
  <c r="D99" i="12" s="1"/>
  <c r="C52" i="12"/>
  <c r="C5" i="12"/>
  <c r="C6" i="12"/>
  <c r="D6" i="12" s="1"/>
  <c r="C7" i="12"/>
  <c r="D7" i="12" s="1"/>
  <c r="G7" i="12" s="1"/>
  <c r="J7" i="12" s="1"/>
  <c r="C8" i="12"/>
  <c r="C9" i="12"/>
  <c r="C10" i="12"/>
  <c r="D10" i="12" s="1"/>
  <c r="C11" i="12"/>
  <c r="D11" i="12" s="1"/>
  <c r="G11" i="12" s="1"/>
  <c r="C12" i="12"/>
  <c r="C13" i="12"/>
  <c r="C14" i="12"/>
  <c r="D14" i="12" s="1"/>
  <c r="C15" i="12"/>
  <c r="D15" i="12" s="1"/>
  <c r="G15" i="12" s="1"/>
  <c r="C16" i="12"/>
  <c r="C17" i="12"/>
  <c r="C18" i="12"/>
  <c r="D18" i="12" s="1"/>
  <c r="C19" i="12"/>
  <c r="C20" i="12"/>
  <c r="D20" i="12" s="1"/>
  <c r="C21" i="12"/>
  <c r="D21" i="12" s="1"/>
  <c r="C22" i="12"/>
  <c r="D22" i="12" s="1"/>
  <c r="G22" i="12" s="1"/>
  <c r="J22" i="12" s="1"/>
  <c r="C23" i="12"/>
  <c r="D23" i="12" s="1"/>
  <c r="C24" i="12"/>
  <c r="D24" i="12" s="1"/>
  <c r="C25" i="12"/>
  <c r="C26" i="12"/>
  <c r="D26" i="12" s="1"/>
  <c r="C27" i="12"/>
  <c r="D27" i="12" s="1"/>
  <c r="C28" i="12"/>
  <c r="C29" i="12"/>
  <c r="C30" i="12"/>
  <c r="D30" i="12" s="1"/>
  <c r="G30" i="12" s="1"/>
  <c r="M30" i="12" s="1"/>
  <c r="C31" i="12"/>
  <c r="C32" i="12"/>
  <c r="C33" i="12"/>
  <c r="C34" i="12"/>
  <c r="D34" i="12" s="1"/>
  <c r="G34" i="12" s="1"/>
  <c r="C35" i="12"/>
  <c r="C36" i="12"/>
  <c r="D36" i="12" s="1"/>
  <c r="C37" i="12"/>
  <c r="D37" i="12" s="1"/>
  <c r="C38" i="12"/>
  <c r="D38" i="12" s="1"/>
  <c r="G38" i="12" s="1"/>
  <c r="M38" i="12" s="1"/>
  <c r="C39" i="12"/>
  <c r="D39" i="12" s="1"/>
  <c r="G39" i="12" s="1"/>
  <c r="M39" i="12" s="1"/>
  <c r="C40" i="12"/>
  <c r="C41" i="12"/>
  <c r="C42" i="12"/>
  <c r="D42" i="12" s="1"/>
  <c r="C43" i="12"/>
  <c r="D43" i="12" s="1"/>
  <c r="C44" i="12"/>
  <c r="D44" i="12" s="1"/>
  <c r="C45" i="12"/>
  <c r="C46" i="12"/>
  <c r="D46" i="12" s="1"/>
  <c r="C47" i="12"/>
  <c r="D47" i="12" s="1"/>
  <c r="G47" i="12" s="1"/>
  <c r="M47" i="12" s="1"/>
  <c r="C48" i="12"/>
  <c r="D48" i="12" s="1"/>
  <c r="C49" i="12"/>
  <c r="C50" i="12"/>
  <c r="D50" i="12" s="1"/>
  <c r="C51" i="12"/>
  <c r="D51" i="12" s="1"/>
  <c r="G51" i="12" s="1"/>
  <c r="C4" i="12"/>
  <c r="L98" i="12"/>
  <c r="D98" i="12"/>
  <c r="D94" i="12"/>
  <c r="D93" i="12"/>
  <c r="I92" i="12"/>
  <c r="D90" i="12"/>
  <c r="D89" i="12"/>
  <c r="D85" i="12"/>
  <c r="G85" i="12" s="1"/>
  <c r="J85" i="12" s="1"/>
  <c r="I82" i="12"/>
  <c r="G81" i="12"/>
  <c r="M81" i="12" s="1"/>
  <c r="D81" i="12"/>
  <c r="D77" i="12"/>
  <c r="G77" i="12" s="1"/>
  <c r="M77" i="12" s="1"/>
  <c r="D73" i="12"/>
  <c r="G73" i="12" s="1"/>
  <c r="D69" i="12"/>
  <c r="G69" i="12" s="1"/>
  <c r="D66" i="12"/>
  <c r="D61" i="12"/>
  <c r="D57" i="12"/>
  <c r="G57" i="12" s="1"/>
  <c r="J57" i="12" s="1"/>
  <c r="D56" i="12"/>
  <c r="D53" i="12"/>
  <c r="G53" i="12" s="1"/>
  <c r="D52" i="12"/>
  <c r="D49" i="12"/>
  <c r="G49" i="12" s="1"/>
  <c r="M49" i="12" s="1"/>
  <c r="D45" i="12"/>
  <c r="L43" i="12"/>
  <c r="L42" i="12"/>
  <c r="D41" i="12"/>
  <c r="D40" i="12"/>
  <c r="L36" i="12"/>
  <c r="D35" i="12"/>
  <c r="I34" i="12"/>
  <c r="D33" i="12"/>
  <c r="D32" i="12"/>
  <c r="D31" i="12"/>
  <c r="G31" i="12" s="1"/>
  <c r="M31" i="12" s="1"/>
  <c r="D29" i="12"/>
  <c r="D28" i="12"/>
  <c r="G28" i="12" s="1"/>
  <c r="M28" i="12" s="1"/>
  <c r="D25" i="12"/>
  <c r="L19" i="12"/>
  <c r="D19" i="12"/>
  <c r="G19" i="12" s="1"/>
  <c r="M19" i="12" s="1"/>
  <c r="L18" i="12"/>
  <c r="I18" i="12"/>
  <c r="D17" i="12"/>
  <c r="G17" i="12" s="1"/>
  <c r="D16" i="12"/>
  <c r="D13" i="12"/>
  <c r="L12" i="12"/>
  <c r="I12" i="12"/>
  <c r="D12" i="12"/>
  <c r="L10" i="12"/>
  <c r="D9" i="12"/>
  <c r="D8" i="12"/>
  <c r="D5" i="12"/>
  <c r="D4" i="12"/>
  <c r="G4" i="12" s="1"/>
  <c r="J4" i="12" s="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1" i="11"/>
  <c r="L40" i="11"/>
  <c r="L39" i="11"/>
  <c r="L38" i="11"/>
  <c r="L37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7" i="11"/>
  <c r="L16" i="11"/>
  <c r="L15" i="11"/>
  <c r="L14" i="11"/>
  <c r="L13" i="11"/>
  <c r="L11" i="11"/>
  <c r="L10" i="11"/>
  <c r="L9" i="11"/>
  <c r="L8" i="11"/>
  <c r="L7" i="11"/>
  <c r="L6" i="11"/>
  <c r="L5" i="11"/>
  <c r="L4" i="11"/>
  <c r="I97" i="11"/>
  <c r="I96" i="11"/>
  <c r="I95" i="11"/>
  <c r="I94" i="11"/>
  <c r="I93" i="11"/>
  <c r="I92" i="11"/>
  <c r="I90" i="11"/>
  <c r="I89" i="11"/>
  <c r="I88" i="11"/>
  <c r="I87" i="11"/>
  <c r="I86" i="11"/>
  <c r="I85" i="11"/>
  <c r="I84" i="11"/>
  <c r="I81" i="11"/>
  <c r="I80" i="11"/>
  <c r="I79" i="11"/>
  <c r="I78" i="11"/>
  <c r="I77" i="11"/>
  <c r="I76" i="11"/>
  <c r="I73" i="11"/>
  <c r="I72" i="11"/>
  <c r="I71" i="11"/>
  <c r="I70" i="11"/>
  <c r="I69" i="11"/>
  <c r="I68" i="11"/>
  <c r="I66" i="11"/>
  <c r="I65" i="11"/>
  <c r="I64" i="11"/>
  <c r="I63" i="11"/>
  <c r="I62" i="11"/>
  <c r="I61" i="11"/>
  <c r="I60" i="11"/>
  <c r="I57" i="11"/>
  <c r="I56" i="11"/>
  <c r="I55" i="11"/>
  <c r="I58" i="11"/>
  <c r="I54" i="11"/>
  <c r="I53" i="11"/>
  <c r="I52" i="11"/>
  <c r="I50" i="11"/>
  <c r="I49" i="11"/>
  <c r="I48" i="11"/>
  <c r="I47" i="11"/>
  <c r="I46" i="11"/>
  <c r="I45" i="11"/>
  <c r="I44" i="11"/>
  <c r="I36" i="11"/>
  <c r="I41" i="11"/>
  <c r="I40" i="11"/>
  <c r="I39" i="11"/>
  <c r="I33" i="11"/>
  <c r="I32" i="11"/>
  <c r="I31" i="11"/>
  <c r="I30" i="11"/>
  <c r="I29" i="11"/>
  <c r="I28" i="11"/>
  <c r="I25" i="11"/>
  <c r="I24" i="11"/>
  <c r="I23" i="11"/>
  <c r="I26" i="11"/>
  <c r="I22" i="11"/>
  <c r="I21" i="11"/>
  <c r="I20" i="11"/>
  <c r="I17" i="11"/>
  <c r="I16" i="11"/>
  <c r="I15" i="11"/>
  <c r="I14" i="11"/>
  <c r="I13" i="11"/>
  <c r="I12" i="11"/>
  <c r="I10" i="11"/>
  <c r="I9" i="11"/>
  <c r="I8" i="11"/>
  <c r="I7" i="11"/>
  <c r="I6" i="11"/>
  <c r="I5" i="11"/>
  <c r="I4" i="11"/>
  <c r="F93" i="11"/>
  <c r="F94" i="11"/>
  <c r="F95" i="11"/>
  <c r="F96" i="11"/>
  <c r="F97" i="11"/>
  <c r="F98" i="11"/>
  <c r="F99" i="11"/>
  <c r="F92" i="11"/>
  <c r="F85" i="11"/>
  <c r="F86" i="11"/>
  <c r="F87" i="11"/>
  <c r="F88" i="11"/>
  <c r="F89" i="11"/>
  <c r="F90" i="11"/>
  <c r="F91" i="11"/>
  <c r="F84" i="11"/>
  <c r="F77" i="11"/>
  <c r="F78" i="11"/>
  <c r="F79" i="11"/>
  <c r="F80" i="11"/>
  <c r="F81" i="11"/>
  <c r="F82" i="11"/>
  <c r="F83" i="11"/>
  <c r="F76" i="11"/>
  <c r="F69" i="11"/>
  <c r="F70" i="11"/>
  <c r="F71" i="11"/>
  <c r="F72" i="11"/>
  <c r="F73" i="11"/>
  <c r="F74" i="11"/>
  <c r="F75" i="11"/>
  <c r="F68" i="11"/>
  <c r="F61" i="11"/>
  <c r="F62" i="11"/>
  <c r="F63" i="11"/>
  <c r="F64" i="11"/>
  <c r="F65" i="11"/>
  <c r="F66" i="11"/>
  <c r="F67" i="11"/>
  <c r="F60" i="11"/>
  <c r="F53" i="11"/>
  <c r="F54" i="11"/>
  <c r="F55" i="11"/>
  <c r="F56" i="11"/>
  <c r="F57" i="11"/>
  <c r="F58" i="11"/>
  <c r="F59" i="11"/>
  <c r="F52" i="11"/>
  <c r="F45" i="11"/>
  <c r="G45" i="11" s="1"/>
  <c r="J45" i="11" s="1"/>
  <c r="F46" i="11"/>
  <c r="F47" i="11"/>
  <c r="G47" i="11" s="1"/>
  <c r="J47" i="11" s="1"/>
  <c r="F48" i="11"/>
  <c r="F49" i="11"/>
  <c r="F50" i="11"/>
  <c r="F51" i="11"/>
  <c r="F44" i="11"/>
  <c r="F37" i="11"/>
  <c r="F38" i="11"/>
  <c r="F39" i="11"/>
  <c r="F40" i="11"/>
  <c r="F41" i="11"/>
  <c r="F42" i="11"/>
  <c r="F43" i="11"/>
  <c r="F36" i="11"/>
  <c r="F29" i="11"/>
  <c r="F30" i="11"/>
  <c r="F31" i="11"/>
  <c r="F32" i="11"/>
  <c r="F33" i="11"/>
  <c r="F34" i="11"/>
  <c r="F35" i="11"/>
  <c r="F28" i="11"/>
  <c r="F21" i="11"/>
  <c r="F22" i="11"/>
  <c r="F23" i="11"/>
  <c r="F24" i="11"/>
  <c r="F25" i="11"/>
  <c r="F26" i="11"/>
  <c r="F27" i="11"/>
  <c r="F20" i="11"/>
  <c r="F13" i="11"/>
  <c r="F14" i="11"/>
  <c r="G14" i="11" s="1"/>
  <c r="M14" i="11" s="1"/>
  <c r="F15" i="11"/>
  <c r="F16" i="11"/>
  <c r="F17" i="11"/>
  <c r="F18" i="11"/>
  <c r="F19" i="11"/>
  <c r="F12" i="11"/>
  <c r="F5" i="11"/>
  <c r="F6" i="11"/>
  <c r="F7" i="11"/>
  <c r="F8" i="11"/>
  <c r="F9" i="11"/>
  <c r="F10" i="11"/>
  <c r="F11" i="11"/>
  <c r="F4" i="11"/>
  <c r="E94" i="1"/>
  <c r="H94" i="1" s="1"/>
  <c r="E93" i="1"/>
  <c r="F93" i="1" s="1"/>
  <c r="E92" i="1"/>
  <c r="H92" i="1" s="1"/>
  <c r="E91" i="1"/>
  <c r="H91" i="1" s="1"/>
  <c r="E90" i="1"/>
  <c r="H90" i="1" s="1"/>
  <c r="E89" i="1"/>
  <c r="F89" i="1" s="1"/>
  <c r="E88" i="1"/>
  <c r="H88" i="1" s="1"/>
  <c r="C53" i="11"/>
  <c r="C54" i="11"/>
  <c r="C55" i="11"/>
  <c r="D55" i="11" s="1"/>
  <c r="C56" i="11"/>
  <c r="D56" i="11" s="1"/>
  <c r="C57" i="11"/>
  <c r="C58" i="11"/>
  <c r="C59" i="11"/>
  <c r="C60" i="11"/>
  <c r="D60" i="11" s="1"/>
  <c r="G60" i="11" s="1"/>
  <c r="C61" i="11"/>
  <c r="C62" i="11"/>
  <c r="D62" i="11" s="1"/>
  <c r="C63" i="11"/>
  <c r="D63" i="11" s="1"/>
  <c r="C64" i="11"/>
  <c r="D64" i="11" s="1"/>
  <c r="C65" i="11"/>
  <c r="C66" i="11"/>
  <c r="D66" i="11" s="1"/>
  <c r="C67" i="11"/>
  <c r="C68" i="11"/>
  <c r="D68" i="11" s="1"/>
  <c r="C69" i="11"/>
  <c r="C70" i="11"/>
  <c r="C71" i="11"/>
  <c r="D71" i="11" s="1"/>
  <c r="C72" i="11"/>
  <c r="D72" i="11" s="1"/>
  <c r="C73" i="11"/>
  <c r="C74" i="11"/>
  <c r="C75" i="11"/>
  <c r="D75" i="11" s="1"/>
  <c r="C76" i="11"/>
  <c r="D76" i="11" s="1"/>
  <c r="G76" i="11" s="1"/>
  <c r="C77" i="11"/>
  <c r="C78" i="11"/>
  <c r="D78" i="11" s="1"/>
  <c r="C79" i="11"/>
  <c r="C80" i="11"/>
  <c r="D80" i="11" s="1"/>
  <c r="C81" i="11"/>
  <c r="C82" i="11"/>
  <c r="D82" i="11" s="1"/>
  <c r="C83" i="11"/>
  <c r="C84" i="11"/>
  <c r="D84" i="11" s="1"/>
  <c r="C85" i="11"/>
  <c r="C86" i="11"/>
  <c r="C87" i="11"/>
  <c r="D87" i="11" s="1"/>
  <c r="C88" i="11"/>
  <c r="D88" i="11" s="1"/>
  <c r="C89" i="11"/>
  <c r="C90" i="11"/>
  <c r="C91" i="11"/>
  <c r="D91" i="11" s="1"/>
  <c r="C92" i="11"/>
  <c r="D92" i="11" s="1"/>
  <c r="G92" i="11" s="1"/>
  <c r="C93" i="11"/>
  <c r="C94" i="11"/>
  <c r="D94" i="11" s="1"/>
  <c r="C95" i="11"/>
  <c r="C96" i="11"/>
  <c r="D96" i="11" s="1"/>
  <c r="C97" i="11"/>
  <c r="C98" i="11"/>
  <c r="D98" i="11" s="1"/>
  <c r="C99" i="11"/>
  <c r="D99" i="11" s="1"/>
  <c r="C52" i="11"/>
  <c r="D52" i="11" s="1"/>
  <c r="C5" i="11"/>
  <c r="C6" i="11"/>
  <c r="C7" i="11"/>
  <c r="C8" i="11"/>
  <c r="D8" i="11" s="1"/>
  <c r="C9" i="11"/>
  <c r="C10" i="11"/>
  <c r="D10" i="11" s="1"/>
  <c r="C11" i="11"/>
  <c r="C12" i="11"/>
  <c r="D12" i="11" s="1"/>
  <c r="G12" i="11" s="1"/>
  <c r="C13" i="11"/>
  <c r="C14" i="11"/>
  <c r="D14" i="11" s="1"/>
  <c r="C15" i="11"/>
  <c r="C16" i="11"/>
  <c r="D16" i="11" s="1"/>
  <c r="C17" i="11"/>
  <c r="C18" i="11"/>
  <c r="D18" i="11" s="1"/>
  <c r="C19" i="11"/>
  <c r="D19" i="11" s="1"/>
  <c r="C20" i="11"/>
  <c r="D20" i="11" s="1"/>
  <c r="C21" i="11"/>
  <c r="C22" i="11"/>
  <c r="C23" i="11"/>
  <c r="D23" i="11" s="1"/>
  <c r="C24" i="11"/>
  <c r="D24" i="11" s="1"/>
  <c r="C25" i="11"/>
  <c r="C26" i="11"/>
  <c r="C27" i="11"/>
  <c r="C28" i="11"/>
  <c r="D28" i="11" s="1"/>
  <c r="C29" i="11"/>
  <c r="C30" i="11"/>
  <c r="D30" i="11" s="1"/>
  <c r="C31" i="11"/>
  <c r="D31" i="11" s="1"/>
  <c r="C32" i="11"/>
  <c r="D32" i="11" s="1"/>
  <c r="C33" i="11"/>
  <c r="C34" i="11"/>
  <c r="C35" i="11"/>
  <c r="D35" i="11" s="1"/>
  <c r="G35" i="11" s="1"/>
  <c r="M35" i="11" s="1"/>
  <c r="C36" i="11"/>
  <c r="C37" i="11"/>
  <c r="C38" i="11"/>
  <c r="C39" i="11"/>
  <c r="C40" i="11"/>
  <c r="D40" i="11" s="1"/>
  <c r="C41" i="11"/>
  <c r="C42" i="11"/>
  <c r="C43" i="11"/>
  <c r="C44" i="11"/>
  <c r="D44" i="11" s="1"/>
  <c r="G44" i="11" s="1"/>
  <c r="J44" i="11" s="1"/>
  <c r="C45" i="11"/>
  <c r="C46" i="11"/>
  <c r="C47" i="11"/>
  <c r="C48" i="11"/>
  <c r="D48" i="11" s="1"/>
  <c r="C49" i="11"/>
  <c r="C50" i="11"/>
  <c r="C51" i="11"/>
  <c r="D51" i="11" s="1"/>
  <c r="C4" i="11"/>
  <c r="D4" i="11" s="1"/>
  <c r="G4" i="11" s="1"/>
  <c r="I98" i="11"/>
  <c r="D97" i="11"/>
  <c r="G97" i="11" s="1"/>
  <c r="D95" i="11"/>
  <c r="D93" i="11"/>
  <c r="D90" i="11"/>
  <c r="D89" i="11"/>
  <c r="D86" i="11"/>
  <c r="D85" i="11"/>
  <c r="D83" i="11"/>
  <c r="I82" i="11"/>
  <c r="L81" i="11"/>
  <c r="D81" i="11"/>
  <c r="G81" i="11" s="1"/>
  <c r="D79" i="11"/>
  <c r="G79" i="11" s="1"/>
  <c r="D77" i="11"/>
  <c r="I74" i="11"/>
  <c r="D74" i="11"/>
  <c r="D73" i="11"/>
  <c r="D70" i="11"/>
  <c r="D69" i="11"/>
  <c r="D67" i="11"/>
  <c r="D65" i="11"/>
  <c r="G65" i="11" s="1"/>
  <c r="D61" i="11"/>
  <c r="G61" i="11" s="1"/>
  <c r="D59" i="11"/>
  <c r="G59" i="11" s="1"/>
  <c r="M59" i="11" s="1"/>
  <c r="D58" i="11"/>
  <c r="D57" i="11"/>
  <c r="D54" i="11"/>
  <c r="D53" i="11"/>
  <c r="D50" i="11"/>
  <c r="G50" i="11" s="1"/>
  <c r="D49" i="11"/>
  <c r="G49" i="11" s="1"/>
  <c r="J49" i="11" s="1"/>
  <c r="D47" i="11"/>
  <c r="D46" i="11"/>
  <c r="G46" i="11" s="1"/>
  <c r="J46" i="11" s="1"/>
  <c r="D45" i="11"/>
  <c r="L43" i="11"/>
  <c r="D43" i="11"/>
  <c r="L42" i="11"/>
  <c r="D42" i="11"/>
  <c r="D41" i="11"/>
  <c r="G41" i="11" s="1"/>
  <c r="J41" i="11" s="1"/>
  <c r="D39" i="11"/>
  <c r="I38" i="11"/>
  <c r="D38" i="11"/>
  <c r="I37" i="11"/>
  <c r="D37" i="11"/>
  <c r="L36" i="11"/>
  <c r="D36" i="11"/>
  <c r="G36" i="11" s="1"/>
  <c r="J36" i="11" s="1"/>
  <c r="I34" i="11"/>
  <c r="D34" i="11"/>
  <c r="D33" i="11"/>
  <c r="D29" i="11"/>
  <c r="D27" i="11"/>
  <c r="D26" i="11"/>
  <c r="D25" i="11"/>
  <c r="D22" i="11"/>
  <c r="D21" i="11"/>
  <c r="L19" i="11"/>
  <c r="L18" i="11"/>
  <c r="I18" i="11"/>
  <c r="D17" i="11"/>
  <c r="D15" i="11"/>
  <c r="D13" i="11"/>
  <c r="G13" i="11" s="1"/>
  <c r="L12" i="11"/>
  <c r="D11" i="11"/>
  <c r="G11" i="11" s="1"/>
  <c r="M11" i="11" s="1"/>
  <c r="D9" i="11"/>
  <c r="G9" i="11" s="1"/>
  <c r="D7" i="11"/>
  <c r="D6" i="11"/>
  <c r="G6" i="11" s="1"/>
  <c r="D5" i="11"/>
  <c r="L99" i="10"/>
  <c r="L98" i="10"/>
  <c r="L96" i="10"/>
  <c r="L95" i="10"/>
  <c r="L94" i="10"/>
  <c r="L93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1" i="10"/>
  <c r="L40" i="10"/>
  <c r="L39" i="10"/>
  <c r="L38" i="10"/>
  <c r="L37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11" i="10"/>
  <c r="L10" i="10"/>
  <c r="L9" i="10"/>
  <c r="L8" i="10"/>
  <c r="L7" i="10"/>
  <c r="L6" i="10"/>
  <c r="L5" i="10"/>
  <c r="L4" i="10"/>
  <c r="I97" i="10"/>
  <c r="I96" i="10"/>
  <c r="I95" i="10"/>
  <c r="I98" i="10"/>
  <c r="I94" i="10"/>
  <c r="I93" i="10"/>
  <c r="I92" i="10"/>
  <c r="I89" i="10"/>
  <c r="I88" i="10"/>
  <c r="I87" i="10"/>
  <c r="I90" i="10"/>
  <c r="I86" i="10"/>
  <c r="I85" i="10"/>
  <c r="I84" i="10"/>
  <c r="I81" i="10"/>
  <c r="I80" i="10"/>
  <c r="I79" i="10"/>
  <c r="I78" i="10"/>
  <c r="I77" i="10"/>
  <c r="I76" i="10"/>
  <c r="I73" i="10"/>
  <c r="I72" i="10"/>
  <c r="I71" i="10"/>
  <c r="I74" i="10"/>
  <c r="I70" i="10"/>
  <c r="I69" i="10"/>
  <c r="I65" i="10"/>
  <c r="I64" i="10"/>
  <c r="I63" i="10"/>
  <c r="I66" i="10"/>
  <c r="I62" i="10"/>
  <c r="I61" i="10"/>
  <c r="I60" i="10"/>
  <c r="I57" i="10"/>
  <c r="I56" i="10"/>
  <c r="I55" i="10"/>
  <c r="I58" i="10"/>
  <c r="I54" i="10"/>
  <c r="I53" i="10"/>
  <c r="I52" i="10"/>
  <c r="I49" i="10"/>
  <c r="I48" i="10"/>
  <c r="I47" i="10"/>
  <c r="I50" i="10"/>
  <c r="I46" i="10"/>
  <c r="I45" i="10"/>
  <c r="I44" i="10"/>
  <c r="I41" i="10"/>
  <c r="I40" i="10"/>
  <c r="I39" i="10"/>
  <c r="I38" i="10"/>
  <c r="I36" i="10"/>
  <c r="I33" i="10"/>
  <c r="I32" i="10"/>
  <c r="I31" i="10"/>
  <c r="I34" i="10"/>
  <c r="I30" i="10"/>
  <c r="I29" i="10"/>
  <c r="I28" i="10"/>
  <c r="I25" i="10"/>
  <c r="I24" i="10"/>
  <c r="I23" i="10"/>
  <c r="I26" i="10"/>
  <c r="I22" i="10"/>
  <c r="I21" i="10"/>
  <c r="I20" i="10"/>
  <c r="I17" i="10"/>
  <c r="I16" i="10"/>
  <c r="I15" i="10"/>
  <c r="I14" i="10"/>
  <c r="I13" i="10"/>
  <c r="I12" i="10"/>
  <c r="I9" i="10"/>
  <c r="I8" i="10"/>
  <c r="I10" i="10"/>
  <c r="I7" i="10"/>
  <c r="I6" i="10"/>
  <c r="I5" i="10"/>
  <c r="I4" i="10"/>
  <c r="F93" i="10"/>
  <c r="F94" i="10"/>
  <c r="F95" i="10"/>
  <c r="F96" i="10"/>
  <c r="F97" i="10"/>
  <c r="F98" i="10"/>
  <c r="F99" i="10"/>
  <c r="F92" i="10"/>
  <c r="F85" i="10"/>
  <c r="F86" i="10"/>
  <c r="G86" i="10" s="1"/>
  <c r="F87" i="10"/>
  <c r="F88" i="10"/>
  <c r="F89" i="10"/>
  <c r="F90" i="10"/>
  <c r="F91" i="10"/>
  <c r="F84" i="10"/>
  <c r="F77" i="10"/>
  <c r="F78" i="10"/>
  <c r="F79" i="10"/>
  <c r="F80" i="10"/>
  <c r="F81" i="10"/>
  <c r="F82" i="10"/>
  <c r="F83" i="10"/>
  <c r="F76" i="10"/>
  <c r="F69" i="10"/>
  <c r="F70" i="10"/>
  <c r="F71" i="10"/>
  <c r="F72" i="10"/>
  <c r="F73" i="10"/>
  <c r="F74" i="10"/>
  <c r="F75" i="10"/>
  <c r="F68" i="10"/>
  <c r="F61" i="10"/>
  <c r="F62" i="10"/>
  <c r="F63" i="10"/>
  <c r="F64" i="10"/>
  <c r="F65" i="10"/>
  <c r="F66" i="10"/>
  <c r="F67" i="10"/>
  <c r="F60" i="10"/>
  <c r="F53" i="10"/>
  <c r="F54" i="10"/>
  <c r="F55" i="10"/>
  <c r="F56" i="10"/>
  <c r="F57" i="10"/>
  <c r="F58" i="10"/>
  <c r="F59" i="10"/>
  <c r="F52" i="10"/>
  <c r="F45" i="10"/>
  <c r="F46" i="10"/>
  <c r="F47" i="10"/>
  <c r="F48" i="10"/>
  <c r="F49" i="10"/>
  <c r="F50" i="10"/>
  <c r="F51" i="10"/>
  <c r="F44" i="10"/>
  <c r="F37" i="10"/>
  <c r="F38" i="10"/>
  <c r="F39" i="10"/>
  <c r="F40" i="10"/>
  <c r="F41" i="10"/>
  <c r="F42" i="10"/>
  <c r="F43" i="10"/>
  <c r="F36" i="10"/>
  <c r="F29" i="10"/>
  <c r="F30" i="10"/>
  <c r="F31" i="10"/>
  <c r="F32" i="10"/>
  <c r="F33" i="10"/>
  <c r="F34" i="10"/>
  <c r="F35" i="10"/>
  <c r="F28" i="10"/>
  <c r="F21" i="10"/>
  <c r="F22" i="10"/>
  <c r="F23" i="10"/>
  <c r="F24" i="10"/>
  <c r="F25" i="10"/>
  <c r="F26" i="10"/>
  <c r="F27" i="10"/>
  <c r="F20" i="10"/>
  <c r="F13" i="10"/>
  <c r="F14" i="10"/>
  <c r="F15" i="10"/>
  <c r="F16" i="10"/>
  <c r="F17" i="10"/>
  <c r="F18" i="10"/>
  <c r="F19" i="10"/>
  <c r="F12" i="10"/>
  <c r="F5" i="10"/>
  <c r="F6" i="10"/>
  <c r="F7" i="10"/>
  <c r="F8" i="10"/>
  <c r="F9" i="10"/>
  <c r="F10" i="10"/>
  <c r="F11" i="10"/>
  <c r="F4" i="10"/>
  <c r="C53" i="10"/>
  <c r="C54" i="10"/>
  <c r="C55" i="10"/>
  <c r="D55" i="10" s="1"/>
  <c r="C56" i="10"/>
  <c r="D56" i="10" s="1"/>
  <c r="C57" i="10"/>
  <c r="C58" i="10"/>
  <c r="C59" i="10"/>
  <c r="D59" i="10" s="1"/>
  <c r="G59" i="10" s="1"/>
  <c r="M59" i="10" s="1"/>
  <c r="C60" i="10"/>
  <c r="D60" i="10" s="1"/>
  <c r="G60" i="10" s="1"/>
  <c r="M60" i="10" s="1"/>
  <c r="C61" i="10"/>
  <c r="C62" i="10"/>
  <c r="C63" i="10"/>
  <c r="C64" i="10"/>
  <c r="D64" i="10" s="1"/>
  <c r="G64" i="10" s="1"/>
  <c r="M64" i="10" s="1"/>
  <c r="C65" i="10"/>
  <c r="C66" i="10"/>
  <c r="D66" i="10" s="1"/>
  <c r="G66" i="10" s="1"/>
  <c r="C67" i="10"/>
  <c r="C68" i="10"/>
  <c r="C69" i="10"/>
  <c r="C70" i="10"/>
  <c r="C71" i="10"/>
  <c r="C72" i="10"/>
  <c r="D72" i="10" s="1"/>
  <c r="C73" i="10"/>
  <c r="C74" i="10"/>
  <c r="C75" i="10"/>
  <c r="C76" i="10"/>
  <c r="D76" i="10" s="1"/>
  <c r="G76" i="10" s="1"/>
  <c r="J76" i="10" s="1"/>
  <c r="C77" i="10"/>
  <c r="C78" i="10"/>
  <c r="D78" i="10" s="1"/>
  <c r="G78" i="10" s="1"/>
  <c r="J78" i="10" s="1"/>
  <c r="C79" i="10"/>
  <c r="C80" i="10"/>
  <c r="D80" i="10" s="1"/>
  <c r="G80" i="10" s="1"/>
  <c r="C81" i="10"/>
  <c r="C82" i="10"/>
  <c r="C83" i="10"/>
  <c r="C84" i="10"/>
  <c r="D84" i="10" s="1"/>
  <c r="C85" i="10"/>
  <c r="C86" i="10"/>
  <c r="C87" i="10"/>
  <c r="C88" i="10"/>
  <c r="D88" i="10" s="1"/>
  <c r="C89" i="10"/>
  <c r="C90" i="10"/>
  <c r="D90" i="10" s="1"/>
  <c r="G90" i="10" s="1"/>
  <c r="C91" i="10"/>
  <c r="C92" i="10"/>
  <c r="D92" i="10" s="1"/>
  <c r="G92" i="10" s="1"/>
  <c r="C93" i="10"/>
  <c r="C94" i="10"/>
  <c r="D94" i="10" s="1"/>
  <c r="G94" i="10" s="1"/>
  <c r="C95" i="10"/>
  <c r="D95" i="10" s="1"/>
  <c r="C96" i="10"/>
  <c r="D96" i="10" s="1"/>
  <c r="C97" i="10"/>
  <c r="C98" i="10"/>
  <c r="D98" i="10" s="1"/>
  <c r="C99" i="10"/>
  <c r="D99" i="10" s="1"/>
  <c r="C52" i="10"/>
  <c r="D52" i="10" s="1"/>
  <c r="C5" i="10"/>
  <c r="C6" i="10"/>
  <c r="C7" i="10"/>
  <c r="D7" i="10" s="1"/>
  <c r="G7" i="10" s="1"/>
  <c r="C8" i="10"/>
  <c r="C9" i="10"/>
  <c r="C10" i="10"/>
  <c r="C11" i="10"/>
  <c r="D11" i="10" s="1"/>
  <c r="G11" i="10" s="1"/>
  <c r="M11" i="10" s="1"/>
  <c r="C12" i="10"/>
  <c r="D12" i="10" s="1"/>
  <c r="G12" i="10" s="1"/>
  <c r="J12" i="10" s="1"/>
  <c r="C13" i="10"/>
  <c r="C14" i="10"/>
  <c r="C15" i="10"/>
  <c r="D15" i="10" s="1"/>
  <c r="G15" i="10" s="1"/>
  <c r="M15" i="10" s="1"/>
  <c r="C16" i="10"/>
  <c r="D16" i="10" s="1"/>
  <c r="G16" i="10" s="1"/>
  <c r="M16" i="10" s="1"/>
  <c r="C17" i="10"/>
  <c r="C18" i="10"/>
  <c r="C19" i="10"/>
  <c r="D19" i="10" s="1"/>
  <c r="G19" i="10" s="1"/>
  <c r="C20" i="10"/>
  <c r="D20" i="10" s="1"/>
  <c r="C21" i="10"/>
  <c r="C22" i="10"/>
  <c r="C23" i="10"/>
  <c r="C24" i="10"/>
  <c r="D24" i="10" s="1"/>
  <c r="C25" i="10"/>
  <c r="C26" i="10"/>
  <c r="C27" i="10"/>
  <c r="C28" i="10"/>
  <c r="D28" i="10" s="1"/>
  <c r="G28" i="10" s="1"/>
  <c r="C29" i="10"/>
  <c r="C30" i="10"/>
  <c r="C31" i="10"/>
  <c r="D31" i="10" s="1"/>
  <c r="G31" i="10" s="1"/>
  <c r="M31" i="10" s="1"/>
  <c r="C32" i="10"/>
  <c r="D32" i="10" s="1"/>
  <c r="C33" i="10"/>
  <c r="C34" i="10"/>
  <c r="C35" i="10"/>
  <c r="D35" i="10" s="1"/>
  <c r="C36" i="10"/>
  <c r="D36" i="10" s="1"/>
  <c r="G36" i="10" s="1"/>
  <c r="M36" i="10" s="1"/>
  <c r="C37" i="10"/>
  <c r="C38" i="10"/>
  <c r="C39" i="10"/>
  <c r="D39" i="10" s="1"/>
  <c r="G39" i="10" s="1"/>
  <c r="M39" i="10" s="1"/>
  <c r="C40" i="10"/>
  <c r="D40" i="10" s="1"/>
  <c r="G40" i="10" s="1"/>
  <c r="M40" i="10" s="1"/>
  <c r="C41" i="10"/>
  <c r="C42" i="10"/>
  <c r="C43" i="10"/>
  <c r="C44" i="10"/>
  <c r="D44" i="10" s="1"/>
  <c r="G44" i="10" s="1"/>
  <c r="C45" i="10"/>
  <c r="C46" i="10"/>
  <c r="C47" i="10"/>
  <c r="D47" i="10" s="1"/>
  <c r="G47" i="10" s="1"/>
  <c r="J47" i="10" s="1"/>
  <c r="C48" i="10"/>
  <c r="D48" i="10" s="1"/>
  <c r="C49" i="10"/>
  <c r="C50" i="10"/>
  <c r="C51" i="10"/>
  <c r="D51" i="10" s="1"/>
  <c r="C4" i="10"/>
  <c r="L97" i="10"/>
  <c r="D97" i="10"/>
  <c r="G97" i="10" s="1"/>
  <c r="M97" i="10" s="1"/>
  <c r="D93" i="10"/>
  <c r="G93" i="10" s="1"/>
  <c r="L92" i="10"/>
  <c r="D91" i="10"/>
  <c r="G91" i="10" s="1"/>
  <c r="D89" i="10"/>
  <c r="G89" i="10" s="1"/>
  <c r="D87" i="10"/>
  <c r="G87" i="10" s="1"/>
  <c r="D86" i="10"/>
  <c r="D85" i="10"/>
  <c r="G85" i="10" s="1"/>
  <c r="D83" i="10"/>
  <c r="I82" i="10"/>
  <c r="D82" i="10"/>
  <c r="G82" i="10" s="1"/>
  <c r="D81" i="10"/>
  <c r="G81" i="10" s="1"/>
  <c r="D79" i="10"/>
  <c r="G79" i="10" s="1"/>
  <c r="J79" i="10" s="1"/>
  <c r="D77" i="10"/>
  <c r="G77" i="10" s="1"/>
  <c r="D75" i="10"/>
  <c r="G75" i="10" s="1"/>
  <c r="M75" i="10" s="1"/>
  <c r="D74" i="10"/>
  <c r="D73" i="10"/>
  <c r="D71" i="10"/>
  <c r="D70" i="10"/>
  <c r="D69" i="10"/>
  <c r="I68" i="10"/>
  <c r="D68" i="10"/>
  <c r="D67" i="10"/>
  <c r="D65" i="10"/>
  <c r="G65" i="10" s="1"/>
  <c r="D63" i="10"/>
  <c r="G63" i="10" s="1"/>
  <c r="M63" i="10" s="1"/>
  <c r="D62" i="10"/>
  <c r="G62" i="10" s="1"/>
  <c r="M62" i="10" s="1"/>
  <c r="D61" i="10"/>
  <c r="G61" i="10" s="1"/>
  <c r="D58" i="10"/>
  <c r="D57" i="10"/>
  <c r="D54" i="10"/>
  <c r="D53" i="10"/>
  <c r="D50" i="10"/>
  <c r="G50" i="10" s="1"/>
  <c r="D49" i="10"/>
  <c r="G49" i="10" s="1"/>
  <c r="M49" i="10" s="1"/>
  <c r="D46" i="10"/>
  <c r="G46" i="10" s="1"/>
  <c r="J46" i="10" s="1"/>
  <c r="G45" i="10"/>
  <c r="J45" i="10" s="1"/>
  <c r="D45" i="10"/>
  <c r="L43" i="10"/>
  <c r="D43" i="10"/>
  <c r="L42" i="10"/>
  <c r="D42" i="10"/>
  <c r="G42" i="10" s="1"/>
  <c r="M42" i="10" s="1"/>
  <c r="D41" i="10"/>
  <c r="G41" i="10" s="1"/>
  <c r="D38" i="10"/>
  <c r="G38" i="10" s="1"/>
  <c r="I37" i="10"/>
  <c r="D37" i="10"/>
  <c r="G37" i="10" s="1"/>
  <c r="M37" i="10" s="1"/>
  <c r="L36" i="10"/>
  <c r="D34" i="10"/>
  <c r="D33" i="10"/>
  <c r="G33" i="10" s="1"/>
  <c r="D30" i="10"/>
  <c r="G30" i="10" s="1"/>
  <c r="M30" i="10" s="1"/>
  <c r="D29" i="10"/>
  <c r="G29" i="10" s="1"/>
  <c r="D27" i="10"/>
  <c r="D26" i="10"/>
  <c r="D25" i="10"/>
  <c r="D23" i="10"/>
  <c r="D22" i="10"/>
  <c r="D21" i="10"/>
  <c r="I18" i="10"/>
  <c r="D18" i="10"/>
  <c r="G18" i="10" s="1"/>
  <c r="M18" i="10" s="1"/>
  <c r="D17" i="10"/>
  <c r="G17" i="10" s="1"/>
  <c r="D14" i="10"/>
  <c r="G14" i="10" s="1"/>
  <c r="J14" i="10" s="1"/>
  <c r="D13" i="10"/>
  <c r="G13" i="10" s="1"/>
  <c r="J13" i="10" s="1"/>
  <c r="D10" i="10"/>
  <c r="G10" i="10" s="1"/>
  <c r="D9" i="10"/>
  <c r="G9" i="10" s="1"/>
  <c r="D8" i="10"/>
  <c r="D6" i="10"/>
  <c r="G6" i="10" s="1"/>
  <c r="D5" i="10"/>
  <c r="G5" i="10" s="1"/>
  <c r="D4" i="10"/>
  <c r="G4" i="10" s="1"/>
  <c r="E66" i="1"/>
  <c r="H66" i="1" s="1"/>
  <c r="E65" i="1"/>
  <c r="F65" i="1" s="1"/>
  <c r="E64" i="1"/>
  <c r="H64" i="1" s="1"/>
  <c r="E63" i="1"/>
  <c r="H63" i="1" s="1"/>
  <c r="E62" i="1"/>
  <c r="H62" i="1" s="1"/>
  <c r="E61" i="1"/>
  <c r="F61" i="1" s="1"/>
  <c r="E60" i="1"/>
  <c r="H60" i="1" s="1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1" i="8"/>
  <c r="L40" i="8"/>
  <c r="L39" i="8"/>
  <c r="L38" i="8"/>
  <c r="L37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7" i="8"/>
  <c r="L16" i="8"/>
  <c r="L15" i="8"/>
  <c r="L14" i="8"/>
  <c r="L13" i="8"/>
  <c r="L12" i="8"/>
  <c r="L10" i="8"/>
  <c r="L9" i="8"/>
  <c r="L8" i="8"/>
  <c r="L7" i="8"/>
  <c r="L6" i="8"/>
  <c r="L5" i="8"/>
  <c r="L4" i="8"/>
  <c r="I97" i="8"/>
  <c r="I96" i="8"/>
  <c r="I95" i="8"/>
  <c r="I98" i="8"/>
  <c r="I94" i="8"/>
  <c r="I93" i="8"/>
  <c r="I92" i="8"/>
  <c r="I89" i="8"/>
  <c r="I88" i="8"/>
  <c r="I87" i="8"/>
  <c r="I90" i="8"/>
  <c r="I86" i="8"/>
  <c r="I85" i="8"/>
  <c r="I84" i="8"/>
  <c r="I81" i="8"/>
  <c r="I80" i="8"/>
  <c r="I79" i="8"/>
  <c r="I82" i="8"/>
  <c r="I78" i="8"/>
  <c r="I77" i="8"/>
  <c r="I76" i="8"/>
  <c r="I73" i="8"/>
  <c r="I72" i="8"/>
  <c r="I71" i="8"/>
  <c r="I74" i="8"/>
  <c r="I70" i="8"/>
  <c r="I69" i="8"/>
  <c r="I68" i="8"/>
  <c r="I65" i="8"/>
  <c r="I64" i="8"/>
  <c r="I63" i="8"/>
  <c r="I66" i="8"/>
  <c r="I62" i="8"/>
  <c r="I61" i="8"/>
  <c r="I60" i="8"/>
  <c r="I57" i="8"/>
  <c r="I56" i="8"/>
  <c r="I55" i="8"/>
  <c r="I58" i="8"/>
  <c r="I54" i="8"/>
  <c r="I53" i="8"/>
  <c r="I52" i="8"/>
  <c r="I49" i="8"/>
  <c r="I48" i="8"/>
  <c r="I47" i="8"/>
  <c r="I50" i="8"/>
  <c r="I46" i="8"/>
  <c r="I45" i="8"/>
  <c r="I44" i="8"/>
  <c r="I41" i="8"/>
  <c r="I40" i="8"/>
  <c r="I39" i="8"/>
  <c r="I38" i="8"/>
  <c r="I33" i="8"/>
  <c r="I32" i="8"/>
  <c r="I31" i="8"/>
  <c r="I34" i="8"/>
  <c r="I30" i="8"/>
  <c r="I29" i="8"/>
  <c r="I28" i="8"/>
  <c r="I25" i="8"/>
  <c r="I24" i="8"/>
  <c r="I26" i="8"/>
  <c r="I23" i="8"/>
  <c r="I22" i="8"/>
  <c r="I21" i="8"/>
  <c r="I20" i="8"/>
  <c r="I17" i="8"/>
  <c r="I16" i="8"/>
  <c r="I15" i="8"/>
  <c r="I18" i="8"/>
  <c r="I14" i="8"/>
  <c r="I13" i="8"/>
  <c r="I12" i="8"/>
  <c r="I8" i="8"/>
  <c r="I9" i="8"/>
  <c r="I10" i="8"/>
  <c r="I7" i="8"/>
  <c r="I6" i="8"/>
  <c r="I5" i="8"/>
  <c r="I4" i="8"/>
  <c r="F93" i="8"/>
  <c r="F94" i="8"/>
  <c r="F95" i="8"/>
  <c r="F96" i="8"/>
  <c r="F97" i="8"/>
  <c r="F98" i="8"/>
  <c r="F99" i="8"/>
  <c r="F92" i="8"/>
  <c r="F85" i="8"/>
  <c r="F86" i="8"/>
  <c r="F87" i="8"/>
  <c r="F88" i="8"/>
  <c r="F89" i="8"/>
  <c r="F90" i="8"/>
  <c r="F91" i="8"/>
  <c r="F84" i="8"/>
  <c r="F77" i="8"/>
  <c r="F78" i="8"/>
  <c r="F79" i="8"/>
  <c r="F80" i="8"/>
  <c r="F81" i="8"/>
  <c r="F82" i="8"/>
  <c r="F83" i="8"/>
  <c r="F76" i="8"/>
  <c r="F69" i="8"/>
  <c r="F70" i="8"/>
  <c r="F71" i="8"/>
  <c r="F72" i="8"/>
  <c r="F73" i="8"/>
  <c r="F74" i="8"/>
  <c r="F75" i="8"/>
  <c r="F68" i="8"/>
  <c r="F61" i="8"/>
  <c r="F62" i="8"/>
  <c r="F63" i="8"/>
  <c r="F64" i="8"/>
  <c r="F65" i="8"/>
  <c r="F66" i="8"/>
  <c r="F67" i="8"/>
  <c r="F60" i="8"/>
  <c r="F53" i="8"/>
  <c r="F54" i="8"/>
  <c r="F55" i="8"/>
  <c r="F56" i="8"/>
  <c r="F57" i="8"/>
  <c r="F58" i="8"/>
  <c r="F59" i="8"/>
  <c r="F52" i="8"/>
  <c r="F45" i="8"/>
  <c r="F46" i="8"/>
  <c r="F47" i="8"/>
  <c r="F48" i="8"/>
  <c r="F49" i="8"/>
  <c r="F50" i="8"/>
  <c r="F51" i="8"/>
  <c r="F44" i="8"/>
  <c r="F37" i="8"/>
  <c r="F38" i="8"/>
  <c r="F39" i="8"/>
  <c r="F40" i="8"/>
  <c r="F41" i="8"/>
  <c r="F42" i="8"/>
  <c r="F43" i="8"/>
  <c r="F36" i="8"/>
  <c r="F21" i="8"/>
  <c r="F22" i="8"/>
  <c r="F23" i="8"/>
  <c r="F24" i="8"/>
  <c r="F25" i="8"/>
  <c r="F26" i="8"/>
  <c r="F27" i="8"/>
  <c r="F20" i="8"/>
  <c r="F13" i="8"/>
  <c r="F14" i="8"/>
  <c r="F15" i="8"/>
  <c r="F16" i="8"/>
  <c r="F17" i="8"/>
  <c r="F18" i="8"/>
  <c r="F19" i="8"/>
  <c r="F12" i="8"/>
  <c r="F5" i="8"/>
  <c r="F6" i="8"/>
  <c r="F7" i="8"/>
  <c r="F8" i="8"/>
  <c r="F9" i="8"/>
  <c r="F10" i="8"/>
  <c r="F11" i="8"/>
  <c r="F4" i="8"/>
  <c r="E76" i="1"/>
  <c r="H76" i="1" s="1"/>
  <c r="E75" i="1"/>
  <c r="F75" i="1" s="1"/>
  <c r="E74" i="1"/>
  <c r="H74" i="1" s="1"/>
  <c r="E73" i="1"/>
  <c r="H73" i="1" s="1"/>
  <c r="E72" i="1"/>
  <c r="H72" i="1" s="1"/>
  <c r="E71" i="1"/>
  <c r="F71" i="1" s="1"/>
  <c r="E70" i="1"/>
  <c r="H70" i="1" s="1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52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4" i="8"/>
  <c r="F93" i="7"/>
  <c r="F94" i="7"/>
  <c r="F95" i="7"/>
  <c r="F96" i="7"/>
  <c r="F97" i="7"/>
  <c r="F98" i="7"/>
  <c r="F99" i="7"/>
  <c r="F92" i="7"/>
  <c r="F85" i="7"/>
  <c r="F86" i="7"/>
  <c r="F87" i="7"/>
  <c r="F88" i="7"/>
  <c r="F89" i="7"/>
  <c r="F90" i="7"/>
  <c r="F91" i="7"/>
  <c r="F84" i="7"/>
  <c r="F77" i="7"/>
  <c r="F78" i="7"/>
  <c r="F79" i="7"/>
  <c r="F80" i="7"/>
  <c r="F81" i="7"/>
  <c r="F82" i="7"/>
  <c r="F83" i="7"/>
  <c r="F76" i="7"/>
  <c r="F69" i="7"/>
  <c r="F70" i="7"/>
  <c r="F71" i="7"/>
  <c r="F72" i="7"/>
  <c r="F73" i="7"/>
  <c r="F74" i="7"/>
  <c r="F75" i="7"/>
  <c r="F68" i="7"/>
  <c r="F61" i="7"/>
  <c r="F62" i="7"/>
  <c r="F63" i="7"/>
  <c r="F64" i="7"/>
  <c r="F65" i="7"/>
  <c r="F66" i="7"/>
  <c r="F67" i="7"/>
  <c r="F60" i="7"/>
  <c r="F53" i="7"/>
  <c r="F54" i="7"/>
  <c r="F55" i="7"/>
  <c r="F56" i="7"/>
  <c r="F57" i="7"/>
  <c r="F58" i="7"/>
  <c r="F59" i="7"/>
  <c r="F52" i="7"/>
  <c r="F45" i="7"/>
  <c r="F46" i="7"/>
  <c r="F47" i="7"/>
  <c r="F48" i="7"/>
  <c r="F49" i="7"/>
  <c r="F50" i="7"/>
  <c r="F51" i="7"/>
  <c r="F44" i="7"/>
  <c r="F37" i="7"/>
  <c r="F38" i="7"/>
  <c r="F39" i="7"/>
  <c r="F40" i="7"/>
  <c r="F41" i="7"/>
  <c r="F42" i="7"/>
  <c r="F43" i="7"/>
  <c r="F36" i="7"/>
  <c r="F29" i="7"/>
  <c r="F30" i="7"/>
  <c r="F31" i="7"/>
  <c r="F32" i="7"/>
  <c r="F33" i="7"/>
  <c r="F34" i="7"/>
  <c r="F35" i="7"/>
  <c r="F28" i="7"/>
  <c r="F21" i="7"/>
  <c r="F22" i="7"/>
  <c r="F23" i="7"/>
  <c r="F24" i="7"/>
  <c r="F25" i="7"/>
  <c r="F26" i="7"/>
  <c r="F27" i="7"/>
  <c r="F20" i="7"/>
  <c r="F13" i="7"/>
  <c r="F14" i="7"/>
  <c r="F15" i="7"/>
  <c r="F16" i="7"/>
  <c r="F17" i="7"/>
  <c r="F18" i="7"/>
  <c r="F19" i="7"/>
  <c r="F12" i="7"/>
  <c r="F5" i="7"/>
  <c r="F6" i="7"/>
  <c r="F7" i="7"/>
  <c r="F8" i="7"/>
  <c r="F9" i="7"/>
  <c r="F10" i="7"/>
  <c r="F11" i="7"/>
  <c r="F4" i="7"/>
  <c r="E57" i="1"/>
  <c r="H57" i="1" s="1"/>
  <c r="E56" i="1"/>
  <c r="F56" i="1" s="1"/>
  <c r="E55" i="1"/>
  <c r="F55" i="1" s="1"/>
  <c r="E54" i="1"/>
  <c r="H54" i="1" s="1"/>
  <c r="E53" i="1"/>
  <c r="H53" i="1" s="1"/>
  <c r="E52" i="1"/>
  <c r="F52" i="1" s="1"/>
  <c r="E51" i="1"/>
  <c r="H51" i="1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5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3" i="9"/>
  <c r="F93" i="6"/>
  <c r="F94" i="6"/>
  <c r="F95" i="6"/>
  <c r="F96" i="6"/>
  <c r="F97" i="6"/>
  <c r="F98" i="6"/>
  <c r="F99" i="6"/>
  <c r="F92" i="6"/>
  <c r="F85" i="6"/>
  <c r="F86" i="6"/>
  <c r="F87" i="6"/>
  <c r="F88" i="6"/>
  <c r="F89" i="6"/>
  <c r="F90" i="6"/>
  <c r="F91" i="6"/>
  <c r="F84" i="6"/>
  <c r="F77" i="6"/>
  <c r="F78" i="6"/>
  <c r="F79" i="6"/>
  <c r="F80" i="6"/>
  <c r="F81" i="6"/>
  <c r="F82" i="6"/>
  <c r="F83" i="6"/>
  <c r="F76" i="6"/>
  <c r="F69" i="6"/>
  <c r="F70" i="6"/>
  <c r="F71" i="6"/>
  <c r="F72" i="6"/>
  <c r="F73" i="6"/>
  <c r="F74" i="6"/>
  <c r="F75" i="6"/>
  <c r="F68" i="6"/>
  <c r="F61" i="6"/>
  <c r="F62" i="6"/>
  <c r="F63" i="6"/>
  <c r="F64" i="6"/>
  <c r="F65" i="6"/>
  <c r="F66" i="6"/>
  <c r="F67" i="6"/>
  <c r="F60" i="6"/>
  <c r="F53" i="6"/>
  <c r="F54" i="6"/>
  <c r="F55" i="6"/>
  <c r="F56" i="6"/>
  <c r="F57" i="6"/>
  <c r="F58" i="6"/>
  <c r="F59" i="6"/>
  <c r="F52" i="6"/>
  <c r="F51" i="6"/>
  <c r="F45" i="6"/>
  <c r="F46" i="6"/>
  <c r="F47" i="6"/>
  <c r="F48" i="6"/>
  <c r="F49" i="6"/>
  <c r="F50" i="6"/>
  <c r="F44" i="6"/>
  <c r="F37" i="6"/>
  <c r="F38" i="6"/>
  <c r="F39" i="6"/>
  <c r="F40" i="6"/>
  <c r="F41" i="6"/>
  <c r="F42" i="6"/>
  <c r="F43" i="6"/>
  <c r="F36" i="6"/>
  <c r="F29" i="6"/>
  <c r="F30" i="6"/>
  <c r="F31" i="6"/>
  <c r="F32" i="6"/>
  <c r="F33" i="6"/>
  <c r="F34" i="6"/>
  <c r="F35" i="6"/>
  <c r="F28" i="6"/>
  <c r="F21" i="6"/>
  <c r="F22" i="6"/>
  <c r="F23" i="6"/>
  <c r="F24" i="6"/>
  <c r="F25" i="6"/>
  <c r="F26" i="6"/>
  <c r="F27" i="6"/>
  <c r="F20" i="6"/>
  <c r="F13" i="6"/>
  <c r="F14" i="6"/>
  <c r="F15" i="6"/>
  <c r="F16" i="6"/>
  <c r="F17" i="6"/>
  <c r="F18" i="6"/>
  <c r="F19" i="6"/>
  <c r="F12" i="6"/>
  <c r="C4" i="6"/>
  <c r="C5" i="6"/>
  <c r="C6" i="6"/>
  <c r="C7" i="6"/>
  <c r="C8" i="6"/>
  <c r="C9" i="6"/>
  <c r="C10" i="6"/>
  <c r="C11" i="6"/>
  <c r="C13" i="6"/>
  <c r="C14" i="6"/>
  <c r="C15" i="6"/>
  <c r="C16" i="6"/>
  <c r="C17" i="6"/>
  <c r="C18" i="6"/>
  <c r="C19" i="6"/>
  <c r="C20" i="6"/>
  <c r="C12" i="6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47" i="1"/>
  <c r="H47" i="1" s="1"/>
  <c r="E46" i="1"/>
  <c r="F46" i="1" s="1"/>
  <c r="E45" i="1"/>
  <c r="F45" i="1" s="1"/>
  <c r="E44" i="1"/>
  <c r="H44" i="1" s="1"/>
  <c r="E43" i="1"/>
  <c r="H43" i="1" s="1"/>
  <c r="E42" i="1"/>
  <c r="F42" i="1" s="1"/>
  <c r="E41" i="1"/>
  <c r="H41" i="1" s="1"/>
  <c r="E22" i="1"/>
  <c r="F22" i="1" s="1"/>
  <c r="E23" i="1"/>
  <c r="F23" i="1" s="1"/>
  <c r="E24" i="1"/>
  <c r="H24" i="1" s="1"/>
  <c r="E25" i="1"/>
  <c r="F25" i="1" s="1"/>
  <c r="E26" i="1"/>
  <c r="F26" i="1" s="1"/>
  <c r="E27" i="1"/>
  <c r="F27" i="1" s="1"/>
  <c r="E21" i="1"/>
  <c r="H27" i="1"/>
  <c r="H23" i="1"/>
  <c r="H16" i="1"/>
  <c r="H12" i="1"/>
  <c r="F13" i="1"/>
  <c r="F14" i="1"/>
  <c r="F15" i="1"/>
  <c r="F17" i="1"/>
  <c r="F18" i="1"/>
  <c r="F12" i="1"/>
  <c r="H17" i="1"/>
  <c r="H18" i="1"/>
  <c r="H15" i="1"/>
  <c r="H14" i="1"/>
  <c r="H13" i="1"/>
  <c r="M57" i="15" l="1"/>
  <c r="J57" i="15"/>
  <c r="M41" i="16"/>
  <c r="J41" i="16"/>
  <c r="M41" i="18"/>
  <c r="J41" i="18"/>
  <c r="J79" i="17"/>
  <c r="M79" i="17"/>
  <c r="J7" i="16"/>
  <c r="M7" i="16"/>
  <c r="J56" i="14"/>
  <c r="M56" i="14"/>
  <c r="M48" i="17"/>
  <c r="J48" i="17"/>
  <c r="M96" i="16"/>
  <c r="J96" i="16"/>
  <c r="J4" i="16"/>
  <c r="M4" i="16"/>
  <c r="J9" i="14"/>
  <c r="M9" i="14"/>
  <c r="J77" i="15"/>
  <c r="M77" i="15"/>
  <c r="G79" i="12"/>
  <c r="M79" i="12" s="1"/>
  <c r="J90" i="12"/>
  <c r="M88" i="14"/>
  <c r="J88" i="14"/>
  <c r="M40" i="14"/>
  <c r="J40" i="14"/>
  <c r="G50" i="12"/>
  <c r="M50" i="12" s="1"/>
  <c r="G46" i="12"/>
  <c r="M46" i="12" s="1"/>
  <c r="G42" i="12"/>
  <c r="J42" i="12" s="1"/>
  <c r="G26" i="12"/>
  <c r="J26" i="12" s="1"/>
  <c r="G18" i="12"/>
  <c r="G14" i="12"/>
  <c r="G10" i="12"/>
  <c r="J10" i="12" s="1"/>
  <c r="G6" i="12"/>
  <c r="J6" i="12" s="1"/>
  <c r="J50" i="12"/>
  <c r="J88" i="15"/>
  <c r="M56" i="15"/>
  <c r="J56" i="15"/>
  <c r="J27" i="16"/>
  <c r="M14" i="16"/>
  <c r="M46" i="16"/>
  <c r="J46" i="16"/>
  <c r="J32" i="17"/>
  <c r="M97" i="18"/>
  <c r="J97" i="18"/>
  <c r="M29" i="20"/>
  <c r="J29" i="20"/>
  <c r="M45" i="18"/>
  <c r="J45" i="18"/>
  <c r="M38" i="17"/>
  <c r="J38" i="17"/>
  <c r="M92" i="10"/>
  <c r="G7" i="11"/>
  <c r="G39" i="11"/>
  <c r="J39" i="11" s="1"/>
  <c r="G43" i="11"/>
  <c r="M43" i="11" s="1"/>
  <c r="G95" i="11"/>
  <c r="G91" i="11"/>
  <c r="M91" i="11" s="1"/>
  <c r="G75" i="11"/>
  <c r="M75" i="11" s="1"/>
  <c r="G63" i="11"/>
  <c r="G38" i="11"/>
  <c r="J38" i="11" s="1"/>
  <c r="G5" i="12"/>
  <c r="J5" i="12" s="1"/>
  <c r="G37" i="12"/>
  <c r="M37" i="12" s="1"/>
  <c r="M48" i="14"/>
  <c r="J32" i="14"/>
  <c r="J47" i="14"/>
  <c r="M47" i="14"/>
  <c r="M86" i="15"/>
  <c r="M55" i="15"/>
  <c r="J55" i="15"/>
  <c r="M52" i="16"/>
  <c r="J52" i="16"/>
  <c r="J52" i="17"/>
  <c r="M52" i="17"/>
  <c r="J88" i="17"/>
  <c r="M88" i="17"/>
  <c r="M20" i="18"/>
  <c r="J20" i="18"/>
  <c r="M12" i="16"/>
  <c r="J12" i="16"/>
  <c r="M29" i="10"/>
  <c r="G27" i="10"/>
  <c r="M27" i="10" s="1"/>
  <c r="G23" i="10"/>
  <c r="J23" i="10" s="1"/>
  <c r="M97" i="11"/>
  <c r="G10" i="11"/>
  <c r="G13" i="12"/>
  <c r="J34" i="12"/>
  <c r="J53" i="12"/>
  <c r="J74" i="12"/>
  <c r="M78" i="13"/>
  <c r="J78" i="13"/>
  <c r="M80" i="17"/>
  <c r="J69" i="18"/>
  <c r="J78" i="18"/>
  <c r="J18" i="20"/>
  <c r="M63" i="17"/>
  <c r="J63" i="17"/>
  <c r="J24" i="17"/>
  <c r="M24" i="17"/>
  <c r="M13" i="15"/>
  <c r="J13" i="15"/>
  <c r="G42" i="11"/>
  <c r="M42" i="11" s="1"/>
  <c r="G98" i="11"/>
  <c r="G94" i="11"/>
  <c r="M94" i="11" s="1"/>
  <c r="G82" i="11"/>
  <c r="G78" i="11"/>
  <c r="G66" i="11"/>
  <c r="G62" i="11"/>
  <c r="J62" i="11" s="1"/>
  <c r="G9" i="12"/>
  <c r="J9" i="12" s="1"/>
  <c r="G29" i="12"/>
  <c r="M29" i="12" s="1"/>
  <c r="G33" i="12"/>
  <c r="M33" i="12" s="1"/>
  <c r="G41" i="12"/>
  <c r="M41" i="12" s="1"/>
  <c r="G45" i="12"/>
  <c r="M45" i="12" s="1"/>
  <c r="M41" i="15"/>
  <c r="J41" i="15"/>
  <c r="M32" i="13"/>
  <c r="M38" i="10"/>
  <c r="M65" i="10"/>
  <c r="M93" i="10"/>
  <c r="F21" i="1"/>
  <c r="H21" i="1"/>
  <c r="M17" i="10"/>
  <c r="M61" i="10"/>
  <c r="G5" i="11"/>
  <c r="G37" i="11"/>
  <c r="J37" i="11" s="1"/>
  <c r="G77" i="11"/>
  <c r="G93" i="11"/>
  <c r="M93" i="11" s="1"/>
  <c r="J82" i="12"/>
  <c r="G44" i="12"/>
  <c r="M44" i="12" s="1"/>
  <c r="G36" i="12"/>
  <c r="M36" i="12" s="1"/>
  <c r="G20" i="12"/>
  <c r="J20" i="12" s="1"/>
  <c r="M76" i="12"/>
  <c r="M58" i="13"/>
  <c r="J71" i="14"/>
  <c r="J85" i="15"/>
  <c r="M24" i="16"/>
  <c r="M36" i="16"/>
  <c r="J96" i="17"/>
  <c r="J95" i="17"/>
  <c r="J16" i="17"/>
  <c r="M13" i="18"/>
  <c r="M5" i="18"/>
  <c r="J61" i="10"/>
  <c r="M69" i="20"/>
  <c r="M72" i="20"/>
  <c r="M68" i="20"/>
  <c r="M26" i="20"/>
  <c r="M20" i="20"/>
  <c r="J96" i="19"/>
  <c r="J94" i="19"/>
  <c r="M80" i="19"/>
  <c r="M55" i="19"/>
  <c r="M39" i="19"/>
  <c r="M37" i="19"/>
  <c r="J32" i="19"/>
  <c r="M12" i="19"/>
  <c r="F79" i="1"/>
  <c r="H80" i="1"/>
  <c r="F83" i="1"/>
  <c r="M87" i="19"/>
  <c r="M71" i="19"/>
  <c r="J68" i="19"/>
  <c r="M38" i="19"/>
  <c r="M79" i="20"/>
  <c r="M77" i="20"/>
  <c r="J32" i="20"/>
  <c r="M21" i="20"/>
  <c r="M16" i="20"/>
  <c r="M39" i="20"/>
  <c r="M10" i="20"/>
  <c r="M73" i="20"/>
  <c r="M6" i="20"/>
  <c r="M7" i="20"/>
  <c r="M40" i="20"/>
  <c r="M38" i="20"/>
  <c r="M46" i="20"/>
  <c r="J33" i="20"/>
  <c r="M81" i="20"/>
  <c r="M28" i="20"/>
  <c r="M50" i="20"/>
  <c r="M76" i="20"/>
  <c r="M25" i="20"/>
  <c r="M80" i="20"/>
  <c r="M78" i="20"/>
  <c r="M23" i="20"/>
  <c r="M88" i="19"/>
  <c r="M73" i="19"/>
  <c r="M69" i="19"/>
  <c r="M41" i="19"/>
  <c r="M14" i="19"/>
  <c r="J86" i="19"/>
  <c r="J56" i="19"/>
  <c r="J52" i="19"/>
  <c r="M40" i="19"/>
  <c r="M36" i="19"/>
  <c r="J47" i="19"/>
  <c r="J50" i="19"/>
  <c r="M89" i="19"/>
  <c r="J85" i="19"/>
  <c r="M54" i="19"/>
  <c r="M48" i="19"/>
  <c r="J57" i="19"/>
  <c r="J53" i="19"/>
  <c r="M84" i="19"/>
  <c r="M49" i="19"/>
  <c r="M45" i="19"/>
  <c r="J44" i="19"/>
  <c r="M13" i="19"/>
  <c r="M15" i="19"/>
  <c r="J15" i="19"/>
  <c r="M53" i="18"/>
  <c r="M33" i="18"/>
  <c r="M88" i="18"/>
  <c r="M32" i="18"/>
  <c r="M30" i="18"/>
  <c r="M28" i="18"/>
  <c r="M17" i="18"/>
  <c r="M87" i="18"/>
  <c r="M31" i="18"/>
  <c r="M18" i="18"/>
  <c r="M10" i="18"/>
  <c r="M15" i="18"/>
  <c r="M55" i="18"/>
  <c r="M89" i="18"/>
  <c r="J8" i="18"/>
  <c r="M8" i="18"/>
  <c r="M29" i="18"/>
  <c r="M86" i="18"/>
  <c r="M56" i="18"/>
  <c r="M65" i="18"/>
  <c r="M14" i="18"/>
  <c r="M84" i="18"/>
  <c r="M54" i="18"/>
  <c r="M85" i="18"/>
  <c r="M57" i="18"/>
  <c r="M12" i="18"/>
  <c r="M52" i="18"/>
  <c r="M89" i="17"/>
  <c r="M57" i="17"/>
  <c r="M55" i="17"/>
  <c r="M15" i="17"/>
  <c r="M87" i="17"/>
  <c r="M53" i="17"/>
  <c r="M85" i="17"/>
  <c r="M86" i="17"/>
  <c r="M54" i="17"/>
  <c r="M13" i="17"/>
  <c r="M17" i="17"/>
  <c r="J12" i="17"/>
  <c r="J88" i="16"/>
  <c r="J84" i="16"/>
  <c r="J87" i="16"/>
  <c r="J83" i="16"/>
  <c r="J45" i="16"/>
  <c r="J47" i="16"/>
  <c r="J43" i="16"/>
  <c r="M48" i="16"/>
  <c r="M44" i="16"/>
  <c r="J53" i="16"/>
  <c r="J70" i="16"/>
  <c r="J37" i="16"/>
  <c r="M55" i="16"/>
  <c r="M51" i="16"/>
  <c r="J83" i="15"/>
  <c r="J53" i="15"/>
  <c r="J52" i="15"/>
  <c r="M40" i="15"/>
  <c r="M36" i="15"/>
  <c r="M37" i="15"/>
  <c r="J45" i="15"/>
  <c r="J35" i="15"/>
  <c r="M54" i="15"/>
  <c r="M68" i="15"/>
  <c r="J38" i="15"/>
  <c r="M72" i="15"/>
  <c r="J46" i="15"/>
  <c r="M70" i="15"/>
  <c r="J49" i="15"/>
  <c r="J43" i="15"/>
  <c r="M48" i="15"/>
  <c r="M44" i="15"/>
  <c r="J47" i="15"/>
  <c r="M97" i="14"/>
  <c r="J84" i="14"/>
  <c r="M50" i="14"/>
  <c r="M46" i="14"/>
  <c r="J36" i="14"/>
  <c r="M68" i="14"/>
  <c r="M72" i="14"/>
  <c r="J37" i="14"/>
  <c r="J89" i="14"/>
  <c r="J85" i="14"/>
  <c r="J41" i="14"/>
  <c r="M70" i="14"/>
  <c r="J38" i="14"/>
  <c r="J6" i="13"/>
  <c r="J53" i="13"/>
  <c r="J54" i="13"/>
  <c r="J55" i="13"/>
  <c r="J56" i="13"/>
  <c r="J57" i="13"/>
  <c r="G68" i="13"/>
  <c r="J68" i="13" s="1"/>
  <c r="G71" i="13"/>
  <c r="J71" i="13" s="1"/>
  <c r="G72" i="13"/>
  <c r="J72" i="13" s="1"/>
  <c r="J52" i="13"/>
  <c r="J26" i="13"/>
  <c r="G40" i="13"/>
  <c r="J40" i="13" s="1"/>
  <c r="G51" i="13"/>
  <c r="M51" i="13" s="1"/>
  <c r="J24" i="13"/>
  <c r="J65" i="13"/>
  <c r="M65" i="13"/>
  <c r="J62" i="13"/>
  <c r="M62" i="13"/>
  <c r="J13" i="13"/>
  <c r="M13" i="13"/>
  <c r="J16" i="13"/>
  <c r="M16" i="13"/>
  <c r="J30" i="13"/>
  <c r="M30" i="13"/>
  <c r="J33" i="13"/>
  <c r="M33" i="13"/>
  <c r="G37" i="13"/>
  <c r="J37" i="13" s="1"/>
  <c r="G41" i="13"/>
  <c r="J41" i="13" s="1"/>
  <c r="G44" i="13"/>
  <c r="J44" i="13" s="1"/>
  <c r="G48" i="13"/>
  <c r="J48" i="13" s="1"/>
  <c r="G69" i="13"/>
  <c r="J69" i="13" s="1"/>
  <c r="G73" i="13"/>
  <c r="J73" i="13" s="1"/>
  <c r="G83" i="13"/>
  <c r="M83" i="13" s="1"/>
  <c r="G91" i="13"/>
  <c r="M91" i="13" s="1"/>
  <c r="J10" i="13"/>
  <c r="M12" i="13"/>
  <c r="J22" i="13"/>
  <c r="M29" i="13"/>
  <c r="G38" i="13"/>
  <c r="J38" i="13" s="1"/>
  <c r="G42" i="13"/>
  <c r="M42" i="13" s="1"/>
  <c r="G45" i="13"/>
  <c r="J45" i="13" s="1"/>
  <c r="G49" i="13"/>
  <c r="J49" i="13" s="1"/>
  <c r="M61" i="13"/>
  <c r="G70" i="13"/>
  <c r="J70" i="13" s="1"/>
  <c r="G74" i="13"/>
  <c r="M74" i="13" s="1"/>
  <c r="J76" i="13"/>
  <c r="M90" i="13"/>
  <c r="J8" i="13"/>
  <c r="M17" i="13"/>
  <c r="J20" i="13"/>
  <c r="M34" i="13"/>
  <c r="J4" i="13"/>
  <c r="J92" i="13"/>
  <c r="J5" i="13"/>
  <c r="J7" i="13"/>
  <c r="J9" i="13"/>
  <c r="M15" i="13"/>
  <c r="M28" i="13"/>
  <c r="M39" i="13"/>
  <c r="M46" i="13"/>
  <c r="M50" i="13"/>
  <c r="M60" i="13"/>
  <c r="M64" i="13"/>
  <c r="M67" i="13"/>
  <c r="J77" i="13"/>
  <c r="J79" i="13"/>
  <c r="G80" i="13"/>
  <c r="J80" i="13" s="1"/>
  <c r="G82" i="13"/>
  <c r="M82" i="13" s="1"/>
  <c r="M14" i="13"/>
  <c r="M18" i="13"/>
  <c r="J21" i="13"/>
  <c r="J23" i="13"/>
  <c r="J25" i="13"/>
  <c r="M31" i="13"/>
  <c r="M35" i="13"/>
  <c r="M36" i="13"/>
  <c r="M43" i="13"/>
  <c r="M47" i="13"/>
  <c r="M63" i="13"/>
  <c r="M72" i="13"/>
  <c r="M81" i="13"/>
  <c r="J84" i="13"/>
  <c r="J85" i="13"/>
  <c r="J86" i="13"/>
  <c r="J87" i="13"/>
  <c r="J88" i="13"/>
  <c r="J89" i="13"/>
  <c r="J93" i="13"/>
  <c r="J94" i="13"/>
  <c r="J95" i="13"/>
  <c r="J96" i="13"/>
  <c r="J97" i="13"/>
  <c r="M99" i="13"/>
  <c r="G80" i="12"/>
  <c r="M80" i="12" s="1"/>
  <c r="G72" i="12"/>
  <c r="G48" i="12"/>
  <c r="M48" i="12" s="1"/>
  <c r="G40" i="12"/>
  <c r="M40" i="12" s="1"/>
  <c r="G32" i="12"/>
  <c r="M32" i="12" s="1"/>
  <c r="G24" i="12"/>
  <c r="J24" i="12" s="1"/>
  <c r="G16" i="12"/>
  <c r="M16" i="12" s="1"/>
  <c r="G8" i="12"/>
  <c r="J8" i="12" s="1"/>
  <c r="H89" i="1"/>
  <c r="F64" i="1"/>
  <c r="F24" i="1"/>
  <c r="H84" i="1"/>
  <c r="F92" i="1"/>
  <c r="F81" i="1"/>
  <c r="H82" i="1"/>
  <c r="F85" i="1"/>
  <c r="G56" i="12"/>
  <c r="G86" i="12"/>
  <c r="J86" i="12" s="1"/>
  <c r="G89" i="12"/>
  <c r="J89" i="12" s="1"/>
  <c r="G25" i="12"/>
  <c r="J25" i="12" s="1"/>
  <c r="J28" i="12"/>
  <c r="J29" i="12"/>
  <c r="J32" i="12"/>
  <c r="J33" i="12"/>
  <c r="M10" i="12"/>
  <c r="G27" i="12"/>
  <c r="M27" i="12" s="1"/>
  <c r="J31" i="12"/>
  <c r="M51" i="12"/>
  <c r="G58" i="12"/>
  <c r="M58" i="12" s="1"/>
  <c r="M83" i="12"/>
  <c r="G88" i="12"/>
  <c r="J88" i="12" s="1"/>
  <c r="M7" i="12"/>
  <c r="G23" i="12"/>
  <c r="J23" i="12" s="1"/>
  <c r="M24" i="12"/>
  <c r="J39" i="12"/>
  <c r="G54" i="12"/>
  <c r="J54" i="12" s="1"/>
  <c r="M55" i="12"/>
  <c r="G99" i="12"/>
  <c r="M99" i="12" s="1"/>
  <c r="M57" i="12"/>
  <c r="G21" i="12"/>
  <c r="J21" i="12" s="1"/>
  <c r="M22" i="12"/>
  <c r="J30" i="12"/>
  <c r="M34" i="12"/>
  <c r="G35" i="12"/>
  <c r="M35" i="12" s="1"/>
  <c r="G52" i="12"/>
  <c r="M52" i="12" s="1"/>
  <c r="M53" i="12"/>
  <c r="G84" i="12"/>
  <c r="M84" i="12" s="1"/>
  <c r="M85" i="12"/>
  <c r="G90" i="12"/>
  <c r="M90" i="12" s="1"/>
  <c r="M4" i="12"/>
  <c r="M13" i="12"/>
  <c r="J13" i="12"/>
  <c r="M14" i="12"/>
  <c r="J14" i="12"/>
  <c r="M15" i="12"/>
  <c r="J15" i="12"/>
  <c r="J16" i="12"/>
  <c r="M17" i="12"/>
  <c r="J17" i="12"/>
  <c r="M18" i="12"/>
  <c r="J18" i="12"/>
  <c r="M5" i="12"/>
  <c r="J56" i="12"/>
  <c r="M56" i="12"/>
  <c r="M70" i="12"/>
  <c r="J70" i="12"/>
  <c r="M71" i="12"/>
  <c r="J71" i="12"/>
  <c r="M72" i="12"/>
  <c r="J72" i="12"/>
  <c r="M73" i="12"/>
  <c r="J73" i="12"/>
  <c r="M86" i="12"/>
  <c r="M68" i="12"/>
  <c r="J68" i="12"/>
  <c r="M69" i="12"/>
  <c r="J69" i="12"/>
  <c r="M9" i="12"/>
  <c r="M88" i="12"/>
  <c r="G43" i="12"/>
  <c r="M43" i="12" s="1"/>
  <c r="J45" i="12"/>
  <c r="J49" i="12"/>
  <c r="G60" i="12"/>
  <c r="J60" i="12" s="1"/>
  <c r="G62" i="12"/>
  <c r="J62" i="12" s="1"/>
  <c r="G64" i="12"/>
  <c r="J64" i="12" s="1"/>
  <c r="G66" i="12"/>
  <c r="M66" i="12" s="1"/>
  <c r="G75" i="12"/>
  <c r="M75" i="12" s="1"/>
  <c r="J77" i="12"/>
  <c r="J79" i="12"/>
  <c r="J81" i="12"/>
  <c r="M87" i="12"/>
  <c r="M91" i="12"/>
  <c r="G92" i="12"/>
  <c r="J92" i="12" s="1"/>
  <c r="G94" i="12"/>
  <c r="J94" i="12" s="1"/>
  <c r="G96" i="12"/>
  <c r="J96" i="12" s="1"/>
  <c r="G98" i="12"/>
  <c r="M98" i="12" s="1"/>
  <c r="G12" i="12"/>
  <c r="J36" i="12"/>
  <c r="J38" i="12"/>
  <c r="M42" i="12"/>
  <c r="M59" i="12"/>
  <c r="M74" i="12"/>
  <c r="M11" i="12"/>
  <c r="J44" i="12"/>
  <c r="J46" i="12"/>
  <c r="J47" i="12"/>
  <c r="G61" i="12"/>
  <c r="J61" i="12" s="1"/>
  <c r="G63" i="12"/>
  <c r="J63" i="12" s="1"/>
  <c r="G65" i="12"/>
  <c r="J65" i="12" s="1"/>
  <c r="J76" i="12"/>
  <c r="J78" i="12"/>
  <c r="J80" i="12"/>
  <c r="M89" i="12"/>
  <c r="G93" i="12"/>
  <c r="J93" i="12" s="1"/>
  <c r="G95" i="12"/>
  <c r="J95" i="12" s="1"/>
  <c r="G97" i="12"/>
  <c r="J97" i="12" s="1"/>
  <c r="G96" i="11"/>
  <c r="G80" i="11"/>
  <c r="J80" i="11" s="1"/>
  <c r="G64" i="11"/>
  <c r="G48" i="11"/>
  <c r="J48" i="11" s="1"/>
  <c r="G40" i="11"/>
  <c r="J40" i="11" s="1"/>
  <c r="G8" i="11"/>
  <c r="J8" i="11" s="1"/>
  <c r="F94" i="1"/>
  <c r="H93" i="1"/>
  <c r="F90" i="1"/>
  <c r="F88" i="1"/>
  <c r="F91" i="1"/>
  <c r="G15" i="11"/>
  <c r="M15" i="11" s="1"/>
  <c r="G16" i="11"/>
  <c r="J16" i="11" s="1"/>
  <c r="G17" i="11"/>
  <c r="M17" i="11" s="1"/>
  <c r="G18" i="11"/>
  <c r="J18" i="11" s="1"/>
  <c r="G19" i="11"/>
  <c r="M19" i="11" s="1"/>
  <c r="G52" i="11"/>
  <c r="J52" i="11" s="1"/>
  <c r="G53" i="11"/>
  <c r="J53" i="11" s="1"/>
  <c r="G54" i="11"/>
  <c r="J54" i="11" s="1"/>
  <c r="G55" i="11"/>
  <c r="M55" i="11" s="1"/>
  <c r="G56" i="11"/>
  <c r="M56" i="11" s="1"/>
  <c r="G57" i="11"/>
  <c r="M57" i="11" s="1"/>
  <c r="G58" i="11"/>
  <c r="M58" i="11" s="1"/>
  <c r="G68" i="11"/>
  <c r="M68" i="11" s="1"/>
  <c r="G69" i="11"/>
  <c r="M69" i="11" s="1"/>
  <c r="G70" i="11"/>
  <c r="J70" i="11" s="1"/>
  <c r="G71" i="11"/>
  <c r="J71" i="11" s="1"/>
  <c r="G72" i="11"/>
  <c r="M72" i="11" s="1"/>
  <c r="G73" i="11"/>
  <c r="J73" i="11" s="1"/>
  <c r="G74" i="11"/>
  <c r="M74" i="11" s="1"/>
  <c r="G83" i="11"/>
  <c r="M83" i="11" s="1"/>
  <c r="M50" i="11"/>
  <c r="M66" i="11"/>
  <c r="M16" i="11"/>
  <c r="G28" i="11"/>
  <c r="J28" i="11" s="1"/>
  <c r="G29" i="11"/>
  <c r="J29" i="11" s="1"/>
  <c r="G30" i="11"/>
  <c r="J30" i="11" s="1"/>
  <c r="G31" i="11"/>
  <c r="M31" i="11" s="1"/>
  <c r="G32" i="11"/>
  <c r="M32" i="11" s="1"/>
  <c r="G33" i="11"/>
  <c r="M33" i="11" s="1"/>
  <c r="G34" i="11"/>
  <c r="M34" i="11" s="1"/>
  <c r="M82" i="11"/>
  <c r="J6" i="11"/>
  <c r="M6" i="11"/>
  <c r="J10" i="11"/>
  <c r="M10" i="11"/>
  <c r="J7" i="11"/>
  <c r="M7" i="11"/>
  <c r="M12" i="11"/>
  <c r="J12" i="11"/>
  <c r="J4" i="11"/>
  <c r="M4" i="11"/>
  <c r="M8" i="11"/>
  <c r="M13" i="11"/>
  <c r="J13" i="11"/>
  <c r="J5" i="11"/>
  <c r="M5" i="11"/>
  <c r="J9" i="11"/>
  <c r="M9" i="11"/>
  <c r="G20" i="11"/>
  <c r="M20" i="11" s="1"/>
  <c r="G21" i="11"/>
  <c r="J21" i="11" s="1"/>
  <c r="G22" i="11"/>
  <c r="J22" i="11" s="1"/>
  <c r="G23" i="11"/>
  <c r="J23" i="11" s="1"/>
  <c r="G24" i="11"/>
  <c r="G25" i="11"/>
  <c r="J25" i="11" s="1"/>
  <c r="G26" i="11"/>
  <c r="M26" i="11" s="1"/>
  <c r="G27" i="11"/>
  <c r="M27" i="11" s="1"/>
  <c r="J32" i="11"/>
  <c r="M62" i="11"/>
  <c r="J78" i="11"/>
  <c r="M78" i="11"/>
  <c r="G84" i="11"/>
  <c r="J84" i="11" s="1"/>
  <c r="G85" i="11"/>
  <c r="G86" i="11"/>
  <c r="J86" i="11" s="1"/>
  <c r="G87" i="11"/>
  <c r="M87" i="11" s="1"/>
  <c r="G88" i="11"/>
  <c r="J88" i="11" s="1"/>
  <c r="G89" i="11"/>
  <c r="G90" i="11"/>
  <c r="M90" i="11" s="1"/>
  <c r="M95" i="11"/>
  <c r="J95" i="11"/>
  <c r="M98" i="11"/>
  <c r="J14" i="11"/>
  <c r="J20" i="11"/>
  <c r="J24" i="11"/>
  <c r="M63" i="11"/>
  <c r="J63" i="11"/>
  <c r="J79" i="11"/>
  <c r="M79" i="11"/>
  <c r="J85" i="11"/>
  <c r="J89" i="11"/>
  <c r="M92" i="11"/>
  <c r="J92" i="11"/>
  <c r="M96" i="11"/>
  <c r="J96" i="11"/>
  <c r="M24" i="11"/>
  <c r="G51" i="11"/>
  <c r="M51" i="11" s="1"/>
  <c r="M60" i="11"/>
  <c r="J60" i="11"/>
  <c r="M64" i="11"/>
  <c r="J64" i="11"/>
  <c r="G67" i="11"/>
  <c r="M67" i="11" s="1"/>
  <c r="J76" i="11"/>
  <c r="M76" i="11"/>
  <c r="M84" i="11"/>
  <c r="M85" i="11"/>
  <c r="M89" i="11"/>
  <c r="J93" i="11"/>
  <c r="G99" i="11"/>
  <c r="M99" i="11" s="1"/>
  <c r="M54" i="11"/>
  <c r="M61" i="11"/>
  <c r="J61" i="11"/>
  <c r="M65" i="11"/>
  <c r="J65" i="11"/>
  <c r="M71" i="11"/>
  <c r="J77" i="11"/>
  <c r="M77" i="11"/>
  <c r="J81" i="11"/>
  <c r="M81" i="11"/>
  <c r="J97" i="11"/>
  <c r="M36" i="11"/>
  <c r="M37" i="11"/>
  <c r="M38" i="11"/>
  <c r="M40" i="11"/>
  <c r="M41" i="11"/>
  <c r="M44" i="11"/>
  <c r="M45" i="11"/>
  <c r="M46" i="11"/>
  <c r="M47" i="11"/>
  <c r="M48" i="11"/>
  <c r="M49" i="11"/>
  <c r="G96" i="10"/>
  <c r="M96" i="10" s="1"/>
  <c r="G95" i="10"/>
  <c r="M95" i="10" s="1"/>
  <c r="G48" i="10"/>
  <c r="M48" i="10" s="1"/>
  <c r="G43" i="10"/>
  <c r="M43" i="10" s="1"/>
  <c r="G32" i="10"/>
  <c r="M32" i="10" s="1"/>
  <c r="G8" i="10"/>
  <c r="H22" i="1"/>
  <c r="H26" i="1"/>
  <c r="H75" i="1"/>
  <c r="F60" i="1"/>
  <c r="H55" i="1"/>
  <c r="H61" i="1"/>
  <c r="H65" i="1"/>
  <c r="H25" i="1"/>
  <c r="H45" i="1"/>
  <c r="F62" i="1"/>
  <c r="H71" i="1"/>
  <c r="M94" i="10"/>
  <c r="J94" i="10"/>
  <c r="J81" i="10"/>
  <c r="M81" i="10"/>
  <c r="G84" i="10"/>
  <c r="M84" i="10" s="1"/>
  <c r="G88" i="10"/>
  <c r="G83" i="10"/>
  <c r="M83" i="10" s="1"/>
  <c r="J85" i="10"/>
  <c r="J86" i="10"/>
  <c r="J87" i="10"/>
  <c r="J88" i="10"/>
  <c r="J89" i="10"/>
  <c r="M90" i="10"/>
  <c r="M91" i="10"/>
  <c r="J63" i="10"/>
  <c r="J96" i="10"/>
  <c r="J44" i="10"/>
  <c r="M44" i="10"/>
  <c r="J77" i="10"/>
  <c r="M77" i="10"/>
  <c r="J80" i="10"/>
  <c r="M80" i="10"/>
  <c r="J15" i="10"/>
  <c r="G24" i="10"/>
  <c r="J24" i="10" s="1"/>
  <c r="J17" i="10"/>
  <c r="J18" i="10"/>
  <c r="M19" i="10"/>
  <c r="G21" i="10"/>
  <c r="J21" i="10" s="1"/>
  <c r="G25" i="10"/>
  <c r="J25" i="10" s="1"/>
  <c r="J38" i="10"/>
  <c r="G68" i="10"/>
  <c r="J68" i="10" s="1"/>
  <c r="G69" i="10"/>
  <c r="J69" i="10" s="1"/>
  <c r="G70" i="10"/>
  <c r="J70" i="10" s="1"/>
  <c r="G71" i="10"/>
  <c r="J71" i="10" s="1"/>
  <c r="G72" i="10"/>
  <c r="M72" i="10" s="1"/>
  <c r="G73" i="10"/>
  <c r="J73" i="10" s="1"/>
  <c r="G74" i="10"/>
  <c r="M74" i="10" s="1"/>
  <c r="G98" i="10"/>
  <c r="M98" i="10" s="1"/>
  <c r="G99" i="10"/>
  <c r="G20" i="10"/>
  <c r="J20" i="10" s="1"/>
  <c r="J36" i="10"/>
  <c r="M13" i="10"/>
  <c r="G22" i="10"/>
  <c r="J22" i="10" s="1"/>
  <c r="G26" i="10"/>
  <c r="J26" i="10" s="1"/>
  <c r="J40" i="10"/>
  <c r="M45" i="10"/>
  <c r="J65" i="10"/>
  <c r="G67" i="10"/>
  <c r="M67" i="10" s="1"/>
  <c r="J72" i="10"/>
  <c r="M76" i="10"/>
  <c r="J92" i="10"/>
  <c r="M7" i="10"/>
  <c r="J7" i="10"/>
  <c r="M4" i="10"/>
  <c r="J4" i="10"/>
  <c r="J8" i="10"/>
  <c r="M8" i="10"/>
  <c r="J41" i="10"/>
  <c r="M41" i="10"/>
  <c r="M5" i="10"/>
  <c r="J5" i="10"/>
  <c r="M9" i="10"/>
  <c r="J9" i="10"/>
  <c r="J6" i="10"/>
  <c r="M6" i="10"/>
  <c r="M10" i="10"/>
  <c r="J10" i="10"/>
  <c r="G34" i="10"/>
  <c r="J49" i="10"/>
  <c r="G52" i="10"/>
  <c r="M52" i="10" s="1"/>
  <c r="G53" i="10"/>
  <c r="M53" i="10" s="1"/>
  <c r="G54" i="10"/>
  <c r="J54" i="10" s="1"/>
  <c r="G55" i="10"/>
  <c r="J55" i="10" s="1"/>
  <c r="G56" i="10"/>
  <c r="J56" i="10" s="1"/>
  <c r="G57" i="10"/>
  <c r="J57" i="10" s="1"/>
  <c r="G58" i="10"/>
  <c r="M58" i="10" s="1"/>
  <c r="M68" i="10"/>
  <c r="M69" i="10"/>
  <c r="M85" i="10"/>
  <c r="M86" i="10"/>
  <c r="M88" i="10"/>
  <c r="M87" i="10"/>
  <c r="M89" i="10"/>
  <c r="M12" i="10"/>
  <c r="M14" i="10"/>
  <c r="M50" i="10"/>
  <c r="J16" i="10"/>
  <c r="M25" i="10"/>
  <c r="J28" i="10"/>
  <c r="J29" i="10"/>
  <c r="J30" i="10"/>
  <c r="J31" i="10"/>
  <c r="J33" i="10"/>
  <c r="G35" i="10"/>
  <c r="M35" i="10" s="1"/>
  <c r="J37" i="10"/>
  <c r="J39" i="10"/>
  <c r="M47" i="10"/>
  <c r="G51" i="10"/>
  <c r="M51" i="10" s="1"/>
  <c r="J53" i="10"/>
  <c r="J60" i="10"/>
  <c r="J62" i="10"/>
  <c r="J64" i="10"/>
  <c r="M66" i="10"/>
  <c r="M79" i="10"/>
  <c r="M82" i="10"/>
  <c r="J93" i="10"/>
  <c r="J97" i="10"/>
  <c r="M28" i="10"/>
  <c r="M33" i="10"/>
  <c r="M34" i="10"/>
  <c r="M46" i="10"/>
  <c r="M56" i="10"/>
  <c r="M57" i="10"/>
  <c r="M78" i="10"/>
  <c r="M99" i="10"/>
  <c r="F63" i="1"/>
  <c r="F66" i="1"/>
  <c r="F74" i="1"/>
  <c r="F70" i="1"/>
  <c r="F73" i="1"/>
  <c r="F72" i="1"/>
  <c r="F76" i="1"/>
  <c r="H56" i="1"/>
  <c r="H52" i="1"/>
  <c r="F51" i="1"/>
  <c r="F54" i="1"/>
  <c r="F53" i="1"/>
  <c r="F57" i="1"/>
  <c r="H46" i="1"/>
  <c r="H42" i="1"/>
  <c r="F41" i="1"/>
  <c r="F44" i="1"/>
  <c r="F43" i="1"/>
  <c r="F47" i="1"/>
  <c r="F16" i="1"/>
  <c r="L50" i="9"/>
  <c r="L82" i="9"/>
  <c r="L81" i="9"/>
  <c r="L80" i="9"/>
  <c r="L79" i="9"/>
  <c r="L78" i="9"/>
  <c r="L77" i="9"/>
  <c r="L76" i="9"/>
  <c r="L75" i="9"/>
  <c r="L90" i="9"/>
  <c r="L89" i="9"/>
  <c r="L88" i="9"/>
  <c r="L87" i="9"/>
  <c r="L86" i="9"/>
  <c r="L85" i="9"/>
  <c r="L84" i="9"/>
  <c r="L83" i="9"/>
  <c r="L96" i="9"/>
  <c r="L94" i="9"/>
  <c r="L95" i="9"/>
  <c r="L93" i="9"/>
  <c r="L92" i="9"/>
  <c r="L91" i="9"/>
  <c r="L98" i="9"/>
  <c r="L97" i="9"/>
  <c r="L74" i="9"/>
  <c r="L73" i="9"/>
  <c r="L72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49" i="9"/>
  <c r="L48" i="9"/>
  <c r="L47" i="9"/>
  <c r="L46" i="9"/>
  <c r="L45" i="9"/>
  <c r="L44" i="9"/>
  <c r="L43" i="9"/>
  <c r="L40" i="9"/>
  <c r="L39" i="9"/>
  <c r="L38" i="9"/>
  <c r="L37" i="9"/>
  <c r="L36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6" i="9"/>
  <c r="L15" i="9"/>
  <c r="L14" i="9"/>
  <c r="L13" i="9"/>
  <c r="L12" i="9"/>
  <c r="L10" i="9"/>
  <c r="L9" i="9"/>
  <c r="L8" i="9"/>
  <c r="L7" i="9"/>
  <c r="L6" i="9"/>
  <c r="L5" i="9"/>
  <c r="L4" i="9"/>
  <c r="L3" i="9"/>
  <c r="I97" i="9"/>
  <c r="I96" i="9"/>
  <c r="I95" i="9"/>
  <c r="I94" i="9"/>
  <c r="I93" i="9"/>
  <c r="I92" i="9"/>
  <c r="I91" i="9"/>
  <c r="I89" i="9"/>
  <c r="I88" i="9"/>
  <c r="I87" i="9"/>
  <c r="I86" i="9"/>
  <c r="I85" i="9"/>
  <c r="I84" i="9"/>
  <c r="I83" i="9"/>
  <c r="I80" i="9"/>
  <c r="I79" i="9"/>
  <c r="I78" i="9"/>
  <c r="I77" i="9"/>
  <c r="I76" i="9"/>
  <c r="I75" i="9"/>
  <c r="I73" i="9"/>
  <c r="I72" i="9"/>
  <c r="I71" i="9"/>
  <c r="I69" i="9"/>
  <c r="I68" i="9"/>
  <c r="I67" i="9"/>
  <c r="I65" i="9"/>
  <c r="I64" i="9"/>
  <c r="I63" i="9"/>
  <c r="I62" i="9"/>
  <c r="I61" i="9"/>
  <c r="I60" i="9"/>
  <c r="I59" i="9"/>
  <c r="I57" i="9"/>
  <c r="I56" i="9"/>
  <c r="I55" i="9"/>
  <c r="I54" i="9"/>
  <c r="I53" i="9"/>
  <c r="I52" i="9"/>
  <c r="I51" i="9"/>
  <c r="I49" i="9"/>
  <c r="I48" i="9"/>
  <c r="I47" i="9"/>
  <c r="I46" i="9"/>
  <c r="I45" i="9"/>
  <c r="I44" i="9"/>
  <c r="I43" i="9"/>
  <c r="I41" i="9"/>
  <c r="I40" i="9"/>
  <c r="I39" i="9"/>
  <c r="I38" i="9"/>
  <c r="I37" i="9"/>
  <c r="I33" i="9"/>
  <c r="I32" i="9"/>
  <c r="I31" i="9"/>
  <c r="I30" i="9"/>
  <c r="I29" i="9"/>
  <c r="I28" i="9"/>
  <c r="I27" i="9"/>
  <c r="I25" i="9"/>
  <c r="I24" i="9"/>
  <c r="I23" i="9"/>
  <c r="I22" i="9"/>
  <c r="I21" i="9"/>
  <c r="I20" i="9"/>
  <c r="I19" i="9"/>
  <c r="I17" i="9"/>
  <c r="I16" i="9"/>
  <c r="I15" i="9"/>
  <c r="I14" i="9"/>
  <c r="I13" i="9"/>
  <c r="I12" i="9"/>
  <c r="I11" i="9"/>
  <c r="I9" i="9"/>
  <c r="I8" i="9"/>
  <c r="I7" i="9"/>
  <c r="I6" i="9"/>
  <c r="I5" i="9"/>
  <c r="I4" i="9"/>
  <c r="I3" i="9"/>
  <c r="C51" i="2"/>
  <c r="D88" i="9"/>
  <c r="G88" i="9" s="1"/>
  <c r="D80" i="9"/>
  <c r="D76" i="9"/>
  <c r="D72" i="9"/>
  <c r="G72" i="9" s="1"/>
  <c r="D68" i="9"/>
  <c r="D64" i="9"/>
  <c r="D60" i="9"/>
  <c r="D56" i="9"/>
  <c r="D48" i="9"/>
  <c r="D47" i="9"/>
  <c r="D44" i="9"/>
  <c r="D43" i="9"/>
  <c r="D40" i="9"/>
  <c r="G40" i="9" s="1"/>
  <c r="M40" i="9" s="1"/>
  <c r="D39" i="9"/>
  <c r="D35" i="9"/>
  <c r="G35" i="9" s="1"/>
  <c r="D27" i="9"/>
  <c r="G27" i="9" s="1"/>
  <c r="D15" i="9"/>
  <c r="D11" i="9"/>
  <c r="G11" i="9" s="1"/>
  <c r="M11" i="9" s="1"/>
  <c r="D7" i="9"/>
  <c r="D98" i="9"/>
  <c r="G98" i="9" s="1"/>
  <c r="D97" i="9"/>
  <c r="D96" i="9"/>
  <c r="D95" i="9"/>
  <c r="D94" i="9"/>
  <c r="D93" i="9"/>
  <c r="D92" i="9"/>
  <c r="D91" i="9"/>
  <c r="D90" i="9"/>
  <c r="G90" i="9" s="1"/>
  <c r="D89" i="9"/>
  <c r="G89" i="9" s="1"/>
  <c r="M89" i="9" s="1"/>
  <c r="D87" i="9"/>
  <c r="D86" i="9"/>
  <c r="G86" i="9" s="1"/>
  <c r="M86" i="9" s="1"/>
  <c r="D85" i="9"/>
  <c r="G85" i="9" s="1"/>
  <c r="M85" i="9" s="1"/>
  <c r="D84" i="9"/>
  <c r="D83" i="9"/>
  <c r="G83" i="9" s="1"/>
  <c r="M83" i="9" s="1"/>
  <c r="D82" i="9"/>
  <c r="I81" i="9"/>
  <c r="D81" i="9"/>
  <c r="D79" i="9"/>
  <c r="D78" i="9"/>
  <c r="D77" i="9"/>
  <c r="D75" i="9"/>
  <c r="D74" i="9"/>
  <c r="G74" i="9" s="1"/>
  <c r="D73" i="9"/>
  <c r="G73" i="9" s="1"/>
  <c r="M73" i="9" s="1"/>
  <c r="L71" i="9"/>
  <c r="D71" i="9"/>
  <c r="I70" i="9"/>
  <c r="D70" i="9"/>
  <c r="D69" i="9"/>
  <c r="G69" i="9" s="1"/>
  <c r="M69" i="9" s="1"/>
  <c r="D67" i="9"/>
  <c r="G67" i="9" s="1"/>
  <c r="D66" i="9"/>
  <c r="D65" i="9"/>
  <c r="D63" i="9"/>
  <c r="G63" i="9" s="1"/>
  <c r="J63" i="9" s="1"/>
  <c r="D62" i="9"/>
  <c r="D61" i="9"/>
  <c r="D59" i="9"/>
  <c r="D58" i="9"/>
  <c r="G58" i="9" s="1"/>
  <c r="D57" i="9"/>
  <c r="G57" i="9" s="1"/>
  <c r="D55" i="9"/>
  <c r="D54" i="9"/>
  <c r="G54" i="9" s="1"/>
  <c r="M54" i="9" s="1"/>
  <c r="D53" i="9"/>
  <c r="G53" i="9" s="1"/>
  <c r="M53" i="9" s="1"/>
  <c r="D52" i="9"/>
  <c r="G52" i="9" s="1"/>
  <c r="M52" i="9" s="1"/>
  <c r="L51" i="9"/>
  <c r="D51" i="9"/>
  <c r="G51" i="9" s="1"/>
  <c r="D50" i="9"/>
  <c r="D49" i="9"/>
  <c r="D46" i="9"/>
  <c r="D45" i="9"/>
  <c r="L42" i="9"/>
  <c r="D42" i="9"/>
  <c r="G42" i="9" s="1"/>
  <c r="L41" i="9"/>
  <c r="D41" i="9"/>
  <c r="G41" i="9" s="1"/>
  <c r="D38" i="9"/>
  <c r="G38" i="9" s="1"/>
  <c r="M38" i="9" s="1"/>
  <c r="D37" i="9"/>
  <c r="G37" i="9" s="1"/>
  <c r="M37" i="9" s="1"/>
  <c r="I36" i="9"/>
  <c r="D36" i="9"/>
  <c r="G36" i="9" s="1"/>
  <c r="M36" i="9" s="1"/>
  <c r="L35" i="9"/>
  <c r="I35" i="9"/>
  <c r="D34" i="9"/>
  <c r="D33" i="9"/>
  <c r="D32" i="9"/>
  <c r="D31" i="9"/>
  <c r="D30" i="9"/>
  <c r="D29" i="9"/>
  <c r="D28" i="9"/>
  <c r="G28" i="9" s="1"/>
  <c r="J28" i="9" s="1"/>
  <c r="D26" i="9"/>
  <c r="G26" i="9" s="1"/>
  <c r="D25" i="9"/>
  <c r="G25" i="9" s="1"/>
  <c r="D24" i="9"/>
  <c r="D23" i="9"/>
  <c r="D22" i="9"/>
  <c r="D21" i="9"/>
  <c r="D20" i="9"/>
  <c r="D19" i="9"/>
  <c r="L18" i="9"/>
  <c r="D18" i="9"/>
  <c r="G18" i="9" s="1"/>
  <c r="L17" i="9"/>
  <c r="D17" i="9"/>
  <c r="G17" i="9" s="1"/>
  <c r="M17" i="9" s="1"/>
  <c r="D16" i="9"/>
  <c r="G16" i="9" s="1"/>
  <c r="D14" i="9"/>
  <c r="G14" i="9" s="1"/>
  <c r="M14" i="9" s="1"/>
  <c r="D13" i="9"/>
  <c r="G13" i="9" s="1"/>
  <c r="M13" i="9" s="1"/>
  <c r="D12" i="9"/>
  <c r="G12" i="9" s="1"/>
  <c r="L11" i="9"/>
  <c r="D10" i="9"/>
  <c r="G10" i="9" s="1"/>
  <c r="M10" i="9" s="1"/>
  <c r="D9" i="9"/>
  <c r="G9" i="9" s="1"/>
  <c r="D8" i="9"/>
  <c r="G8" i="9" s="1"/>
  <c r="D6" i="9"/>
  <c r="G6" i="9" s="1"/>
  <c r="J6" i="9" s="1"/>
  <c r="D5" i="9"/>
  <c r="G5" i="9" s="1"/>
  <c r="J5" i="9" s="1"/>
  <c r="D4" i="9"/>
  <c r="G4" i="9" s="1"/>
  <c r="D3" i="9"/>
  <c r="G3" i="9" s="1"/>
  <c r="L10" i="2"/>
  <c r="L9" i="2"/>
  <c r="L8" i="2"/>
  <c r="L7" i="2"/>
  <c r="L6" i="2"/>
  <c r="L5" i="2"/>
  <c r="L4" i="2"/>
  <c r="L3" i="2"/>
  <c r="I97" i="2"/>
  <c r="I96" i="2"/>
  <c r="I95" i="2"/>
  <c r="I94" i="2"/>
  <c r="I93" i="2"/>
  <c r="I92" i="2"/>
  <c r="I91" i="2"/>
  <c r="I89" i="2"/>
  <c r="I88" i="2"/>
  <c r="I87" i="2"/>
  <c r="I86" i="2"/>
  <c r="I85" i="2"/>
  <c r="I84" i="2"/>
  <c r="I83" i="2"/>
  <c r="I81" i="2"/>
  <c r="I80" i="2"/>
  <c r="I79" i="2"/>
  <c r="I78" i="2"/>
  <c r="I77" i="2"/>
  <c r="I76" i="2"/>
  <c r="I75" i="2"/>
  <c r="I73" i="2"/>
  <c r="I72" i="2"/>
  <c r="I71" i="2"/>
  <c r="I70" i="2"/>
  <c r="I65" i="2"/>
  <c r="I64" i="2"/>
  <c r="I63" i="2"/>
  <c r="I62" i="2"/>
  <c r="I61" i="2"/>
  <c r="I60" i="2"/>
  <c r="I59" i="2"/>
  <c r="I57" i="2"/>
  <c r="I56" i="2"/>
  <c r="I55" i="2"/>
  <c r="I54" i="2"/>
  <c r="I53" i="2"/>
  <c r="I52" i="2"/>
  <c r="I51" i="2"/>
  <c r="I69" i="2"/>
  <c r="I68" i="2"/>
  <c r="I67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3" i="2"/>
  <c r="I32" i="2"/>
  <c r="I30" i="2"/>
  <c r="I28" i="2"/>
  <c r="I27" i="2"/>
  <c r="I25" i="2"/>
  <c r="I24" i="2"/>
  <c r="I23" i="2"/>
  <c r="I22" i="2"/>
  <c r="I21" i="2"/>
  <c r="I20" i="2"/>
  <c r="I19" i="2"/>
  <c r="I16" i="2"/>
  <c r="I15" i="2"/>
  <c r="I14" i="2"/>
  <c r="I17" i="2"/>
  <c r="I13" i="2"/>
  <c r="I12" i="2"/>
  <c r="I8" i="2"/>
  <c r="I7" i="2"/>
  <c r="I6" i="2"/>
  <c r="I9" i="2"/>
  <c r="I5" i="2"/>
  <c r="I4" i="2"/>
  <c r="I3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M16" i="9" l="1"/>
  <c r="M26" i="9"/>
  <c r="M67" i="9"/>
  <c r="M88" i="9"/>
  <c r="M39" i="11"/>
  <c r="M70" i="11"/>
  <c r="M80" i="11"/>
  <c r="M21" i="11"/>
  <c r="M26" i="12"/>
  <c r="M6" i="12"/>
  <c r="J98" i="12"/>
  <c r="M12" i="9"/>
  <c r="M27" i="9"/>
  <c r="M72" i="9"/>
  <c r="M22" i="10"/>
  <c r="J94" i="11"/>
  <c r="M30" i="11"/>
  <c r="J48" i="12"/>
  <c r="M25" i="12"/>
  <c r="J41" i="12"/>
  <c r="M20" i="12"/>
  <c r="M69" i="13"/>
  <c r="J66" i="12"/>
  <c r="J58" i="12"/>
  <c r="M41" i="9"/>
  <c r="M51" i="9"/>
  <c r="M35" i="9"/>
  <c r="J32" i="10"/>
  <c r="M23" i="10"/>
  <c r="M25" i="11"/>
  <c r="J40" i="12"/>
  <c r="J37" i="12"/>
  <c r="M37" i="13"/>
  <c r="J58" i="10"/>
  <c r="J48" i="10"/>
  <c r="M73" i="13"/>
  <c r="M71" i="13"/>
  <c r="M68" i="13"/>
  <c r="M40" i="13"/>
  <c r="M41" i="13"/>
  <c r="M70" i="13"/>
  <c r="M48" i="13"/>
  <c r="M44" i="13"/>
  <c r="M49" i="13"/>
  <c r="M38" i="13"/>
  <c r="M45" i="13"/>
  <c r="M80" i="13"/>
  <c r="J84" i="12"/>
  <c r="M23" i="12"/>
  <c r="M21" i="12"/>
  <c r="M8" i="12"/>
  <c r="M95" i="12"/>
  <c r="M54" i="12"/>
  <c r="M61" i="12"/>
  <c r="J52" i="12"/>
  <c r="M94" i="12"/>
  <c r="M65" i="12"/>
  <c r="M60" i="12"/>
  <c r="M97" i="12"/>
  <c r="M63" i="12"/>
  <c r="M62" i="12"/>
  <c r="M92" i="12"/>
  <c r="M12" i="12"/>
  <c r="J12" i="12"/>
  <c r="M93" i="12"/>
  <c r="M96" i="12"/>
  <c r="M64" i="12"/>
  <c r="M53" i="11"/>
  <c r="J57" i="11"/>
  <c r="J33" i="11"/>
  <c r="J26" i="11"/>
  <c r="J15" i="11"/>
  <c r="J87" i="11"/>
  <c r="M86" i="11"/>
  <c r="M23" i="11"/>
  <c r="M22" i="11"/>
  <c r="J17" i="11"/>
  <c r="M29" i="11"/>
  <c r="M18" i="11"/>
  <c r="M28" i="11"/>
  <c r="J69" i="11"/>
  <c r="J56" i="11"/>
  <c r="M73" i="11"/>
  <c r="M52" i="11"/>
  <c r="J72" i="11"/>
  <c r="J68" i="11"/>
  <c r="J55" i="11"/>
  <c r="J31" i="11"/>
  <c r="M88" i="11"/>
  <c r="J95" i="10"/>
  <c r="J84" i="10"/>
  <c r="M73" i="10"/>
  <c r="M54" i="10"/>
  <c r="M20" i="10"/>
  <c r="M26" i="10"/>
  <c r="M71" i="10"/>
  <c r="J52" i="10"/>
  <c r="M70" i="10"/>
  <c r="M21" i="10"/>
  <c r="M24" i="10"/>
  <c r="M55" i="10"/>
  <c r="G84" i="9"/>
  <c r="M84" i="9" s="1"/>
  <c r="G87" i="9"/>
  <c r="M87" i="9" s="1"/>
  <c r="G71" i="9"/>
  <c r="M71" i="9" s="1"/>
  <c r="G55" i="9"/>
  <c r="M55" i="9" s="1"/>
  <c r="G39" i="9"/>
  <c r="M39" i="9" s="1"/>
  <c r="G15" i="9"/>
  <c r="M15" i="9" s="1"/>
  <c r="G7" i="9"/>
  <c r="J7" i="9" s="1"/>
  <c r="J57" i="9"/>
  <c r="M90" i="9"/>
  <c r="G56" i="9"/>
  <c r="M56" i="9" s="1"/>
  <c r="G76" i="9"/>
  <c r="J76" i="9" s="1"/>
  <c r="G80" i="9"/>
  <c r="J80" i="9" s="1"/>
  <c r="J86" i="9"/>
  <c r="G22" i="9"/>
  <c r="J22" i="9" s="1"/>
  <c r="G32" i="9"/>
  <c r="J32" i="9" s="1"/>
  <c r="M5" i="9"/>
  <c r="M9" i="9"/>
  <c r="J9" i="9"/>
  <c r="G21" i="9"/>
  <c r="J21" i="9" s="1"/>
  <c r="G19" i="9"/>
  <c r="J19" i="9" s="1"/>
  <c r="G30" i="9"/>
  <c r="J30" i="9" s="1"/>
  <c r="G20" i="9"/>
  <c r="J20" i="9" s="1"/>
  <c r="G24" i="9"/>
  <c r="J24" i="9" s="1"/>
  <c r="M57" i="9"/>
  <c r="G78" i="9"/>
  <c r="J78" i="9" s="1"/>
  <c r="G82" i="9"/>
  <c r="M82" i="9" s="1"/>
  <c r="G94" i="9"/>
  <c r="J94" i="9" s="1"/>
  <c r="G23" i="9"/>
  <c r="J23" i="9" s="1"/>
  <c r="G34" i="9"/>
  <c r="M34" i="9" s="1"/>
  <c r="G59" i="9"/>
  <c r="J59" i="9" s="1"/>
  <c r="J67" i="9"/>
  <c r="J3" i="9"/>
  <c r="M3" i="9"/>
  <c r="J11" i="9"/>
  <c r="J12" i="9"/>
  <c r="J13" i="9"/>
  <c r="J14" i="9"/>
  <c r="J16" i="9"/>
  <c r="J17" i="9"/>
  <c r="M18" i="9"/>
  <c r="M22" i="9"/>
  <c r="J25" i="9"/>
  <c r="M25" i="9"/>
  <c r="M8" i="9"/>
  <c r="J8" i="9"/>
  <c r="J4" i="9"/>
  <c r="M4" i="9"/>
  <c r="M6" i="9"/>
  <c r="J40" i="9"/>
  <c r="G50" i="9"/>
  <c r="M50" i="9" s="1"/>
  <c r="J54" i="9"/>
  <c r="G70" i="9"/>
  <c r="M70" i="9" s="1"/>
  <c r="J27" i="9"/>
  <c r="G29" i="9"/>
  <c r="J29" i="9" s="1"/>
  <c r="G31" i="9"/>
  <c r="J31" i="9" s="1"/>
  <c r="G33" i="9"/>
  <c r="J33" i="9" s="1"/>
  <c r="J35" i="9"/>
  <c r="J37" i="9"/>
  <c r="J39" i="9"/>
  <c r="J41" i="9"/>
  <c r="G61" i="9"/>
  <c r="J61" i="9" s="1"/>
  <c r="M63" i="9"/>
  <c r="G65" i="9"/>
  <c r="J65" i="9" s="1"/>
  <c r="J69" i="9"/>
  <c r="J73" i="9"/>
  <c r="J84" i="9"/>
  <c r="J88" i="9"/>
  <c r="M98" i="9"/>
  <c r="J36" i="9"/>
  <c r="J38" i="9"/>
  <c r="M42" i="9"/>
  <c r="G44" i="9"/>
  <c r="J44" i="9" s="1"/>
  <c r="G46" i="9"/>
  <c r="J46" i="9" s="1"/>
  <c r="G48" i="9"/>
  <c r="J48" i="9" s="1"/>
  <c r="J52" i="9"/>
  <c r="G92" i="9"/>
  <c r="J92" i="9" s="1"/>
  <c r="M28" i="9"/>
  <c r="M32" i="9"/>
  <c r="G43" i="9"/>
  <c r="J43" i="9" s="1"/>
  <c r="G45" i="9"/>
  <c r="J45" i="9" s="1"/>
  <c r="G47" i="9"/>
  <c r="J47" i="9" s="1"/>
  <c r="G49" i="9"/>
  <c r="J49" i="9" s="1"/>
  <c r="J51" i="9"/>
  <c r="J53" i="9"/>
  <c r="G68" i="9"/>
  <c r="M68" i="9" s="1"/>
  <c r="G96" i="9"/>
  <c r="J96" i="9" s="1"/>
  <c r="J56" i="9"/>
  <c r="M58" i="9"/>
  <c r="G75" i="9"/>
  <c r="J75" i="9" s="1"/>
  <c r="G77" i="9"/>
  <c r="J77" i="9" s="1"/>
  <c r="G79" i="9"/>
  <c r="J79" i="9" s="1"/>
  <c r="G81" i="9"/>
  <c r="J81" i="9" s="1"/>
  <c r="J83" i="9"/>
  <c r="J85" i="9"/>
  <c r="J89" i="9"/>
  <c r="G60" i="9"/>
  <c r="J60" i="9" s="1"/>
  <c r="G62" i="9"/>
  <c r="J62" i="9" s="1"/>
  <c r="G64" i="9"/>
  <c r="J64" i="9" s="1"/>
  <c r="G66" i="9"/>
  <c r="M66" i="9" s="1"/>
  <c r="J70" i="9"/>
  <c r="J72" i="9"/>
  <c r="M74" i="9"/>
  <c r="M78" i="9"/>
  <c r="G91" i="9"/>
  <c r="J91" i="9" s="1"/>
  <c r="G93" i="9"/>
  <c r="J93" i="9" s="1"/>
  <c r="G95" i="9"/>
  <c r="J95" i="9" s="1"/>
  <c r="G97" i="9"/>
  <c r="J97" i="9" s="1"/>
  <c r="L99" i="8"/>
  <c r="D99" i="8"/>
  <c r="G99" i="8" s="1"/>
  <c r="M99" i="8" s="1"/>
  <c r="D98" i="8"/>
  <c r="D97" i="8"/>
  <c r="D96" i="8"/>
  <c r="D95" i="8"/>
  <c r="D94" i="8"/>
  <c r="D93" i="8"/>
  <c r="D92" i="8"/>
  <c r="D91" i="8"/>
  <c r="G91" i="8" s="1"/>
  <c r="D90" i="8"/>
  <c r="G90" i="8" s="1"/>
  <c r="D89" i="8"/>
  <c r="G89" i="8" s="1"/>
  <c r="J89" i="8" s="1"/>
  <c r="D88" i="8"/>
  <c r="G88" i="8" s="1"/>
  <c r="J88" i="8" s="1"/>
  <c r="D87" i="8"/>
  <c r="G87" i="8" s="1"/>
  <c r="D86" i="8"/>
  <c r="G86" i="8" s="1"/>
  <c r="J86" i="8" s="1"/>
  <c r="D85" i="8"/>
  <c r="G85" i="8" s="1"/>
  <c r="J85" i="8" s="1"/>
  <c r="D84" i="8"/>
  <c r="G84" i="8" s="1"/>
  <c r="J84" i="8" s="1"/>
  <c r="D83" i="8"/>
  <c r="G83" i="8" s="1"/>
  <c r="M83" i="8" s="1"/>
  <c r="L82" i="8"/>
  <c r="D82" i="8"/>
  <c r="G82" i="8" s="1"/>
  <c r="M82" i="8" s="1"/>
  <c r="D81" i="8"/>
  <c r="G81" i="8" s="1"/>
  <c r="M81" i="8" s="1"/>
  <c r="D80" i="8"/>
  <c r="G80" i="8" s="1"/>
  <c r="M80" i="8" s="1"/>
  <c r="D79" i="8"/>
  <c r="G79" i="8" s="1"/>
  <c r="M79" i="8" s="1"/>
  <c r="D78" i="8"/>
  <c r="G78" i="8" s="1"/>
  <c r="M78" i="8" s="1"/>
  <c r="D77" i="8"/>
  <c r="G77" i="8" s="1"/>
  <c r="M77" i="8" s="1"/>
  <c r="D76" i="8"/>
  <c r="G76" i="8" s="1"/>
  <c r="M76" i="8" s="1"/>
  <c r="D75" i="8"/>
  <c r="D74" i="8"/>
  <c r="D73" i="8"/>
  <c r="D72" i="8"/>
  <c r="D71" i="8"/>
  <c r="D70" i="8"/>
  <c r="D69" i="8"/>
  <c r="D68" i="8"/>
  <c r="G68" i="8" s="1"/>
  <c r="M68" i="8" s="1"/>
  <c r="D67" i="8"/>
  <c r="G67" i="8" s="1"/>
  <c r="M67" i="8" s="1"/>
  <c r="D66" i="8"/>
  <c r="D65" i="8"/>
  <c r="D64" i="8"/>
  <c r="D63" i="8"/>
  <c r="D62" i="8"/>
  <c r="D61" i="8"/>
  <c r="D60" i="8"/>
  <c r="D59" i="8"/>
  <c r="G59" i="8" s="1"/>
  <c r="D58" i="8"/>
  <c r="G58" i="8" s="1"/>
  <c r="M58" i="8" s="1"/>
  <c r="D57" i="8"/>
  <c r="G57" i="8" s="1"/>
  <c r="D56" i="8"/>
  <c r="G56" i="8" s="1"/>
  <c r="M56" i="8" s="1"/>
  <c r="D55" i="8"/>
  <c r="G55" i="8" s="1"/>
  <c r="M55" i="8" s="1"/>
  <c r="D54" i="8"/>
  <c r="G54" i="8" s="1"/>
  <c r="D53" i="8"/>
  <c r="G53" i="8" s="1"/>
  <c r="J53" i="8" s="1"/>
  <c r="D52" i="8"/>
  <c r="G52" i="8" s="1"/>
  <c r="D51" i="8"/>
  <c r="G51" i="8" s="1"/>
  <c r="M51" i="8" s="1"/>
  <c r="D50" i="8"/>
  <c r="G50" i="8" s="1"/>
  <c r="M50" i="8" s="1"/>
  <c r="D49" i="8"/>
  <c r="G49" i="8" s="1"/>
  <c r="M49" i="8" s="1"/>
  <c r="D48" i="8"/>
  <c r="G48" i="8" s="1"/>
  <c r="M48" i="8" s="1"/>
  <c r="D47" i="8"/>
  <c r="G47" i="8" s="1"/>
  <c r="M47" i="8" s="1"/>
  <c r="D46" i="8"/>
  <c r="G46" i="8" s="1"/>
  <c r="M46" i="8" s="1"/>
  <c r="D45" i="8"/>
  <c r="G45" i="8" s="1"/>
  <c r="M45" i="8" s="1"/>
  <c r="D44" i="8"/>
  <c r="G44" i="8" s="1"/>
  <c r="M44" i="8" s="1"/>
  <c r="L43" i="8"/>
  <c r="D43" i="8"/>
  <c r="L42" i="8"/>
  <c r="D42" i="8"/>
  <c r="G42" i="8" s="1"/>
  <c r="D41" i="8"/>
  <c r="G41" i="8" s="1"/>
  <c r="M41" i="8" s="1"/>
  <c r="D40" i="8"/>
  <c r="G40" i="8" s="1"/>
  <c r="M40" i="8" s="1"/>
  <c r="D39" i="8"/>
  <c r="G39" i="8" s="1"/>
  <c r="M39" i="8" s="1"/>
  <c r="D38" i="8"/>
  <c r="G38" i="8" s="1"/>
  <c r="M38" i="8" s="1"/>
  <c r="I37" i="8"/>
  <c r="D37" i="8"/>
  <c r="G37" i="8" s="1"/>
  <c r="M37" i="8" s="1"/>
  <c r="L36" i="8"/>
  <c r="I36" i="8"/>
  <c r="D36" i="8"/>
  <c r="G36" i="8" s="1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L19" i="8"/>
  <c r="D19" i="8"/>
  <c r="L18" i="8"/>
  <c r="D18" i="8"/>
  <c r="D17" i="8"/>
  <c r="D16" i="8"/>
  <c r="D15" i="8"/>
  <c r="D14" i="8"/>
  <c r="D13" i="8"/>
  <c r="D12" i="8"/>
  <c r="L11" i="8"/>
  <c r="D11" i="8"/>
  <c r="G11" i="8" s="1"/>
  <c r="D10" i="8"/>
  <c r="G10" i="8" s="1"/>
  <c r="J10" i="8" s="1"/>
  <c r="D9" i="8"/>
  <c r="G9" i="8" s="1"/>
  <c r="J9" i="8" s="1"/>
  <c r="D8" i="8"/>
  <c r="G8" i="8" s="1"/>
  <c r="J8" i="8" s="1"/>
  <c r="D7" i="8"/>
  <c r="G7" i="8" s="1"/>
  <c r="J7" i="8" s="1"/>
  <c r="D6" i="8"/>
  <c r="G6" i="8" s="1"/>
  <c r="J6" i="8" s="1"/>
  <c r="D5" i="8"/>
  <c r="G5" i="8" s="1"/>
  <c r="D4" i="8"/>
  <c r="G4" i="8" s="1"/>
  <c r="M4" i="8" s="1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0" i="7"/>
  <c r="L81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1" i="7"/>
  <c r="L40" i="7"/>
  <c r="L39" i="7"/>
  <c r="L38" i="7"/>
  <c r="L37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7" i="7"/>
  <c r="L16" i="7"/>
  <c r="L15" i="7"/>
  <c r="L14" i="7"/>
  <c r="L13" i="7"/>
  <c r="M36" i="8" l="1"/>
  <c r="J71" i="9"/>
  <c r="G75" i="8"/>
  <c r="M75" i="8" s="1"/>
  <c r="G94" i="8"/>
  <c r="J94" i="8" s="1"/>
  <c r="G95" i="8"/>
  <c r="J95" i="8" s="1"/>
  <c r="G97" i="8"/>
  <c r="J97" i="8" s="1"/>
  <c r="G98" i="8"/>
  <c r="M98" i="8" s="1"/>
  <c r="G60" i="8"/>
  <c r="J60" i="8" s="1"/>
  <c r="G62" i="8"/>
  <c r="J62" i="8" s="1"/>
  <c r="G64" i="8"/>
  <c r="J64" i="8" s="1"/>
  <c r="G66" i="8"/>
  <c r="M66" i="8" s="1"/>
  <c r="G35" i="8"/>
  <c r="M6" i="8"/>
  <c r="M7" i="8"/>
  <c r="M8" i="8"/>
  <c r="M9" i="8"/>
  <c r="J54" i="8"/>
  <c r="M54" i="8"/>
  <c r="J52" i="8"/>
  <c r="M52" i="8"/>
  <c r="J87" i="8"/>
  <c r="M87" i="8"/>
  <c r="M10" i="8"/>
  <c r="G20" i="8"/>
  <c r="M20" i="8" s="1"/>
  <c r="G21" i="8"/>
  <c r="G22" i="8"/>
  <c r="M22" i="8" s="1"/>
  <c r="G23" i="8"/>
  <c r="M23" i="8" s="1"/>
  <c r="G24" i="8"/>
  <c r="M24" i="8" s="1"/>
  <c r="G25" i="8"/>
  <c r="J25" i="8" s="1"/>
  <c r="G26" i="8"/>
  <c r="M26" i="8" s="1"/>
  <c r="G27" i="8"/>
  <c r="M27" i="8" s="1"/>
  <c r="M35" i="8"/>
  <c r="M59" i="8"/>
  <c r="G61" i="8"/>
  <c r="J61" i="8" s="1"/>
  <c r="G65" i="8"/>
  <c r="J65" i="8" s="1"/>
  <c r="M90" i="8"/>
  <c r="G92" i="8"/>
  <c r="J92" i="8" s="1"/>
  <c r="G96" i="8"/>
  <c r="J96" i="8" s="1"/>
  <c r="M86" i="8"/>
  <c r="M89" i="8"/>
  <c r="G93" i="8"/>
  <c r="J93" i="8" s="1"/>
  <c r="G63" i="8"/>
  <c r="J63" i="8" s="1"/>
  <c r="M85" i="8"/>
  <c r="M76" i="9"/>
  <c r="J68" i="9"/>
  <c r="M7" i="9"/>
  <c r="J87" i="9"/>
  <c r="M80" i="9"/>
  <c r="M59" i="9"/>
  <c r="J55" i="9"/>
  <c r="M19" i="9"/>
  <c r="J15" i="9"/>
  <c r="M30" i="9"/>
  <c r="M91" i="9"/>
  <c r="M94" i="9"/>
  <c r="M21" i="9"/>
  <c r="M23" i="9"/>
  <c r="M93" i="9"/>
  <c r="M33" i="9"/>
  <c r="M47" i="9"/>
  <c r="M29" i="9"/>
  <c r="M65" i="9"/>
  <c r="M20" i="9"/>
  <c r="M60" i="9"/>
  <c r="M92" i="9"/>
  <c r="M96" i="9"/>
  <c r="M24" i="9"/>
  <c r="M77" i="9"/>
  <c r="M61" i="9"/>
  <c r="M45" i="9"/>
  <c r="M97" i="9"/>
  <c r="M64" i="9"/>
  <c r="M48" i="9"/>
  <c r="M43" i="9"/>
  <c r="M44" i="9"/>
  <c r="M75" i="9"/>
  <c r="M95" i="9"/>
  <c r="M62" i="9"/>
  <c r="M46" i="9"/>
  <c r="M79" i="9"/>
  <c r="M49" i="9"/>
  <c r="M81" i="9"/>
  <c r="M31" i="9"/>
  <c r="J57" i="8"/>
  <c r="M57" i="8"/>
  <c r="M5" i="8"/>
  <c r="J5" i="8"/>
  <c r="J4" i="8"/>
  <c r="M21" i="8"/>
  <c r="G19" i="8"/>
  <c r="M19" i="8" s="1"/>
  <c r="J21" i="8"/>
  <c r="J23" i="8"/>
  <c r="G29" i="8"/>
  <c r="J29" i="8" s="1"/>
  <c r="G31" i="8"/>
  <c r="J31" i="8" s="1"/>
  <c r="G33" i="8"/>
  <c r="J33" i="8" s="1"/>
  <c r="G43" i="8"/>
  <c r="M43" i="8" s="1"/>
  <c r="J45" i="8"/>
  <c r="J48" i="8"/>
  <c r="J49" i="8"/>
  <c r="J56" i="8"/>
  <c r="G70" i="8"/>
  <c r="J70" i="8" s="1"/>
  <c r="G72" i="8"/>
  <c r="J72" i="8" s="1"/>
  <c r="G74" i="8"/>
  <c r="M74" i="8" s="1"/>
  <c r="G15" i="8"/>
  <c r="M15" i="8" s="1"/>
  <c r="J39" i="8"/>
  <c r="J41" i="8"/>
  <c r="G12" i="8"/>
  <c r="J12" i="8" s="1"/>
  <c r="G14" i="8"/>
  <c r="J14" i="8" s="1"/>
  <c r="G16" i="8"/>
  <c r="J16" i="8" s="1"/>
  <c r="G18" i="8"/>
  <c r="J18" i="8" s="1"/>
  <c r="J22" i="8"/>
  <c r="J26" i="8"/>
  <c r="J36" i="8"/>
  <c r="J38" i="8"/>
  <c r="J40" i="8"/>
  <c r="M42" i="8"/>
  <c r="M64" i="8"/>
  <c r="J76" i="8"/>
  <c r="J77" i="8"/>
  <c r="J78" i="8"/>
  <c r="J79" i="8"/>
  <c r="J80" i="8"/>
  <c r="J81" i="8"/>
  <c r="M95" i="8"/>
  <c r="G13" i="8"/>
  <c r="J13" i="8" s="1"/>
  <c r="G17" i="8"/>
  <c r="J17" i="8" s="1"/>
  <c r="J37" i="8"/>
  <c r="M11" i="8"/>
  <c r="G28" i="8"/>
  <c r="J28" i="8" s="1"/>
  <c r="G30" i="8"/>
  <c r="M30" i="8" s="1"/>
  <c r="G32" i="8"/>
  <c r="M32" i="8" s="1"/>
  <c r="G34" i="8"/>
  <c r="M34" i="8" s="1"/>
  <c r="J44" i="8"/>
  <c r="J46" i="8"/>
  <c r="J47" i="8"/>
  <c r="M53" i="8"/>
  <c r="J55" i="8"/>
  <c r="M61" i="8"/>
  <c r="M65" i="8"/>
  <c r="J68" i="8"/>
  <c r="G69" i="8"/>
  <c r="J69" i="8" s="1"/>
  <c r="G71" i="8"/>
  <c r="J71" i="8" s="1"/>
  <c r="G73" i="8"/>
  <c r="J73" i="8" s="1"/>
  <c r="M84" i="8"/>
  <c r="M88" i="8"/>
  <c r="M91" i="8"/>
  <c r="L12" i="7"/>
  <c r="L11" i="7"/>
  <c r="L10" i="7"/>
  <c r="L9" i="7"/>
  <c r="L8" i="7"/>
  <c r="L7" i="7"/>
  <c r="L6" i="7"/>
  <c r="L5" i="7"/>
  <c r="L4" i="7"/>
  <c r="I8" i="7"/>
  <c r="I96" i="7"/>
  <c r="I98" i="7"/>
  <c r="I86" i="7"/>
  <c r="I92" i="7"/>
  <c r="I89" i="7"/>
  <c r="I88" i="7"/>
  <c r="I87" i="7"/>
  <c r="I90" i="7"/>
  <c r="I85" i="7"/>
  <c r="I84" i="7"/>
  <c r="I82" i="7"/>
  <c r="J82" i="7" s="1"/>
  <c r="I58" i="7"/>
  <c r="I26" i="7"/>
  <c r="I12" i="7"/>
  <c r="I10" i="7"/>
  <c r="C99" i="7"/>
  <c r="C98" i="7"/>
  <c r="C97" i="7"/>
  <c r="C96" i="7"/>
  <c r="D96" i="7" s="1"/>
  <c r="C95" i="7"/>
  <c r="D95" i="7" s="1"/>
  <c r="C94" i="7"/>
  <c r="C93" i="7"/>
  <c r="C92" i="7"/>
  <c r="D92" i="7" s="1"/>
  <c r="C91" i="7"/>
  <c r="D91" i="7" s="1"/>
  <c r="G91" i="7" s="1"/>
  <c r="C90" i="7"/>
  <c r="C89" i="7"/>
  <c r="C88" i="7"/>
  <c r="D88" i="7" s="1"/>
  <c r="C87" i="7"/>
  <c r="D87" i="7" s="1"/>
  <c r="C86" i="7"/>
  <c r="C85" i="7"/>
  <c r="C84" i="7"/>
  <c r="D84" i="7" s="1"/>
  <c r="C83" i="7"/>
  <c r="C82" i="7"/>
  <c r="C81" i="7"/>
  <c r="C80" i="7"/>
  <c r="D80" i="7" s="1"/>
  <c r="G80" i="7" s="1"/>
  <c r="M80" i="7" s="1"/>
  <c r="C79" i="7"/>
  <c r="D79" i="7" s="1"/>
  <c r="G79" i="7" s="1"/>
  <c r="M79" i="7" s="1"/>
  <c r="C78" i="7"/>
  <c r="C77" i="7"/>
  <c r="C76" i="7"/>
  <c r="D76" i="7" s="1"/>
  <c r="G76" i="7" s="1"/>
  <c r="M76" i="7" s="1"/>
  <c r="C75" i="7"/>
  <c r="C74" i="7"/>
  <c r="C73" i="7"/>
  <c r="C72" i="7"/>
  <c r="C71" i="7"/>
  <c r="C70" i="7"/>
  <c r="C69" i="7"/>
  <c r="C68" i="7"/>
  <c r="C67" i="7"/>
  <c r="C66" i="7"/>
  <c r="C65" i="7"/>
  <c r="C64" i="7"/>
  <c r="D64" i="7" s="1"/>
  <c r="C63" i="7"/>
  <c r="D63" i="7" s="1"/>
  <c r="C62" i="7"/>
  <c r="C61" i="7"/>
  <c r="C60" i="7"/>
  <c r="D60" i="7" s="1"/>
  <c r="C59" i="7"/>
  <c r="D59" i="7" s="1"/>
  <c r="G59" i="7" s="1"/>
  <c r="C58" i="7"/>
  <c r="C57" i="7"/>
  <c r="C56" i="7"/>
  <c r="D56" i="7" s="1"/>
  <c r="C55" i="7"/>
  <c r="D55" i="7" s="1"/>
  <c r="C54" i="7"/>
  <c r="C53" i="7"/>
  <c r="C52" i="7"/>
  <c r="C51" i="7"/>
  <c r="D51" i="7" s="1"/>
  <c r="G51" i="7" s="1"/>
  <c r="C50" i="7"/>
  <c r="C49" i="7"/>
  <c r="C48" i="7"/>
  <c r="D48" i="7" s="1"/>
  <c r="G48" i="7" s="1"/>
  <c r="M48" i="7" s="1"/>
  <c r="C47" i="7"/>
  <c r="C46" i="7"/>
  <c r="C45" i="7"/>
  <c r="C44" i="7"/>
  <c r="C43" i="7"/>
  <c r="D43" i="7" s="1"/>
  <c r="C42" i="7"/>
  <c r="C41" i="7"/>
  <c r="D41" i="7" s="1"/>
  <c r="G41" i="7" s="1"/>
  <c r="M41" i="7" s="1"/>
  <c r="C40" i="7"/>
  <c r="D40" i="7" s="1"/>
  <c r="G40" i="7" s="1"/>
  <c r="M40" i="7" s="1"/>
  <c r="C39" i="7"/>
  <c r="C38" i="7"/>
  <c r="C37" i="7"/>
  <c r="C36" i="7"/>
  <c r="C35" i="7"/>
  <c r="C34" i="7"/>
  <c r="C33" i="7"/>
  <c r="C32" i="7"/>
  <c r="D32" i="7" s="1"/>
  <c r="C31" i="7"/>
  <c r="D31" i="7" s="1"/>
  <c r="G31" i="7" s="1"/>
  <c r="M31" i="7" s="1"/>
  <c r="C30" i="7"/>
  <c r="C29" i="7"/>
  <c r="C28" i="7"/>
  <c r="D28" i="7" s="1"/>
  <c r="C27" i="7"/>
  <c r="D27" i="7" s="1"/>
  <c r="C26" i="7"/>
  <c r="C25" i="7"/>
  <c r="D25" i="7" s="1"/>
  <c r="G25" i="7" s="1"/>
  <c r="J25" i="7" s="1"/>
  <c r="C24" i="7"/>
  <c r="D24" i="7" s="1"/>
  <c r="C23" i="7"/>
  <c r="C22" i="7"/>
  <c r="C21" i="7"/>
  <c r="C20" i="7"/>
  <c r="D20" i="7" s="1"/>
  <c r="G20" i="7" s="1"/>
  <c r="C19" i="7"/>
  <c r="C18" i="7"/>
  <c r="C17" i="7"/>
  <c r="D17" i="7" s="1"/>
  <c r="G17" i="7" s="1"/>
  <c r="M17" i="7" s="1"/>
  <c r="C16" i="7"/>
  <c r="D16" i="7" s="1"/>
  <c r="C15" i="7"/>
  <c r="D15" i="7" s="1"/>
  <c r="C14" i="7"/>
  <c r="C13" i="7"/>
  <c r="D13" i="7" s="1"/>
  <c r="C12" i="7"/>
  <c r="D12" i="7" s="1"/>
  <c r="C11" i="7"/>
  <c r="D11" i="7" s="1"/>
  <c r="G11" i="7" s="1"/>
  <c r="M11" i="7" s="1"/>
  <c r="C10" i="7"/>
  <c r="C9" i="7"/>
  <c r="D9" i="7" s="1"/>
  <c r="G9" i="7" s="1"/>
  <c r="J9" i="7" s="1"/>
  <c r="C8" i="7"/>
  <c r="D8" i="7" s="1"/>
  <c r="G8" i="7" s="1"/>
  <c r="C7" i="7"/>
  <c r="D7" i="7" s="1"/>
  <c r="G7" i="7" s="1"/>
  <c r="J7" i="7" s="1"/>
  <c r="C6" i="7"/>
  <c r="C5" i="7"/>
  <c r="C4" i="7"/>
  <c r="D4" i="7" s="1"/>
  <c r="G4" i="7" s="1"/>
  <c r="D99" i="7"/>
  <c r="D98" i="7"/>
  <c r="D97" i="7"/>
  <c r="D94" i="7"/>
  <c r="D93" i="7"/>
  <c r="D90" i="7"/>
  <c r="D89" i="7"/>
  <c r="D86" i="7"/>
  <c r="D85" i="7"/>
  <c r="D83" i="7"/>
  <c r="G83" i="7" s="1"/>
  <c r="D82" i="7"/>
  <c r="G82" i="7" s="1"/>
  <c r="M82" i="7" s="1"/>
  <c r="D81" i="7"/>
  <c r="G81" i="7" s="1"/>
  <c r="M81" i="7" s="1"/>
  <c r="D78" i="7"/>
  <c r="G78" i="7" s="1"/>
  <c r="M78" i="7" s="1"/>
  <c r="D77" i="7"/>
  <c r="G77" i="7" s="1"/>
  <c r="M77" i="7" s="1"/>
  <c r="D75" i="7"/>
  <c r="D74" i="7"/>
  <c r="D73" i="7"/>
  <c r="D72" i="7"/>
  <c r="D71" i="7"/>
  <c r="G71" i="7" s="1"/>
  <c r="D70" i="7"/>
  <c r="G70" i="7" s="1"/>
  <c r="M70" i="7" s="1"/>
  <c r="D69" i="7"/>
  <c r="G69" i="7" s="1"/>
  <c r="M69" i="7" s="1"/>
  <c r="D68" i="7"/>
  <c r="G68" i="7" s="1"/>
  <c r="M68" i="7" s="1"/>
  <c r="D67" i="7"/>
  <c r="D66" i="7"/>
  <c r="D65" i="7"/>
  <c r="D62" i="7"/>
  <c r="D61" i="7"/>
  <c r="D58" i="7"/>
  <c r="D57" i="7"/>
  <c r="D54" i="7"/>
  <c r="D53" i="7"/>
  <c r="D52" i="7"/>
  <c r="D50" i="7"/>
  <c r="G50" i="7" s="1"/>
  <c r="D49" i="7"/>
  <c r="G49" i="7" s="1"/>
  <c r="M49" i="7" s="1"/>
  <c r="D47" i="7"/>
  <c r="G47" i="7" s="1"/>
  <c r="M47" i="7" s="1"/>
  <c r="D46" i="7"/>
  <c r="G46" i="7" s="1"/>
  <c r="M46" i="7" s="1"/>
  <c r="D45" i="7"/>
  <c r="G45" i="7" s="1"/>
  <c r="M45" i="7" s="1"/>
  <c r="D44" i="7"/>
  <c r="G44" i="7" s="1"/>
  <c r="M44" i="7" s="1"/>
  <c r="L43" i="7"/>
  <c r="L42" i="7"/>
  <c r="D42" i="7"/>
  <c r="G42" i="7" s="1"/>
  <c r="J42" i="7" s="1"/>
  <c r="D39" i="7"/>
  <c r="G39" i="7" s="1"/>
  <c r="M39" i="7" s="1"/>
  <c r="I38" i="7"/>
  <c r="D38" i="7"/>
  <c r="G38" i="7" s="1"/>
  <c r="M38" i="7" s="1"/>
  <c r="I37" i="7"/>
  <c r="D37" i="7"/>
  <c r="G37" i="7" s="1"/>
  <c r="M37" i="7" s="1"/>
  <c r="L36" i="7"/>
  <c r="I36" i="7"/>
  <c r="D36" i="7"/>
  <c r="G36" i="7" s="1"/>
  <c r="M36" i="7" s="1"/>
  <c r="D35" i="7"/>
  <c r="D34" i="7"/>
  <c r="D33" i="7"/>
  <c r="D30" i="7"/>
  <c r="D29" i="7"/>
  <c r="D26" i="7"/>
  <c r="D23" i="7"/>
  <c r="D22" i="7"/>
  <c r="G22" i="7" s="1"/>
  <c r="D21" i="7"/>
  <c r="L19" i="7"/>
  <c r="D19" i="7"/>
  <c r="G19" i="7" s="1"/>
  <c r="M19" i="7" s="1"/>
  <c r="L18" i="7"/>
  <c r="D18" i="7"/>
  <c r="D14" i="7"/>
  <c r="D10" i="7"/>
  <c r="G10" i="7" s="1"/>
  <c r="D6" i="7"/>
  <c r="G6" i="7" s="1"/>
  <c r="J6" i="7" s="1"/>
  <c r="D5" i="7"/>
  <c r="L99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1" i="6"/>
  <c r="L40" i="6"/>
  <c r="L39" i="6"/>
  <c r="L38" i="6"/>
  <c r="L37" i="6"/>
  <c r="L34" i="6"/>
  <c r="L33" i="6"/>
  <c r="L32" i="6"/>
  <c r="L31" i="6"/>
  <c r="L30" i="6"/>
  <c r="L29" i="6"/>
  <c r="L28" i="6"/>
  <c r="L26" i="6"/>
  <c r="L25" i="6"/>
  <c r="L24" i="6"/>
  <c r="L23" i="6"/>
  <c r="L22" i="6"/>
  <c r="L21" i="6"/>
  <c r="L20" i="6"/>
  <c r="L17" i="6"/>
  <c r="L16" i="6"/>
  <c r="L15" i="6"/>
  <c r="L14" i="6"/>
  <c r="L13" i="6"/>
  <c r="L11" i="6"/>
  <c r="L10" i="6"/>
  <c r="L9" i="6"/>
  <c r="L8" i="6"/>
  <c r="L7" i="6"/>
  <c r="L6" i="6"/>
  <c r="L5" i="6"/>
  <c r="L4" i="6"/>
  <c r="I96" i="6"/>
  <c r="I98" i="6"/>
  <c r="I88" i="6"/>
  <c r="I82" i="6"/>
  <c r="I78" i="6"/>
  <c r="I61" i="6"/>
  <c r="I56" i="6"/>
  <c r="I40" i="6"/>
  <c r="I38" i="6"/>
  <c r="I37" i="6"/>
  <c r="I36" i="6"/>
  <c r="I14" i="6"/>
  <c r="C99" i="6"/>
  <c r="C98" i="6"/>
  <c r="C97" i="6"/>
  <c r="C96" i="6"/>
  <c r="D96" i="6" s="1"/>
  <c r="C95" i="6"/>
  <c r="C94" i="6"/>
  <c r="D94" i="6" s="1"/>
  <c r="C93" i="6"/>
  <c r="D93" i="6" s="1"/>
  <c r="C92" i="6"/>
  <c r="D92" i="6" s="1"/>
  <c r="C91" i="6"/>
  <c r="C90" i="6"/>
  <c r="D90" i="6" s="1"/>
  <c r="C89" i="6"/>
  <c r="D89" i="6" s="1"/>
  <c r="C88" i="6"/>
  <c r="D88" i="6" s="1"/>
  <c r="C87" i="6"/>
  <c r="C86" i="6"/>
  <c r="C85" i="6"/>
  <c r="D85" i="6" s="1"/>
  <c r="G85" i="6" s="1"/>
  <c r="C84" i="6"/>
  <c r="D84" i="6" s="1"/>
  <c r="C83" i="6"/>
  <c r="C82" i="6"/>
  <c r="D82" i="6" s="1"/>
  <c r="G82" i="6" s="1"/>
  <c r="M82" i="6" s="1"/>
  <c r="C81" i="6"/>
  <c r="D81" i="6" s="1"/>
  <c r="G81" i="6" s="1"/>
  <c r="M81" i="6" s="1"/>
  <c r="C80" i="6"/>
  <c r="D80" i="6" s="1"/>
  <c r="G80" i="6" s="1"/>
  <c r="M80" i="6" s="1"/>
  <c r="C79" i="6"/>
  <c r="C78" i="6"/>
  <c r="C77" i="6"/>
  <c r="D77" i="6" s="1"/>
  <c r="G77" i="6" s="1"/>
  <c r="M77" i="6" s="1"/>
  <c r="C76" i="6"/>
  <c r="D76" i="6" s="1"/>
  <c r="G76" i="6" s="1"/>
  <c r="M76" i="6" s="1"/>
  <c r="C75" i="6"/>
  <c r="C74" i="6"/>
  <c r="C73" i="6"/>
  <c r="D73" i="6" s="1"/>
  <c r="C72" i="6"/>
  <c r="D72" i="6" s="1"/>
  <c r="G72" i="6" s="1"/>
  <c r="C71" i="6"/>
  <c r="C70" i="6"/>
  <c r="C69" i="6"/>
  <c r="C68" i="6"/>
  <c r="D68" i="6" s="1"/>
  <c r="G68" i="6" s="1"/>
  <c r="M68" i="6" s="1"/>
  <c r="C67" i="6"/>
  <c r="C66" i="6"/>
  <c r="C65" i="6"/>
  <c r="D65" i="6" s="1"/>
  <c r="G65" i="6" s="1"/>
  <c r="J65" i="6" s="1"/>
  <c r="C64" i="6"/>
  <c r="D64" i="6" s="1"/>
  <c r="C63" i="6"/>
  <c r="C62" i="6"/>
  <c r="D62" i="6" s="1"/>
  <c r="C61" i="6"/>
  <c r="D61" i="6" s="1"/>
  <c r="G61" i="6" s="1"/>
  <c r="J61" i="6" s="1"/>
  <c r="C60" i="6"/>
  <c r="D60" i="6" s="1"/>
  <c r="C59" i="6"/>
  <c r="C58" i="6"/>
  <c r="D58" i="6" s="1"/>
  <c r="C57" i="6"/>
  <c r="D57" i="6" s="1"/>
  <c r="C56" i="6"/>
  <c r="C55" i="6"/>
  <c r="C54" i="6"/>
  <c r="D54" i="6" s="1"/>
  <c r="C53" i="6"/>
  <c r="D53" i="6" s="1"/>
  <c r="C52" i="6"/>
  <c r="C51" i="6"/>
  <c r="C50" i="6"/>
  <c r="D50" i="6" s="1"/>
  <c r="G50" i="6" s="1"/>
  <c r="C49" i="6"/>
  <c r="D49" i="6" s="1"/>
  <c r="G49" i="6" s="1"/>
  <c r="M49" i="6" s="1"/>
  <c r="C48" i="6"/>
  <c r="D48" i="6" s="1"/>
  <c r="G48" i="6" s="1"/>
  <c r="C47" i="6"/>
  <c r="C46" i="6"/>
  <c r="C45" i="6"/>
  <c r="C44" i="6"/>
  <c r="D44" i="6" s="1"/>
  <c r="G44" i="6" s="1"/>
  <c r="C43" i="6"/>
  <c r="C42" i="6"/>
  <c r="C41" i="6"/>
  <c r="D41" i="6" s="1"/>
  <c r="G41" i="6" s="1"/>
  <c r="M41" i="6" s="1"/>
  <c r="C40" i="6"/>
  <c r="D40" i="6" s="1"/>
  <c r="G40" i="6" s="1"/>
  <c r="C39" i="6"/>
  <c r="C38" i="6"/>
  <c r="D38" i="6" s="1"/>
  <c r="G38" i="6" s="1"/>
  <c r="M38" i="6" s="1"/>
  <c r="C37" i="6"/>
  <c r="D37" i="6" s="1"/>
  <c r="G37" i="6" s="1"/>
  <c r="M37" i="6" s="1"/>
  <c r="C36" i="6"/>
  <c r="D36" i="6" s="1"/>
  <c r="G36" i="6" s="1"/>
  <c r="C35" i="6"/>
  <c r="C34" i="6"/>
  <c r="D34" i="6" s="1"/>
  <c r="C33" i="6"/>
  <c r="D33" i="6" s="1"/>
  <c r="C32" i="6"/>
  <c r="D32" i="6" s="1"/>
  <c r="C31" i="6"/>
  <c r="C30" i="6"/>
  <c r="C29" i="6"/>
  <c r="D29" i="6" s="1"/>
  <c r="C28" i="6"/>
  <c r="D28" i="6" s="1"/>
  <c r="C27" i="6"/>
  <c r="C26" i="6"/>
  <c r="D26" i="6" s="1"/>
  <c r="G26" i="6" s="1"/>
  <c r="J26" i="6" s="1"/>
  <c r="C25" i="6"/>
  <c r="D25" i="6" s="1"/>
  <c r="G25" i="6" s="1"/>
  <c r="J25" i="6" s="1"/>
  <c r="C24" i="6"/>
  <c r="D24" i="6" s="1"/>
  <c r="G24" i="6" s="1"/>
  <c r="J24" i="6" s="1"/>
  <c r="C23" i="6"/>
  <c r="C22" i="6"/>
  <c r="C21" i="6"/>
  <c r="D20" i="6"/>
  <c r="G20" i="6" s="1"/>
  <c r="J20" i="6" s="1"/>
  <c r="D17" i="6"/>
  <c r="D16" i="6"/>
  <c r="D13" i="6"/>
  <c r="D12" i="6"/>
  <c r="G12" i="6" s="1"/>
  <c r="D9" i="6"/>
  <c r="G9" i="6" s="1"/>
  <c r="D8" i="6"/>
  <c r="G8" i="6" s="1"/>
  <c r="D5" i="6"/>
  <c r="G5" i="6" s="1"/>
  <c r="D99" i="6"/>
  <c r="L98" i="6"/>
  <c r="D98" i="6"/>
  <c r="D97" i="6"/>
  <c r="D95" i="6"/>
  <c r="D91" i="6"/>
  <c r="G91" i="6" s="1"/>
  <c r="M91" i="6" s="1"/>
  <c r="D87" i="6"/>
  <c r="D86" i="6"/>
  <c r="D83" i="6"/>
  <c r="G83" i="6" s="1"/>
  <c r="D79" i="6"/>
  <c r="G79" i="6" s="1"/>
  <c r="M79" i="6" s="1"/>
  <c r="D78" i="6"/>
  <c r="G78" i="6" s="1"/>
  <c r="M78" i="6" s="1"/>
  <c r="D75" i="6"/>
  <c r="G75" i="6" s="1"/>
  <c r="M75" i="6" s="1"/>
  <c r="D74" i="6"/>
  <c r="D71" i="6"/>
  <c r="G71" i="6" s="1"/>
  <c r="M71" i="6" s="1"/>
  <c r="D70" i="6"/>
  <c r="D69" i="6"/>
  <c r="G69" i="6" s="1"/>
  <c r="M69" i="6" s="1"/>
  <c r="L67" i="6"/>
  <c r="D67" i="6"/>
  <c r="G67" i="6" s="1"/>
  <c r="M67" i="6" s="1"/>
  <c r="D66" i="6"/>
  <c r="D63" i="6"/>
  <c r="G63" i="6" s="1"/>
  <c r="J63" i="6" s="1"/>
  <c r="D59" i="6"/>
  <c r="G59" i="6" s="1"/>
  <c r="D56" i="6"/>
  <c r="D55" i="6"/>
  <c r="D52" i="6"/>
  <c r="D51" i="6"/>
  <c r="G51" i="6" s="1"/>
  <c r="D47" i="6"/>
  <c r="G47" i="6" s="1"/>
  <c r="M47" i="6" s="1"/>
  <c r="D46" i="6"/>
  <c r="G46" i="6" s="1"/>
  <c r="M46" i="6" s="1"/>
  <c r="D45" i="6"/>
  <c r="G45" i="6" s="1"/>
  <c r="M45" i="6" s="1"/>
  <c r="D43" i="6"/>
  <c r="L42" i="6"/>
  <c r="D42" i="6"/>
  <c r="G42" i="6" s="1"/>
  <c r="J42" i="6" s="1"/>
  <c r="D39" i="6"/>
  <c r="G39" i="6" s="1"/>
  <c r="M39" i="6" s="1"/>
  <c r="L36" i="6"/>
  <c r="L35" i="6"/>
  <c r="D35" i="6"/>
  <c r="D31" i="6"/>
  <c r="D30" i="6"/>
  <c r="L27" i="6"/>
  <c r="D27" i="6"/>
  <c r="G27" i="6" s="1"/>
  <c r="M27" i="6" s="1"/>
  <c r="D23" i="6"/>
  <c r="D22" i="6"/>
  <c r="D21" i="6"/>
  <c r="G21" i="6" s="1"/>
  <c r="J21" i="6" s="1"/>
  <c r="L19" i="6"/>
  <c r="D19" i="6"/>
  <c r="L18" i="6"/>
  <c r="D18" i="6"/>
  <c r="D15" i="6"/>
  <c r="D14" i="6"/>
  <c r="L12" i="6"/>
  <c r="D11" i="6"/>
  <c r="G11" i="6" s="1"/>
  <c r="M11" i="6" s="1"/>
  <c r="D10" i="6"/>
  <c r="G10" i="6" s="1"/>
  <c r="J10" i="6" s="1"/>
  <c r="D7" i="6"/>
  <c r="G7" i="6" s="1"/>
  <c r="D6" i="6"/>
  <c r="G6" i="6" s="1"/>
  <c r="D4" i="6"/>
  <c r="G4" i="6" s="1"/>
  <c r="M4" i="6" s="1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0" i="5"/>
  <c r="L49" i="5"/>
  <c r="L48" i="5"/>
  <c r="L47" i="5"/>
  <c r="L46" i="5"/>
  <c r="L45" i="5"/>
  <c r="L43" i="5"/>
  <c r="L42" i="5"/>
  <c r="L41" i="5"/>
  <c r="L40" i="5"/>
  <c r="L39" i="5"/>
  <c r="L37" i="5"/>
  <c r="L29" i="5"/>
  <c r="L28" i="5"/>
  <c r="L35" i="5"/>
  <c r="L38" i="5"/>
  <c r="L36" i="5"/>
  <c r="L34" i="5"/>
  <c r="L33" i="5"/>
  <c r="L32" i="5"/>
  <c r="L31" i="5"/>
  <c r="L30" i="5"/>
  <c r="L27" i="5"/>
  <c r="L26" i="5"/>
  <c r="L25" i="5"/>
  <c r="L24" i="5"/>
  <c r="L23" i="5"/>
  <c r="L22" i="5"/>
  <c r="L20" i="5"/>
  <c r="L19" i="5"/>
  <c r="L18" i="5"/>
  <c r="L17" i="5"/>
  <c r="L16" i="5"/>
  <c r="L15" i="5"/>
  <c r="L13" i="5"/>
  <c r="L12" i="5"/>
  <c r="L11" i="5"/>
  <c r="L10" i="5"/>
  <c r="L9" i="5"/>
  <c r="L8" i="5"/>
  <c r="L7" i="5"/>
  <c r="L6" i="5"/>
  <c r="I49" i="5"/>
  <c r="I32" i="5"/>
  <c r="I60" i="5"/>
  <c r="I59" i="5"/>
  <c r="C101" i="5"/>
  <c r="D101" i="5" s="1"/>
  <c r="C100" i="5"/>
  <c r="C99" i="5"/>
  <c r="C98" i="5"/>
  <c r="D98" i="5" s="1"/>
  <c r="G98" i="5" s="1"/>
  <c r="C97" i="5"/>
  <c r="D97" i="5" s="1"/>
  <c r="G97" i="5" s="1"/>
  <c r="M97" i="5" s="1"/>
  <c r="C96" i="5"/>
  <c r="C95" i="5"/>
  <c r="C94" i="5"/>
  <c r="D94" i="5" s="1"/>
  <c r="G94" i="5" s="1"/>
  <c r="C93" i="5"/>
  <c r="D93" i="5" s="1"/>
  <c r="G93" i="5" s="1"/>
  <c r="M93" i="5" s="1"/>
  <c r="C92" i="5"/>
  <c r="C91" i="5"/>
  <c r="C90" i="5"/>
  <c r="C89" i="5"/>
  <c r="D89" i="5" s="1"/>
  <c r="C88" i="5"/>
  <c r="C87" i="5"/>
  <c r="C86" i="5"/>
  <c r="C85" i="5"/>
  <c r="D85" i="5" s="1"/>
  <c r="C84" i="5"/>
  <c r="C83" i="5"/>
  <c r="C82" i="5"/>
  <c r="C81" i="5"/>
  <c r="D81" i="5" s="1"/>
  <c r="G81" i="5" s="1"/>
  <c r="J81" i="5" s="1"/>
  <c r="C80" i="5"/>
  <c r="C79" i="5"/>
  <c r="D79" i="5" s="1"/>
  <c r="G79" i="5" s="1"/>
  <c r="C78" i="5"/>
  <c r="D78" i="5" s="1"/>
  <c r="G78" i="5" s="1"/>
  <c r="J78" i="5" s="1"/>
  <c r="C77" i="5"/>
  <c r="C76" i="5"/>
  <c r="C75" i="5"/>
  <c r="D75" i="5" s="1"/>
  <c r="C74" i="5"/>
  <c r="D74" i="5" s="1"/>
  <c r="C73" i="5"/>
  <c r="D73" i="5" s="1"/>
  <c r="C72" i="5"/>
  <c r="C71" i="5"/>
  <c r="D71" i="5" s="1"/>
  <c r="C70" i="5"/>
  <c r="D70" i="5" s="1"/>
  <c r="C69" i="5"/>
  <c r="D69" i="5" s="1"/>
  <c r="C68" i="5"/>
  <c r="C67" i="5"/>
  <c r="D67" i="5" s="1"/>
  <c r="G67" i="5" s="1"/>
  <c r="C66" i="5"/>
  <c r="D66" i="5" s="1"/>
  <c r="G66" i="5" s="1"/>
  <c r="C65" i="5"/>
  <c r="D65" i="5" s="1"/>
  <c r="G65" i="5" s="1"/>
  <c r="M65" i="5" s="1"/>
  <c r="C64" i="5"/>
  <c r="C63" i="5"/>
  <c r="D63" i="5" s="1"/>
  <c r="G63" i="5" s="1"/>
  <c r="C62" i="5"/>
  <c r="D62" i="5" s="1"/>
  <c r="G62" i="5" s="1"/>
  <c r="C61" i="5"/>
  <c r="D61" i="5" s="1"/>
  <c r="G61" i="5" s="1"/>
  <c r="M61" i="5" s="1"/>
  <c r="C60" i="5"/>
  <c r="C59" i="5"/>
  <c r="D59" i="5" s="1"/>
  <c r="C58" i="5"/>
  <c r="D58" i="5" s="1"/>
  <c r="C57" i="5"/>
  <c r="D57" i="5" s="1"/>
  <c r="C56" i="5"/>
  <c r="C55" i="5"/>
  <c r="D55" i="5" s="1"/>
  <c r="C54" i="5"/>
  <c r="D54" i="5" s="1"/>
  <c r="D52" i="5"/>
  <c r="G52" i="5" s="1"/>
  <c r="J52" i="5" s="1"/>
  <c r="D51" i="5"/>
  <c r="G51" i="5" s="1"/>
  <c r="D50" i="5"/>
  <c r="G50" i="5" s="1"/>
  <c r="D48" i="5"/>
  <c r="G48" i="5" s="1"/>
  <c r="D47" i="5"/>
  <c r="G47" i="5" s="1"/>
  <c r="D46" i="5"/>
  <c r="G46" i="5" s="1"/>
  <c r="D42" i="5"/>
  <c r="G42" i="5" s="1"/>
  <c r="D38" i="5"/>
  <c r="G38" i="5" s="1"/>
  <c r="D34" i="5"/>
  <c r="D30" i="5"/>
  <c r="D27" i="5"/>
  <c r="D26" i="5"/>
  <c r="D23" i="5"/>
  <c r="D22" i="5"/>
  <c r="D20" i="5"/>
  <c r="D19" i="5"/>
  <c r="D18" i="5"/>
  <c r="D16" i="5"/>
  <c r="D15" i="5"/>
  <c r="D14" i="5"/>
  <c r="D11" i="5"/>
  <c r="G11" i="5" s="1"/>
  <c r="D7" i="5"/>
  <c r="G7" i="5" s="1"/>
  <c r="J7" i="5" s="1"/>
  <c r="D100" i="5"/>
  <c r="G100" i="5" s="1"/>
  <c r="J100" i="5" s="1"/>
  <c r="D99" i="5"/>
  <c r="G99" i="5" s="1"/>
  <c r="D96" i="5"/>
  <c r="G96" i="5" s="1"/>
  <c r="M96" i="5" s="1"/>
  <c r="D95" i="5"/>
  <c r="G95" i="5" s="1"/>
  <c r="M95" i="5" s="1"/>
  <c r="D92" i="5"/>
  <c r="D91" i="5"/>
  <c r="D90" i="5"/>
  <c r="D88" i="5"/>
  <c r="D87" i="5"/>
  <c r="D86" i="5"/>
  <c r="D84" i="5"/>
  <c r="G84" i="5" s="1"/>
  <c r="J84" i="5" s="1"/>
  <c r="D83" i="5"/>
  <c r="G83" i="5" s="1"/>
  <c r="D82" i="5"/>
  <c r="D80" i="5"/>
  <c r="G80" i="5" s="1"/>
  <c r="J80" i="5" s="1"/>
  <c r="D77" i="5"/>
  <c r="G77" i="5" s="1"/>
  <c r="M77" i="5" s="1"/>
  <c r="D76" i="5"/>
  <c r="D72" i="5"/>
  <c r="L69" i="5"/>
  <c r="D68" i="5"/>
  <c r="G68" i="5" s="1"/>
  <c r="J68" i="5" s="1"/>
  <c r="D64" i="5"/>
  <c r="G64" i="5" s="1"/>
  <c r="M64" i="5" s="1"/>
  <c r="D60" i="5"/>
  <c r="D56" i="5"/>
  <c r="D53" i="5"/>
  <c r="L51" i="5"/>
  <c r="D49" i="5"/>
  <c r="G49" i="5" s="1"/>
  <c r="D45" i="5"/>
  <c r="G45" i="5" s="1"/>
  <c r="L44" i="5"/>
  <c r="D44" i="5"/>
  <c r="G44" i="5" s="1"/>
  <c r="D43" i="5"/>
  <c r="G43" i="5" s="1"/>
  <c r="D41" i="5"/>
  <c r="G41" i="5" s="1"/>
  <c r="D40" i="5"/>
  <c r="G40" i="5" s="1"/>
  <c r="D39" i="5"/>
  <c r="G39" i="5" s="1"/>
  <c r="D37" i="5"/>
  <c r="G37" i="5" s="1"/>
  <c r="M37" i="5" s="1"/>
  <c r="D36" i="5"/>
  <c r="D35" i="5"/>
  <c r="D33" i="5"/>
  <c r="D32" i="5"/>
  <c r="D31" i="5"/>
  <c r="D29" i="5"/>
  <c r="D28" i="5"/>
  <c r="D25" i="5"/>
  <c r="D24" i="5"/>
  <c r="L21" i="5"/>
  <c r="D21" i="5"/>
  <c r="D17" i="5"/>
  <c r="L14" i="5"/>
  <c r="D13" i="5"/>
  <c r="G13" i="5" s="1"/>
  <c r="D12" i="5"/>
  <c r="G12" i="5" s="1"/>
  <c r="D10" i="5"/>
  <c r="G10" i="5" s="1"/>
  <c r="D9" i="5"/>
  <c r="G9" i="5" s="1"/>
  <c r="J9" i="5" s="1"/>
  <c r="D8" i="5"/>
  <c r="G8" i="5" s="1"/>
  <c r="D6" i="5"/>
  <c r="G6" i="5" s="1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17" i="4"/>
  <c r="L16" i="4"/>
  <c r="L15" i="4"/>
  <c r="L14" i="4"/>
  <c r="L13" i="4"/>
  <c r="L12" i="4"/>
  <c r="L42" i="4"/>
  <c r="L41" i="4"/>
  <c r="L39" i="4"/>
  <c r="L38" i="4"/>
  <c r="L37" i="4"/>
  <c r="L36" i="4"/>
  <c r="L35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1" i="4"/>
  <c r="L10" i="4"/>
  <c r="L9" i="4"/>
  <c r="L8" i="4"/>
  <c r="L7" i="4"/>
  <c r="L6" i="4"/>
  <c r="L5" i="4"/>
  <c r="L4" i="4"/>
  <c r="L3" i="4"/>
  <c r="I95" i="4"/>
  <c r="I97" i="4"/>
  <c r="I88" i="4"/>
  <c r="I87" i="4"/>
  <c r="I86" i="4"/>
  <c r="I89" i="4"/>
  <c r="I85" i="4"/>
  <c r="I84" i="4"/>
  <c r="I83" i="4"/>
  <c r="I81" i="4"/>
  <c r="I79" i="4"/>
  <c r="I17" i="4"/>
  <c r="M50" i="6" l="1"/>
  <c r="J50" i="6"/>
  <c r="M44" i="5"/>
  <c r="J44" i="5"/>
  <c r="M100" i="5"/>
  <c r="J81" i="4"/>
  <c r="M50" i="7"/>
  <c r="J50" i="7"/>
  <c r="J89" i="4"/>
  <c r="M45" i="5"/>
  <c r="M99" i="5"/>
  <c r="M12" i="6"/>
  <c r="M36" i="6"/>
  <c r="M40" i="6"/>
  <c r="M44" i="6"/>
  <c r="M48" i="6"/>
  <c r="J82" i="6"/>
  <c r="M31" i="8"/>
  <c r="J97" i="5"/>
  <c r="J96" i="5"/>
  <c r="M97" i="8"/>
  <c r="M92" i="8"/>
  <c r="M72" i="8"/>
  <c r="M29" i="8"/>
  <c r="M25" i="8"/>
  <c r="M94" i="8"/>
  <c r="M62" i="8"/>
  <c r="M60" i="8"/>
  <c r="M17" i="8"/>
  <c r="J24" i="8"/>
  <c r="M63" i="8"/>
  <c r="M73" i="8"/>
  <c r="M96" i="8"/>
  <c r="M13" i="8"/>
  <c r="M33" i="8"/>
  <c r="J20" i="8"/>
  <c r="M70" i="8"/>
  <c r="J32" i="8"/>
  <c r="M93" i="8"/>
  <c r="M18" i="8"/>
  <c r="M71" i="8"/>
  <c r="M16" i="8"/>
  <c r="J30" i="8"/>
  <c r="M69" i="8"/>
  <c r="M14" i="8"/>
  <c r="J15" i="8"/>
  <c r="M28" i="8"/>
  <c r="M12" i="8"/>
  <c r="G24" i="7"/>
  <c r="J24" i="7" s="1"/>
  <c r="G75" i="7"/>
  <c r="M75" i="7" s="1"/>
  <c r="G62" i="7"/>
  <c r="J62" i="7" s="1"/>
  <c r="G67" i="7"/>
  <c r="M67" i="7" s="1"/>
  <c r="G86" i="7"/>
  <c r="J86" i="7" s="1"/>
  <c r="G87" i="7"/>
  <c r="J87" i="7" s="1"/>
  <c r="G95" i="7"/>
  <c r="J95" i="7" s="1"/>
  <c r="G55" i="7"/>
  <c r="J55" i="7" s="1"/>
  <c r="M71" i="7"/>
  <c r="G35" i="7"/>
  <c r="M35" i="7" s="1"/>
  <c r="G26" i="7"/>
  <c r="J26" i="7" s="1"/>
  <c r="G5" i="7"/>
  <c r="J5" i="7" s="1"/>
  <c r="M22" i="7"/>
  <c r="M25" i="7"/>
  <c r="G27" i="7"/>
  <c r="M27" i="7" s="1"/>
  <c r="G52" i="7"/>
  <c r="J52" i="7" s="1"/>
  <c r="G56" i="7"/>
  <c r="J56" i="7" s="1"/>
  <c r="G60" i="7"/>
  <c r="J60" i="7" s="1"/>
  <c r="G84" i="7"/>
  <c r="J84" i="7" s="1"/>
  <c r="G88" i="7"/>
  <c r="J88" i="7" s="1"/>
  <c r="M91" i="7"/>
  <c r="G93" i="7"/>
  <c r="J93" i="7" s="1"/>
  <c r="M20" i="7"/>
  <c r="J22" i="7"/>
  <c r="M7" i="7"/>
  <c r="G21" i="7"/>
  <c r="M21" i="7" s="1"/>
  <c r="J49" i="7"/>
  <c r="G53" i="7"/>
  <c r="J53" i="7" s="1"/>
  <c r="G66" i="7"/>
  <c r="G72" i="7"/>
  <c r="M72" i="7" s="1"/>
  <c r="G73" i="7"/>
  <c r="M73" i="7" s="1"/>
  <c r="G74" i="7"/>
  <c r="G85" i="7"/>
  <c r="J85" i="7" s="1"/>
  <c r="G89" i="7"/>
  <c r="J89" i="7" s="1"/>
  <c r="G99" i="7"/>
  <c r="M99" i="7" s="1"/>
  <c r="J45" i="7"/>
  <c r="M9" i="7"/>
  <c r="J20" i="7"/>
  <c r="G23" i="7"/>
  <c r="J23" i="7" s="1"/>
  <c r="G43" i="7"/>
  <c r="M43" i="7" s="1"/>
  <c r="G54" i="7"/>
  <c r="J54" i="7" s="1"/>
  <c r="G64" i="7"/>
  <c r="J64" i="7" s="1"/>
  <c r="J68" i="7"/>
  <c r="J69" i="7"/>
  <c r="J70" i="7"/>
  <c r="J71" i="7"/>
  <c r="J73" i="7"/>
  <c r="G90" i="7"/>
  <c r="M90" i="7" s="1"/>
  <c r="G97" i="7"/>
  <c r="J97" i="7" s="1"/>
  <c r="J4" i="7"/>
  <c r="M4" i="7"/>
  <c r="J10" i="7"/>
  <c r="M10" i="7"/>
  <c r="J8" i="7"/>
  <c r="M8" i="7"/>
  <c r="J31" i="7"/>
  <c r="M59" i="7"/>
  <c r="J77" i="7"/>
  <c r="J79" i="7"/>
  <c r="J81" i="7"/>
  <c r="G13" i="7"/>
  <c r="J13" i="7" s="1"/>
  <c r="G15" i="7"/>
  <c r="J15" i="7" s="1"/>
  <c r="G28" i="7"/>
  <c r="J28" i="7" s="1"/>
  <c r="G30" i="7"/>
  <c r="J30" i="7" s="1"/>
  <c r="G32" i="7"/>
  <c r="J36" i="7"/>
  <c r="J38" i="7"/>
  <c r="J40" i="7"/>
  <c r="M42" i="7"/>
  <c r="G57" i="7"/>
  <c r="J57" i="7" s="1"/>
  <c r="G58" i="7"/>
  <c r="M58" i="7" s="1"/>
  <c r="G61" i="7"/>
  <c r="J61" i="7" s="1"/>
  <c r="G63" i="7"/>
  <c r="J63" i="7" s="1"/>
  <c r="G65" i="7"/>
  <c r="J65" i="7" s="1"/>
  <c r="G92" i="7"/>
  <c r="J92" i="7" s="1"/>
  <c r="G94" i="7"/>
  <c r="J94" i="7" s="1"/>
  <c r="G96" i="7"/>
  <c r="J96" i="7" s="1"/>
  <c r="G98" i="7"/>
  <c r="M98" i="7" s="1"/>
  <c r="J48" i="7"/>
  <c r="G33" i="7"/>
  <c r="M33" i="7" s="1"/>
  <c r="G34" i="7"/>
  <c r="J44" i="7"/>
  <c r="J46" i="7"/>
  <c r="J47" i="7"/>
  <c r="M51" i="7"/>
  <c r="J76" i="7"/>
  <c r="J78" i="7"/>
  <c r="J80" i="7"/>
  <c r="M83" i="7"/>
  <c r="M97" i="7"/>
  <c r="M6" i="7"/>
  <c r="G12" i="7"/>
  <c r="M12" i="7" s="1"/>
  <c r="G14" i="7"/>
  <c r="M14" i="7" s="1"/>
  <c r="G16" i="7"/>
  <c r="M16" i="7" s="1"/>
  <c r="J17" i="7"/>
  <c r="G18" i="7"/>
  <c r="M18" i="7" s="1"/>
  <c r="G29" i="7"/>
  <c r="J29" i="7" s="1"/>
  <c r="J37" i="7"/>
  <c r="J39" i="7"/>
  <c r="J41" i="7"/>
  <c r="M56" i="7"/>
  <c r="G70" i="6"/>
  <c r="M70" i="6" s="1"/>
  <c r="G54" i="6"/>
  <c r="J54" i="6" s="1"/>
  <c r="G55" i="6"/>
  <c r="J55" i="6" s="1"/>
  <c r="G95" i="6"/>
  <c r="J95" i="6" s="1"/>
  <c r="G84" i="6"/>
  <c r="J84" i="6" s="1"/>
  <c r="G86" i="6"/>
  <c r="J86" i="6" s="1"/>
  <c r="G87" i="6"/>
  <c r="M87" i="6" s="1"/>
  <c r="G88" i="6"/>
  <c r="M88" i="6" s="1"/>
  <c r="G89" i="6"/>
  <c r="J89" i="6" s="1"/>
  <c r="G90" i="6"/>
  <c r="M26" i="6"/>
  <c r="J36" i="6"/>
  <c r="G22" i="6"/>
  <c r="J22" i="6" s="1"/>
  <c r="M10" i="6"/>
  <c r="M21" i="6"/>
  <c r="G23" i="6"/>
  <c r="M23" i="6" s="1"/>
  <c r="J38" i="6"/>
  <c r="G52" i="6"/>
  <c r="J52" i="6" s="1"/>
  <c r="G56" i="6"/>
  <c r="J56" i="6" s="1"/>
  <c r="G57" i="6"/>
  <c r="J57" i="6" s="1"/>
  <c r="G58" i="6"/>
  <c r="M72" i="6"/>
  <c r="M83" i="6"/>
  <c r="G93" i="6"/>
  <c r="J93" i="6" s="1"/>
  <c r="G97" i="6"/>
  <c r="J97" i="6" s="1"/>
  <c r="J40" i="6"/>
  <c r="G43" i="6"/>
  <c r="M43" i="6" s="1"/>
  <c r="G53" i="6"/>
  <c r="J53" i="6" s="1"/>
  <c r="M8" i="6"/>
  <c r="M25" i="6"/>
  <c r="M42" i="6"/>
  <c r="J9" i="6"/>
  <c r="M9" i="6"/>
  <c r="J4" i="6"/>
  <c r="J5" i="6"/>
  <c r="M5" i="6"/>
  <c r="J6" i="6"/>
  <c r="M6" i="6"/>
  <c r="J7" i="6"/>
  <c r="M7" i="6"/>
  <c r="G14" i="6"/>
  <c r="J14" i="6" s="1"/>
  <c r="G16" i="6"/>
  <c r="G18" i="6"/>
  <c r="J18" i="6" s="1"/>
  <c r="G28" i="6"/>
  <c r="G30" i="6"/>
  <c r="J30" i="6" s="1"/>
  <c r="G32" i="6"/>
  <c r="G34" i="6"/>
  <c r="J44" i="6"/>
  <c r="J46" i="6"/>
  <c r="J47" i="6"/>
  <c r="M51" i="6"/>
  <c r="M55" i="6"/>
  <c r="J76" i="6"/>
  <c r="J78" i="6"/>
  <c r="J80" i="6"/>
  <c r="J85" i="6"/>
  <c r="G35" i="6"/>
  <c r="M35" i="6" s="1"/>
  <c r="J37" i="6"/>
  <c r="J39" i="6"/>
  <c r="J41" i="6"/>
  <c r="M56" i="6"/>
  <c r="G60" i="6"/>
  <c r="J60" i="6" s="1"/>
  <c r="G62" i="6"/>
  <c r="J62" i="6" s="1"/>
  <c r="G64" i="6"/>
  <c r="J64" i="6" s="1"/>
  <c r="G66" i="6"/>
  <c r="G73" i="6"/>
  <c r="M73" i="6" s="1"/>
  <c r="G74" i="6"/>
  <c r="M85" i="6"/>
  <c r="M86" i="6"/>
  <c r="G92" i="6"/>
  <c r="J92" i="6" s="1"/>
  <c r="G94" i="6"/>
  <c r="J94" i="6" s="1"/>
  <c r="G96" i="6"/>
  <c r="J96" i="6" s="1"/>
  <c r="G98" i="6"/>
  <c r="M98" i="6" s="1"/>
  <c r="G99" i="6"/>
  <c r="M99" i="6" s="1"/>
  <c r="J8" i="6"/>
  <c r="J12" i="6"/>
  <c r="G13" i="6"/>
  <c r="M13" i="6" s="1"/>
  <c r="G15" i="6"/>
  <c r="J15" i="6" s="1"/>
  <c r="G17" i="6"/>
  <c r="J17" i="6" s="1"/>
  <c r="G19" i="6"/>
  <c r="M19" i="6" s="1"/>
  <c r="M20" i="6"/>
  <c r="M24" i="6"/>
  <c r="G29" i="6"/>
  <c r="M29" i="6" s="1"/>
  <c r="G31" i="6"/>
  <c r="J31" i="6" s="1"/>
  <c r="G33" i="6"/>
  <c r="M33" i="6" s="1"/>
  <c r="J45" i="6"/>
  <c r="J48" i="6"/>
  <c r="J49" i="6"/>
  <c r="M59" i="6"/>
  <c r="M61" i="6"/>
  <c r="M63" i="6"/>
  <c r="M65" i="6"/>
  <c r="J68" i="6"/>
  <c r="J69" i="6"/>
  <c r="J71" i="6"/>
  <c r="J72" i="6"/>
  <c r="J77" i="6"/>
  <c r="J79" i="6"/>
  <c r="J81" i="6"/>
  <c r="J11" i="5"/>
  <c r="G82" i="5"/>
  <c r="J82" i="5" s="1"/>
  <c r="M68" i="5"/>
  <c r="J64" i="5"/>
  <c r="M62" i="5"/>
  <c r="J62" i="5"/>
  <c r="M66" i="5"/>
  <c r="J66" i="5"/>
  <c r="M94" i="5"/>
  <c r="J94" i="5"/>
  <c r="M98" i="5"/>
  <c r="J98" i="5"/>
  <c r="M63" i="5"/>
  <c r="J63" i="5"/>
  <c r="M67" i="5"/>
  <c r="J67" i="5"/>
  <c r="J65" i="5"/>
  <c r="J95" i="5"/>
  <c r="J99" i="5"/>
  <c r="G14" i="5"/>
  <c r="J14" i="5" s="1"/>
  <c r="G15" i="5"/>
  <c r="J15" i="5" s="1"/>
  <c r="G16" i="5"/>
  <c r="J16" i="5" s="1"/>
  <c r="M11" i="5"/>
  <c r="M9" i="5"/>
  <c r="J79" i="5"/>
  <c r="M79" i="5"/>
  <c r="J83" i="5"/>
  <c r="M83" i="5"/>
  <c r="M13" i="5"/>
  <c r="G69" i="5"/>
  <c r="M69" i="5" s="1"/>
  <c r="G85" i="5"/>
  <c r="M85" i="5" s="1"/>
  <c r="G22" i="5"/>
  <c r="M22" i="5" s="1"/>
  <c r="G23" i="5"/>
  <c r="J23" i="5" s="1"/>
  <c r="G24" i="5"/>
  <c r="M24" i="5" s="1"/>
  <c r="G25" i="5"/>
  <c r="J25" i="5" s="1"/>
  <c r="G26" i="5"/>
  <c r="M26" i="5" s="1"/>
  <c r="G27" i="5"/>
  <c r="M27" i="5" s="1"/>
  <c r="G28" i="5"/>
  <c r="M28" i="5" s="1"/>
  <c r="G29" i="5"/>
  <c r="M29" i="5" s="1"/>
  <c r="M78" i="5"/>
  <c r="M81" i="5"/>
  <c r="M39" i="5"/>
  <c r="J39" i="5"/>
  <c r="M43" i="5"/>
  <c r="J43" i="5"/>
  <c r="M48" i="5"/>
  <c r="J48" i="5"/>
  <c r="J12" i="5"/>
  <c r="M12" i="5"/>
  <c r="M40" i="5"/>
  <c r="J40" i="5"/>
  <c r="M49" i="5"/>
  <c r="J49" i="5"/>
  <c r="M15" i="5"/>
  <c r="M50" i="5"/>
  <c r="J50" i="5"/>
  <c r="M6" i="5"/>
  <c r="J6" i="5"/>
  <c r="M7" i="5"/>
  <c r="M10" i="5"/>
  <c r="J10" i="5"/>
  <c r="M41" i="5"/>
  <c r="J41" i="5"/>
  <c r="J46" i="5"/>
  <c r="M46" i="5"/>
  <c r="J8" i="5"/>
  <c r="M8" i="5"/>
  <c r="M38" i="5"/>
  <c r="J38" i="5"/>
  <c r="M42" i="5"/>
  <c r="J42" i="5"/>
  <c r="J47" i="5"/>
  <c r="M47" i="5"/>
  <c r="M51" i="5"/>
  <c r="J51" i="5"/>
  <c r="M52" i="5"/>
  <c r="G30" i="5"/>
  <c r="J30" i="5" s="1"/>
  <c r="G31" i="5"/>
  <c r="J31" i="5" s="1"/>
  <c r="G32" i="5"/>
  <c r="J32" i="5" s="1"/>
  <c r="G33" i="5"/>
  <c r="J33" i="5" s="1"/>
  <c r="G34" i="5"/>
  <c r="J34" i="5" s="1"/>
  <c r="G35" i="5"/>
  <c r="M35" i="5" s="1"/>
  <c r="G36" i="5"/>
  <c r="G54" i="5"/>
  <c r="J54" i="5" s="1"/>
  <c r="G55" i="5"/>
  <c r="J55" i="5" s="1"/>
  <c r="G56" i="5"/>
  <c r="J56" i="5" s="1"/>
  <c r="G57" i="5"/>
  <c r="M57" i="5" s="1"/>
  <c r="G58" i="5"/>
  <c r="J58" i="5" s="1"/>
  <c r="G59" i="5"/>
  <c r="J59" i="5" s="1"/>
  <c r="G60" i="5"/>
  <c r="M60" i="5" s="1"/>
  <c r="G53" i="5"/>
  <c r="M53" i="5" s="1"/>
  <c r="M84" i="5"/>
  <c r="G101" i="5"/>
  <c r="M101" i="5" s="1"/>
  <c r="G17" i="5"/>
  <c r="M17" i="5" s="1"/>
  <c r="G18" i="5"/>
  <c r="M18" i="5" s="1"/>
  <c r="G19" i="5"/>
  <c r="J19" i="5" s="1"/>
  <c r="G20" i="5"/>
  <c r="J20" i="5" s="1"/>
  <c r="G21" i="5"/>
  <c r="M21" i="5" s="1"/>
  <c r="J26" i="5"/>
  <c r="J27" i="5"/>
  <c r="M55" i="5"/>
  <c r="G70" i="5"/>
  <c r="M70" i="5" s="1"/>
  <c r="G71" i="5"/>
  <c r="J71" i="5" s="1"/>
  <c r="G72" i="5"/>
  <c r="M72" i="5" s="1"/>
  <c r="G73" i="5"/>
  <c r="M73" i="5" s="1"/>
  <c r="G74" i="5"/>
  <c r="M74" i="5" s="1"/>
  <c r="G75" i="5"/>
  <c r="J75" i="5" s="1"/>
  <c r="G76" i="5"/>
  <c r="M80" i="5"/>
  <c r="G86" i="5"/>
  <c r="J86" i="5" s="1"/>
  <c r="G87" i="5"/>
  <c r="J87" i="5" s="1"/>
  <c r="G88" i="5"/>
  <c r="J88" i="5" s="1"/>
  <c r="G89" i="5"/>
  <c r="G90" i="5"/>
  <c r="J90" i="5" s="1"/>
  <c r="G91" i="5"/>
  <c r="J91" i="5" s="1"/>
  <c r="G92" i="5"/>
  <c r="D3" i="4"/>
  <c r="G3" i="4" s="1"/>
  <c r="D95" i="4"/>
  <c r="D91" i="4"/>
  <c r="G91" i="4" s="1"/>
  <c r="M91" i="4" s="1"/>
  <c r="D79" i="4"/>
  <c r="D75" i="4"/>
  <c r="D63" i="4"/>
  <c r="D59" i="4"/>
  <c r="G59" i="4" s="1"/>
  <c r="M59" i="4" s="1"/>
  <c r="D48" i="4"/>
  <c r="G48" i="4" s="1"/>
  <c r="M48" i="4" s="1"/>
  <c r="D47" i="4"/>
  <c r="D44" i="4"/>
  <c r="G44" i="4" s="1"/>
  <c r="D43" i="4"/>
  <c r="G43" i="4" s="1"/>
  <c r="M43" i="4" s="1"/>
  <c r="D36" i="4"/>
  <c r="G36" i="4" s="1"/>
  <c r="M36" i="4" s="1"/>
  <c r="D35" i="4"/>
  <c r="G35" i="4" s="1"/>
  <c r="M35" i="4" s="1"/>
  <c r="D31" i="4"/>
  <c r="D27" i="4"/>
  <c r="G27" i="4" s="1"/>
  <c r="M27" i="4" s="1"/>
  <c r="D24" i="4"/>
  <c r="G24" i="4" s="1"/>
  <c r="M24" i="4" s="1"/>
  <c r="D23" i="4"/>
  <c r="D20" i="4"/>
  <c r="G20" i="4" s="1"/>
  <c r="M20" i="4" s="1"/>
  <c r="D19" i="4"/>
  <c r="G19" i="4" s="1"/>
  <c r="M19" i="4" s="1"/>
  <c r="D7" i="4"/>
  <c r="G7" i="4" s="1"/>
  <c r="J7" i="4" s="1"/>
  <c r="D98" i="4"/>
  <c r="D97" i="4"/>
  <c r="G97" i="4" s="1"/>
  <c r="J97" i="4" s="1"/>
  <c r="D96" i="4"/>
  <c r="G96" i="4" s="1"/>
  <c r="M96" i="4" s="1"/>
  <c r="D94" i="4"/>
  <c r="G94" i="4" s="1"/>
  <c r="M94" i="4" s="1"/>
  <c r="D93" i="4"/>
  <c r="G93" i="4" s="1"/>
  <c r="M93" i="4" s="1"/>
  <c r="D92" i="4"/>
  <c r="G92" i="4" s="1"/>
  <c r="M92" i="4" s="1"/>
  <c r="D90" i="4"/>
  <c r="D89" i="4"/>
  <c r="G89" i="4" s="1"/>
  <c r="D88" i="4"/>
  <c r="G88" i="4" s="1"/>
  <c r="M88" i="4" s="1"/>
  <c r="D87" i="4"/>
  <c r="G87" i="4" s="1"/>
  <c r="M87" i="4" s="1"/>
  <c r="D86" i="4"/>
  <c r="G86" i="4" s="1"/>
  <c r="D85" i="4"/>
  <c r="D84" i="4"/>
  <c r="G84" i="4" s="1"/>
  <c r="M84" i="4" s="1"/>
  <c r="D83" i="4"/>
  <c r="G83" i="4" s="1"/>
  <c r="M83" i="4" s="1"/>
  <c r="D82" i="4"/>
  <c r="G82" i="4" s="1"/>
  <c r="M82" i="4" s="1"/>
  <c r="D81" i="4"/>
  <c r="G81" i="4" s="1"/>
  <c r="M81" i="4" s="1"/>
  <c r="D80" i="4"/>
  <c r="G80" i="4" s="1"/>
  <c r="M80" i="4" s="1"/>
  <c r="D78" i="4"/>
  <c r="G78" i="4" s="1"/>
  <c r="M78" i="4" s="1"/>
  <c r="D77" i="4"/>
  <c r="G77" i="4" s="1"/>
  <c r="D76" i="4"/>
  <c r="G76" i="4" s="1"/>
  <c r="M76" i="4" s="1"/>
  <c r="D74" i="4"/>
  <c r="G74" i="4" s="1"/>
  <c r="M74" i="4" s="1"/>
  <c r="D73" i="4"/>
  <c r="G73" i="4" s="1"/>
  <c r="J73" i="4" s="1"/>
  <c r="D72" i="4"/>
  <c r="G72" i="4" s="1"/>
  <c r="M72" i="4" s="1"/>
  <c r="D71" i="4"/>
  <c r="D70" i="4"/>
  <c r="G70" i="4" s="1"/>
  <c r="D69" i="4"/>
  <c r="G69" i="4" s="1"/>
  <c r="M69" i="4" s="1"/>
  <c r="D68" i="4"/>
  <c r="G68" i="4" s="1"/>
  <c r="M68" i="4" s="1"/>
  <c r="D67" i="4"/>
  <c r="G67" i="4" s="1"/>
  <c r="M67" i="4" s="1"/>
  <c r="D66" i="4"/>
  <c r="G66" i="4" s="1"/>
  <c r="M66" i="4" s="1"/>
  <c r="D65" i="4"/>
  <c r="D64" i="4"/>
  <c r="G64" i="4" s="1"/>
  <c r="M64" i="4" s="1"/>
  <c r="D62" i="4"/>
  <c r="G62" i="4" s="1"/>
  <c r="M62" i="4" s="1"/>
  <c r="D61" i="4"/>
  <c r="G61" i="4" s="1"/>
  <c r="D60" i="4"/>
  <c r="D58" i="4"/>
  <c r="G58" i="4" s="1"/>
  <c r="M58" i="4" s="1"/>
  <c r="D57" i="4"/>
  <c r="G57" i="4" s="1"/>
  <c r="J57" i="4" s="1"/>
  <c r="D56" i="4"/>
  <c r="D55" i="4"/>
  <c r="D54" i="4"/>
  <c r="D53" i="4"/>
  <c r="G53" i="4" s="1"/>
  <c r="M53" i="4" s="1"/>
  <c r="D52" i="4"/>
  <c r="D51" i="4"/>
  <c r="G51" i="4" s="1"/>
  <c r="M51" i="4" s="1"/>
  <c r="D50" i="4"/>
  <c r="G50" i="4" s="1"/>
  <c r="M50" i="4" s="1"/>
  <c r="D49" i="4"/>
  <c r="G49" i="4" s="1"/>
  <c r="D46" i="4"/>
  <c r="G46" i="4" s="1"/>
  <c r="M46" i="4" s="1"/>
  <c r="D45" i="4"/>
  <c r="G45" i="4" s="1"/>
  <c r="M45" i="4" s="1"/>
  <c r="D42" i="4"/>
  <c r="G42" i="4" s="1"/>
  <c r="M42" i="4" s="1"/>
  <c r="D41" i="4"/>
  <c r="G41" i="4" s="1"/>
  <c r="D40" i="4"/>
  <c r="G40" i="4" s="1"/>
  <c r="M40" i="4" s="1"/>
  <c r="D39" i="4"/>
  <c r="D38" i="4"/>
  <c r="G38" i="4" s="1"/>
  <c r="D37" i="4"/>
  <c r="G37" i="4" s="1"/>
  <c r="M37" i="4" s="1"/>
  <c r="D34" i="4"/>
  <c r="G34" i="4" s="1"/>
  <c r="M34" i="4" s="1"/>
  <c r="D33" i="4"/>
  <c r="G33" i="4" s="1"/>
  <c r="D32" i="4"/>
  <c r="G32" i="4" s="1"/>
  <c r="M32" i="4" s="1"/>
  <c r="D30" i="4"/>
  <c r="G30" i="4" s="1"/>
  <c r="M30" i="4" s="1"/>
  <c r="D29" i="4"/>
  <c r="G29" i="4" s="1"/>
  <c r="M29" i="4" s="1"/>
  <c r="D28" i="4"/>
  <c r="G28" i="4" s="1"/>
  <c r="M28" i="4" s="1"/>
  <c r="D26" i="4"/>
  <c r="G26" i="4" s="1"/>
  <c r="M26" i="4" s="1"/>
  <c r="D25" i="4"/>
  <c r="G25" i="4" s="1"/>
  <c r="J25" i="4" s="1"/>
  <c r="D22" i="4"/>
  <c r="G22" i="4" s="1"/>
  <c r="M22" i="4" s="1"/>
  <c r="D21" i="4"/>
  <c r="G21" i="4" s="1"/>
  <c r="M21" i="4" s="1"/>
  <c r="D18" i="4"/>
  <c r="G18" i="4" s="1"/>
  <c r="M18" i="4" s="1"/>
  <c r="D17" i="4"/>
  <c r="G17" i="4" s="1"/>
  <c r="M17" i="4" s="1"/>
  <c r="D16" i="4"/>
  <c r="G16" i="4" s="1"/>
  <c r="M16" i="4" s="1"/>
  <c r="D15" i="4"/>
  <c r="D14" i="4"/>
  <c r="G14" i="4" s="1"/>
  <c r="M14" i="4" s="1"/>
  <c r="D13" i="4"/>
  <c r="G13" i="4" s="1"/>
  <c r="D12" i="4"/>
  <c r="G12" i="4" s="1"/>
  <c r="D11" i="4"/>
  <c r="G11" i="4" s="1"/>
  <c r="D10" i="4"/>
  <c r="G10" i="4" s="1"/>
  <c r="M10" i="4" s="1"/>
  <c r="D9" i="4"/>
  <c r="G9" i="4" s="1"/>
  <c r="J9" i="4" s="1"/>
  <c r="D8" i="4"/>
  <c r="G8" i="4" s="1"/>
  <c r="J8" i="4" s="1"/>
  <c r="D6" i="4"/>
  <c r="G6" i="4" s="1"/>
  <c r="J6" i="4" s="1"/>
  <c r="D5" i="4"/>
  <c r="G5" i="4" s="1"/>
  <c r="J5" i="4" s="1"/>
  <c r="D4" i="4"/>
  <c r="G4" i="4" s="1"/>
  <c r="J4" i="4" s="1"/>
  <c r="M66" i="6" l="1"/>
  <c r="J66" i="6"/>
  <c r="J70" i="6"/>
  <c r="J21" i="7"/>
  <c r="M66" i="7"/>
  <c r="J66" i="7"/>
  <c r="M82" i="5"/>
  <c r="M97" i="6"/>
  <c r="M74" i="6"/>
  <c r="J74" i="6"/>
  <c r="M34" i="6"/>
  <c r="J34" i="6"/>
  <c r="M24" i="7"/>
  <c r="M87" i="7"/>
  <c r="M74" i="7"/>
  <c r="J74" i="7"/>
  <c r="J58" i="7"/>
  <c r="J60" i="5"/>
  <c r="J90" i="7"/>
  <c r="M38" i="4"/>
  <c r="J38" i="4"/>
  <c r="M36" i="5"/>
  <c r="J36" i="5"/>
  <c r="M58" i="6"/>
  <c r="J58" i="6"/>
  <c r="M33" i="4"/>
  <c r="J33" i="4"/>
  <c r="M41" i="4"/>
  <c r="J41" i="4"/>
  <c r="M49" i="4"/>
  <c r="J49" i="4"/>
  <c r="M92" i="5"/>
  <c r="J92" i="5"/>
  <c r="M76" i="5"/>
  <c r="J76" i="5"/>
  <c r="M95" i="6"/>
  <c r="M89" i="6"/>
  <c r="M90" i="6"/>
  <c r="J90" i="6"/>
  <c r="M34" i="7"/>
  <c r="J34" i="7"/>
  <c r="M30" i="7"/>
  <c r="J98" i="7"/>
  <c r="J98" i="6"/>
  <c r="J89" i="5"/>
  <c r="M89" i="5"/>
  <c r="M59" i="5"/>
  <c r="M16" i="5"/>
  <c r="J28" i="5"/>
  <c r="M14" i="5"/>
  <c r="M62" i="7"/>
  <c r="M60" i="7"/>
  <c r="M23" i="7"/>
  <c r="M15" i="7"/>
  <c r="J73" i="6"/>
  <c r="J17" i="4"/>
  <c r="M25" i="4"/>
  <c r="J37" i="4"/>
  <c r="M95" i="7"/>
  <c r="M53" i="7"/>
  <c r="M52" i="7"/>
  <c r="J33" i="7"/>
  <c r="M26" i="7"/>
  <c r="J72" i="7"/>
  <c r="M55" i="7"/>
  <c r="M84" i="7"/>
  <c r="M89" i="7"/>
  <c r="M54" i="7"/>
  <c r="M86" i="7"/>
  <c r="M5" i="7"/>
  <c r="M88" i="7"/>
  <c r="M64" i="7"/>
  <c r="M85" i="7"/>
  <c r="M57" i="7"/>
  <c r="M93" i="7"/>
  <c r="M32" i="7"/>
  <c r="J32" i="7"/>
  <c r="M63" i="7"/>
  <c r="M28" i="7"/>
  <c r="J18" i="7"/>
  <c r="M29" i="7"/>
  <c r="M96" i="7"/>
  <c r="M61" i="7"/>
  <c r="M13" i="7"/>
  <c r="J14" i="7"/>
  <c r="J16" i="7"/>
  <c r="M94" i="7"/>
  <c r="M92" i="7"/>
  <c r="M65" i="7"/>
  <c r="J12" i="7"/>
  <c r="J88" i="6"/>
  <c r="J87" i="6"/>
  <c r="M22" i="6"/>
  <c r="J23" i="6"/>
  <c r="M84" i="6"/>
  <c r="M54" i="6"/>
  <c r="M52" i="6"/>
  <c r="M18" i="6"/>
  <c r="J33" i="6"/>
  <c r="M93" i="6"/>
  <c r="M60" i="6"/>
  <c r="M53" i="6"/>
  <c r="M57" i="6"/>
  <c r="M14" i="6"/>
  <c r="J29" i="6"/>
  <c r="M15" i="6"/>
  <c r="M92" i="6"/>
  <c r="M28" i="6"/>
  <c r="J28" i="6"/>
  <c r="J13" i="6"/>
  <c r="M17" i="6"/>
  <c r="M94" i="6"/>
  <c r="M31" i="6"/>
  <c r="M64" i="6"/>
  <c r="M96" i="6"/>
  <c r="M62" i="6"/>
  <c r="M32" i="6"/>
  <c r="J32" i="6"/>
  <c r="M16" i="6"/>
  <c r="J16" i="6"/>
  <c r="M30" i="6"/>
  <c r="M88" i="5"/>
  <c r="M23" i="5"/>
  <c r="J22" i="5"/>
  <c r="J17" i="5"/>
  <c r="J57" i="5"/>
  <c r="J72" i="5"/>
  <c r="M32" i="5"/>
  <c r="J24" i="5"/>
  <c r="M31" i="5"/>
  <c r="J35" i="5"/>
  <c r="M25" i="5"/>
  <c r="M30" i="5"/>
  <c r="M56" i="5"/>
  <c r="M34" i="5"/>
  <c r="M75" i="5"/>
  <c r="M71" i="5"/>
  <c r="J74" i="5"/>
  <c r="J70" i="5"/>
  <c r="J18" i="5"/>
  <c r="M91" i="5"/>
  <c r="M87" i="5"/>
  <c r="M20" i="5"/>
  <c r="J73" i="5"/>
  <c r="M90" i="5"/>
  <c r="M86" i="5"/>
  <c r="M19" i="5"/>
  <c r="M58" i="5"/>
  <c r="M54" i="5"/>
  <c r="M33" i="5"/>
  <c r="G75" i="4"/>
  <c r="M75" i="4" s="1"/>
  <c r="G63" i="4"/>
  <c r="M63" i="4" s="1"/>
  <c r="G55" i="4"/>
  <c r="M55" i="4" s="1"/>
  <c r="G95" i="4"/>
  <c r="M95" i="4" s="1"/>
  <c r="G85" i="4"/>
  <c r="M85" i="4" s="1"/>
  <c r="J78" i="4"/>
  <c r="G79" i="4"/>
  <c r="M79" i="4" s="1"/>
  <c r="G71" i="4"/>
  <c r="M71" i="4" s="1"/>
  <c r="G65" i="4"/>
  <c r="G60" i="4"/>
  <c r="M60" i="4" s="1"/>
  <c r="G54" i="4"/>
  <c r="M54" i="4" s="1"/>
  <c r="G52" i="4"/>
  <c r="M52" i="4" s="1"/>
  <c r="G56" i="4"/>
  <c r="M56" i="4" s="1"/>
  <c r="G47" i="4"/>
  <c r="M47" i="4" s="1"/>
  <c r="G39" i="4"/>
  <c r="G31" i="4"/>
  <c r="M31" i="4" s="1"/>
  <c r="G23" i="4"/>
  <c r="M23" i="4" s="1"/>
  <c r="G15" i="4"/>
  <c r="M15" i="4" s="1"/>
  <c r="M44" i="4"/>
  <c r="J44" i="4"/>
  <c r="J19" i="4"/>
  <c r="J28" i="4"/>
  <c r="J53" i="4"/>
  <c r="J83" i="4"/>
  <c r="J35" i="4"/>
  <c r="J46" i="4"/>
  <c r="M57" i="4"/>
  <c r="J62" i="4"/>
  <c r="J32" i="4"/>
  <c r="J67" i="4"/>
  <c r="J87" i="4"/>
  <c r="G90" i="4"/>
  <c r="M90" i="4" s="1"/>
  <c r="G98" i="4"/>
  <c r="M98" i="4" s="1"/>
  <c r="M5" i="4"/>
  <c r="M9" i="4"/>
  <c r="J16" i="4"/>
  <c r="J30" i="4"/>
  <c r="J48" i="4"/>
  <c r="M61" i="4"/>
  <c r="J61" i="4"/>
  <c r="M13" i="4"/>
  <c r="J13" i="4"/>
  <c r="M86" i="4"/>
  <c r="J86" i="4"/>
  <c r="M70" i="4"/>
  <c r="J70" i="4"/>
  <c r="J12" i="4"/>
  <c r="M12" i="4"/>
  <c r="J21" i="4"/>
  <c r="M3" i="4"/>
  <c r="J11" i="4"/>
  <c r="M11" i="4"/>
  <c r="J14" i="4"/>
  <c r="M77" i="4"/>
  <c r="J77" i="4"/>
  <c r="M7" i="4"/>
  <c r="M6" i="4"/>
  <c r="M8" i="4"/>
  <c r="M4" i="4"/>
  <c r="J59" i="4"/>
  <c r="J64" i="4"/>
  <c r="J68" i="4"/>
  <c r="J69" i="4"/>
  <c r="J72" i="4"/>
  <c r="M73" i="4"/>
  <c r="J3" i="4"/>
  <c r="J20" i="4"/>
  <c r="J22" i="4"/>
  <c r="J24" i="4"/>
  <c r="J27" i="4"/>
  <c r="J29" i="4"/>
  <c r="J31" i="4"/>
  <c r="J36" i="4"/>
  <c r="J40" i="4"/>
  <c r="J43" i="4"/>
  <c r="J45" i="4"/>
  <c r="J51" i="4"/>
  <c r="J76" i="4"/>
  <c r="J79" i="4"/>
  <c r="J80" i="4"/>
  <c r="J84" i="4"/>
  <c r="J88" i="4"/>
  <c r="M89" i="4"/>
  <c r="J91" i="4"/>
  <c r="J92" i="4"/>
  <c r="J93" i="4"/>
  <c r="J94" i="4"/>
  <c r="J96" i="4"/>
  <c r="M97" i="4"/>
  <c r="D97" i="2"/>
  <c r="G97" i="2" s="1"/>
  <c r="J97" i="2" s="1"/>
  <c r="D98" i="2"/>
  <c r="D89" i="2"/>
  <c r="D90" i="2"/>
  <c r="D81" i="2"/>
  <c r="D82" i="2"/>
  <c r="D65" i="2"/>
  <c r="D66" i="2"/>
  <c r="D73" i="2"/>
  <c r="G73" i="2" s="1"/>
  <c r="J73" i="2" s="1"/>
  <c r="D74" i="2"/>
  <c r="D57" i="2"/>
  <c r="G57" i="2" s="1"/>
  <c r="J57" i="2" s="1"/>
  <c r="D58" i="2"/>
  <c r="D49" i="2"/>
  <c r="G49" i="2" s="1"/>
  <c r="J49" i="2" s="1"/>
  <c r="D50" i="2"/>
  <c r="D42" i="2"/>
  <c r="D41" i="2"/>
  <c r="D33" i="2"/>
  <c r="G33" i="2" s="1"/>
  <c r="J33" i="2" s="1"/>
  <c r="D34" i="2"/>
  <c r="D25" i="2"/>
  <c r="G25" i="2" s="1"/>
  <c r="J25" i="2" s="1"/>
  <c r="D26" i="2"/>
  <c r="D17" i="2"/>
  <c r="D18" i="2"/>
  <c r="L89" i="2"/>
  <c r="L88" i="2"/>
  <c r="L90" i="2"/>
  <c r="L87" i="2"/>
  <c r="L86" i="2"/>
  <c r="L85" i="2"/>
  <c r="L84" i="2"/>
  <c r="L83" i="2"/>
  <c r="L42" i="2"/>
  <c r="L41" i="2"/>
  <c r="L40" i="2"/>
  <c r="L39" i="2"/>
  <c r="L38" i="2"/>
  <c r="L37" i="2"/>
  <c r="L36" i="2"/>
  <c r="L35" i="2"/>
  <c r="L66" i="2"/>
  <c r="L65" i="2"/>
  <c r="L64" i="2"/>
  <c r="L63" i="2"/>
  <c r="L62" i="2"/>
  <c r="L61" i="2"/>
  <c r="L60" i="2"/>
  <c r="L59" i="2"/>
  <c r="L18" i="2"/>
  <c r="L17" i="2"/>
  <c r="L16" i="2"/>
  <c r="L15" i="2"/>
  <c r="L14" i="2"/>
  <c r="L13" i="2"/>
  <c r="L12" i="2"/>
  <c r="L11" i="2"/>
  <c r="L98" i="2"/>
  <c r="L97" i="2"/>
  <c r="L96" i="2"/>
  <c r="L95" i="2"/>
  <c r="L94" i="2"/>
  <c r="L93" i="2"/>
  <c r="L92" i="2"/>
  <c r="L91" i="2"/>
  <c r="L50" i="2"/>
  <c r="L49" i="2"/>
  <c r="L48" i="2"/>
  <c r="L47" i="2"/>
  <c r="L46" i="2"/>
  <c r="L45" i="2"/>
  <c r="L44" i="2"/>
  <c r="L43" i="2"/>
  <c r="L74" i="2"/>
  <c r="L73" i="2"/>
  <c r="L72" i="2"/>
  <c r="L71" i="2"/>
  <c r="L70" i="2"/>
  <c r="L69" i="2"/>
  <c r="L68" i="2"/>
  <c r="L67" i="2"/>
  <c r="L26" i="2"/>
  <c r="L25" i="2"/>
  <c r="L24" i="2"/>
  <c r="L23" i="2"/>
  <c r="L22" i="2"/>
  <c r="L21" i="2"/>
  <c r="L20" i="2"/>
  <c r="L19" i="2"/>
  <c r="L82" i="2"/>
  <c r="L81" i="2"/>
  <c r="L80" i="2"/>
  <c r="L79" i="2"/>
  <c r="L78" i="2"/>
  <c r="L77" i="2"/>
  <c r="L76" i="2"/>
  <c r="L75" i="2"/>
  <c r="D83" i="2"/>
  <c r="L34" i="2"/>
  <c r="L33" i="2"/>
  <c r="L32" i="2"/>
  <c r="L31" i="2"/>
  <c r="L30" i="2"/>
  <c r="L29" i="2"/>
  <c r="L28" i="2"/>
  <c r="L27" i="2"/>
  <c r="L58" i="2"/>
  <c r="L57" i="2"/>
  <c r="L56" i="2"/>
  <c r="L55" i="2"/>
  <c r="L54" i="2"/>
  <c r="L53" i="2"/>
  <c r="L52" i="2"/>
  <c r="L51" i="2"/>
  <c r="D9" i="2"/>
  <c r="G9" i="2" s="1"/>
  <c r="D10" i="2"/>
  <c r="G10" i="2" s="1"/>
  <c r="M10" i="2" s="1"/>
  <c r="D96" i="2"/>
  <c r="D91" i="2"/>
  <c r="D92" i="2"/>
  <c r="G92" i="2" s="1"/>
  <c r="D93" i="2"/>
  <c r="D94" i="2"/>
  <c r="G94" i="2" s="1"/>
  <c r="D95" i="2"/>
  <c r="D84" i="2"/>
  <c r="D85" i="2"/>
  <c r="D86" i="2"/>
  <c r="D87" i="2"/>
  <c r="D88" i="2"/>
  <c r="D75" i="2"/>
  <c r="D76" i="2"/>
  <c r="D77" i="2"/>
  <c r="D78" i="2"/>
  <c r="D79" i="2"/>
  <c r="D80" i="2"/>
  <c r="D68" i="2"/>
  <c r="D69" i="2"/>
  <c r="D70" i="2"/>
  <c r="D71" i="2"/>
  <c r="D72" i="2"/>
  <c r="D67" i="2"/>
  <c r="D59" i="2"/>
  <c r="D60" i="2"/>
  <c r="D61" i="2"/>
  <c r="D62" i="2"/>
  <c r="D63" i="2"/>
  <c r="D64" i="2"/>
  <c r="D52" i="2"/>
  <c r="G52" i="2" s="1"/>
  <c r="D53" i="2"/>
  <c r="D54" i="2"/>
  <c r="G54" i="2" s="1"/>
  <c r="D55" i="2"/>
  <c r="G55" i="2" s="1"/>
  <c r="J55" i="2" s="1"/>
  <c r="D56" i="2"/>
  <c r="G56" i="2" s="1"/>
  <c r="D51" i="2"/>
  <c r="D43" i="2"/>
  <c r="D44" i="2"/>
  <c r="D45" i="2"/>
  <c r="D46" i="2"/>
  <c r="D47" i="2"/>
  <c r="D48" i="2"/>
  <c r="D35" i="2"/>
  <c r="D36" i="2"/>
  <c r="D37" i="2"/>
  <c r="D38" i="2"/>
  <c r="D39" i="2"/>
  <c r="D40" i="2"/>
  <c r="I31" i="2"/>
  <c r="D27" i="2"/>
  <c r="D28" i="2"/>
  <c r="D29" i="2"/>
  <c r="D30" i="2"/>
  <c r="D31" i="2"/>
  <c r="D32" i="2"/>
  <c r="D19" i="2"/>
  <c r="D20" i="2"/>
  <c r="D21" i="2"/>
  <c r="D22" i="2"/>
  <c r="D23" i="2"/>
  <c r="D24" i="2"/>
  <c r="D11" i="2"/>
  <c r="D12" i="2"/>
  <c r="D13" i="2"/>
  <c r="D14" i="2"/>
  <c r="D15" i="2"/>
  <c r="D16" i="2"/>
  <c r="D5" i="2"/>
  <c r="G5" i="2" s="1"/>
  <c r="D6" i="2"/>
  <c r="G6" i="2" s="1"/>
  <c r="M6" i="2" s="1"/>
  <c r="D7" i="2"/>
  <c r="G7" i="2" s="1"/>
  <c r="D8" i="2"/>
  <c r="G8" i="2" s="1"/>
  <c r="D4" i="2"/>
  <c r="G4" i="2" s="1"/>
  <c r="J4" i="2" s="1"/>
  <c r="M65" i="4" l="1"/>
  <c r="J65" i="4"/>
  <c r="J75" i="4"/>
  <c r="J15" i="4"/>
  <c r="M39" i="4"/>
  <c r="J39" i="4"/>
  <c r="M97" i="2"/>
  <c r="J71" i="4"/>
  <c r="J85" i="4"/>
  <c r="J56" i="4"/>
  <c r="J55" i="4"/>
  <c r="J23" i="4"/>
  <c r="J63" i="4"/>
  <c r="J60" i="4"/>
  <c r="J54" i="4"/>
  <c r="J47" i="4"/>
  <c r="M9" i="2"/>
  <c r="J9" i="2"/>
  <c r="M49" i="2"/>
  <c r="M92" i="2"/>
  <c r="G98" i="2"/>
  <c r="M98" i="2" s="1"/>
  <c r="M56" i="2"/>
  <c r="M94" i="2"/>
  <c r="M52" i="2"/>
  <c r="M7" i="2"/>
  <c r="M8" i="2"/>
  <c r="M5" i="2"/>
  <c r="G34" i="2"/>
  <c r="M34" i="2" s="1"/>
  <c r="J95" i="4"/>
  <c r="J52" i="4"/>
  <c r="M4" i="2"/>
  <c r="M55" i="2"/>
  <c r="M25" i="2"/>
  <c r="M33" i="2"/>
  <c r="G89" i="2"/>
  <c r="G82" i="2"/>
  <c r="M82" i="2" s="1"/>
  <c r="M73" i="2"/>
  <c r="D3" i="2"/>
  <c r="G3" i="2" s="1"/>
  <c r="M3" i="2" s="1"/>
  <c r="M57" i="2"/>
  <c r="G18" i="2"/>
  <c r="M18" i="2" s="1"/>
  <c r="G42" i="2"/>
  <c r="M42" i="2" s="1"/>
  <c r="G58" i="2"/>
  <c r="G81" i="2"/>
  <c r="M54" i="2"/>
  <c r="G17" i="2"/>
  <c r="G26" i="2"/>
  <c r="M26" i="2" s="1"/>
  <c r="G90" i="2"/>
  <c r="M90" i="2" s="1"/>
  <c r="G50" i="2"/>
  <c r="M50" i="2" s="1"/>
  <c r="G74" i="2"/>
  <c r="M74" i="2" s="1"/>
  <c r="G66" i="2"/>
  <c r="M66" i="2" s="1"/>
  <c r="M58" i="2"/>
  <c r="G41" i="2"/>
  <c r="G65" i="2"/>
  <c r="G83" i="2"/>
  <c r="J83" i="2" s="1"/>
  <c r="G13" i="2"/>
  <c r="M13" i="2" s="1"/>
  <c r="G59" i="2"/>
  <c r="J59" i="2" s="1"/>
  <c r="G60" i="2"/>
  <c r="G75" i="2"/>
  <c r="J75" i="2" s="1"/>
  <c r="G21" i="2"/>
  <c r="G67" i="2"/>
  <c r="J67" i="2" s="1"/>
  <c r="G39" i="2"/>
  <c r="J39" i="2" s="1"/>
  <c r="J92" i="2"/>
  <c r="G40" i="2"/>
  <c r="J40" i="2" s="1"/>
  <c r="G69" i="2"/>
  <c r="J69" i="2" s="1"/>
  <c r="G76" i="2"/>
  <c r="J76" i="2" s="1"/>
  <c r="G38" i="2"/>
  <c r="G84" i="2"/>
  <c r="J84" i="2" s="1"/>
  <c r="G72" i="2"/>
  <c r="J72" i="2" s="1"/>
  <c r="G70" i="2"/>
  <c r="J56" i="2"/>
  <c r="J8" i="2"/>
  <c r="G80" i="2"/>
  <c r="J80" i="2" s="1"/>
  <c r="G44" i="2"/>
  <c r="G88" i="2"/>
  <c r="G19" i="2"/>
  <c r="J19" i="2" s="1"/>
  <c r="G64" i="2"/>
  <c r="J64" i="2" s="1"/>
  <c r="J52" i="2"/>
  <c r="G68" i="2"/>
  <c r="M68" i="2" s="1"/>
  <c r="G11" i="2"/>
  <c r="J11" i="2" s="1"/>
  <c r="G78" i="2"/>
  <c r="G30" i="2"/>
  <c r="J30" i="2" s="1"/>
  <c r="G51" i="2"/>
  <c r="J51" i="2" s="1"/>
  <c r="G87" i="2"/>
  <c r="J87" i="2" s="1"/>
  <c r="G93" i="2"/>
  <c r="J93" i="2" s="1"/>
  <c r="G86" i="2"/>
  <c r="J86" i="2" s="1"/>
  <c r="J54" i="2"/>
  <c r="G96" i="2"/>
  <c r="J96" i="2" s="1"/>
  <c r="G23" i="2"/>
  <c r="J23" i="2" s="1"/>
  <c r="G24" i="2"/>
  <c r="J24" i="2" s="1"/>
  <c r="G53" i="2"/>
  <c r="J53" i="2" s="1"/>
  <c r="G48" i="2"/>
  <c r="J48" i="2" s="1"/>
  <c r="G95" i="2"/>
  <c r="J95" i="2" s="1"/>
  <c r="G20" i="2"/>
  <c r="G32" i="2"/>
  <c r="G71" i="2"/>
  <c r="J71" i="2" s="1"/>
  <c r="G85" i="2"/>
  <c r="G79" i="2"/>
  <c r="J79" i="2" s="1"/>
  <c r="J94" i="2"/>
  <c r="G77" i="2"/>
  <c r="J77" i="2" s="1"/>
  <c r="G91" i="2"/>
  <c r="J91" i="2" s="1"/>
  <c r="G22" i="2"/>
  <c r="J22" i="2" s="1"/>
  <c r="G29" i="2"/>
  <c r="J29" i="2" s="1"/>
  <c r="G43" i="2"/>
  <c r="G31" i="2"/>
  <c r="J31" i="2" s="1"/>
  <c r="G12" i="2"/>
  <c r="G37" i="2"/>
  <c r="J37" i="2" s="1"/>
  <c r="G63" i="2"/>
  <c r="J63" i="2" s="1"/>
  <c r="G61" i="2"/>
  <c r="G62" i="2"/>
  <c r="G28" i="2"/>
  <c r="G46" i="2"/>
  <c r="J46" i="2" s="1"/>
  <c r="G16" i="2"/>
  <c r="J16" i="2" s="1"/>
  <c r="G15" i="2"/>
  <c r="J15" i="2" s="1"/>
  <c r="G36" i="2"/>
  <c r="G14" i="2"/>
  <c r="G35" i="2"/>
  <c r="G47" i="2"/>
  <c r="J47" i="2" s="1"/>
  <c r="G27" i="2"/>
  <c r="J27" i="2" s="1"/>
  <c r="G45" i="2"/>
  <c r="J45" i="2" s="1"/>
  <c r="J6" i="2"/>
  <c r="J5" i="2"/>
  <c r="J7" i="2"/>
  <c r="J13" i="2" l="1"/>
  <c r="M81" i="2"/>
  <c r="J81" i="2"/>
  <c r="M89" i="2"/>
  <c r="J89" i="2"/>
  <c r="M65" i="2"/>
  <c r="J65" i="2"/>
  <c r="M17" i="2"/>
  <c r="J17" i="2"/>
  <c r="M41" i="2"/>
  <c r="J41" i="2"/>
  <c r="M64" i="2"/>
  <c r="M51" i="2"/>
  <c r="J68" i="2"/>
  <c r="M93" i="2"/>
  <c r="J3" i="2"/>
  <c r="M77" i="2"/>
  <c r="M30" i="2"/>
  <c r="M15" i="2"/>
  <c r="M24" i="2"/>
  <c r="M96" i="2"/>
  <c r="M71" i="2"/>
  <c r="M86" i="2"/>
  <c r="M95" i="2"/>
  <c r="M63" i="2"/>
  <c r="M87" i="2"/>
  <c r="M23" i="2"/>
  <c r="M46" i="2"/>
  <c r="M83" i="2"/>
  <c r="M72" i="2"/>
  <c r="M91" i="2"/>
  <c r="J32" i="2"/>
  <c r="M32" i="2"/>
  <c r="J78" i="2"/>
  <c r="M78" i="2"/>
  <c r="J44" i="2"/>
  <c r="M44" i="2"/>
  <c r="J60" i="2"/>
  <c r="M60" i="2"/>
  <c r="J20" i="2"/>
  <c r="M20" i="2"/>
  <c r="M22" i="2"/>
  <c r="M31" i="2"/>
  <c r="J14" i="2"/>
  <c r="M14" i="2"/>
  <c r="M37" i="2"/>
  <c r="M59" i="2"/>
  <c r="M29" i="2"/>
  <c r="J61" i="2"/>
  <c r="M61" i="2"/>
  <c r="M47" i="2"/>
  <c r="J36" i="2"/>
  <c r="M36" i="2"/>
  <c r="J70" i="2"/>
  <c r="M70" i="2"/>
  <c r="M45" i="2"/>
  <c r="M11" i="2"/>
  <c r="M40" i="2"/>
  <c r="J62" i="2"/>
  <c r="M62" i="2"/>
  <c r="M76" i="2"/>
  <c r="J35" i="2"/>
  <c r="M35" i="2"/>
  <c r="J12" i="2"/>
  <c r="M12" i="2"/>
  <c r="M79" i="2"/>
  <c r="M69" i="2"/>
  <c r="M53" i="2"/>
  <c r="M67" i="2"/>
  <c r="M16" i="2"/>
  <c r="J28" i="2"/>
  <c r="M28" i="2"/>
  <c r="M27" i="2"/>
  <c r="J85" i="2"/>
  <c r="M85" i="2"/>
  <c r="J21" i="2"/>
  <c r="M21" i="2"/>
  <c r="M19" i="2"/>
  <c r="J43" i="2"/>
  <c r="M43" i="2"/>
  <c r="J88" i="2"/>
  <c r="M88" i="2"/>
  <c r="J38" i="2"/>
  <c r="M38" i="2"/>
  <c r="M39" i="2"/>
  <c r="M84" i="2"/>
  <c r="M48" i="2"/>
  <c r="M75" i="2"/>
  <c r="M80" i="2"/>
</calcChain>
</file>

<file path=xl/sharedStrings.xml><?xml version="1.0" encoding="utf-8"?>
<sst xmlns="http://schemas.openxmlformats.org/spreadsheetml/2006/main" count="13842" uniqueCount="97">
  <si>
    <t>حضرمحافظات الحدود  border governorates</t>
  </si>
  <si>
    <t>gender</t>
  </si>
  <si>
    <t>female</t>
  </si>
  <si>
    <t>North  countrysideريف وجه بحرى</t>
  </si>
  <si>
    <t>North  governorates حضر بحرى</t>
  </si>
  <si>
    <t>South countrysideريف وجه قبلى</t>
  </si>
  <si>
    <t>borders countrysideريف محافظات الحدود</t>
  </si>
  <si>
    <t>Preparatory school(under intermediate)</t>
  </si>
  <si>
    <t>Diploma (intermediate)</t>
  </si>
  <si>
    <t>Bachelor and postgraduate degree</t>
  </si>
  <si>
    <t>Diploma(upper intermediate)</t>
  </si>
  <si>
    <t>can't read/write</t>
  </si>
  <si>
    <t>Primary school(initial)</t>
  </si>
  <si>
    <t>North Countryside</t>
  </si>
  <si>
    <t>North Urban</t>
  </si>
  <si>
    <t>Border Urban</t>
  </si>
  <si>
    <t>South Urban</t>
  </si>
  <si>
    <t>Border Countryside</t>
  </si>
  <si>
    <t>South Countryside</t>
  </si>
  <si>
    <t>Male</t>
  </si>
  <si>
    <t>https://www.youm7.com/story/2022/8/15/%D9%82%D9%88%D8%A9-%D8%A7%D9%84%D8%B9%D9%85%D9%84-%D9%81%D9%89-%D9%85%D8%B5%D8%B1-%D8%AA%D8%B1%D8%AA%D9%81%D8%B9-%D8%A5%D9%84%D9%89-29-%D9%85%D9%84%D9%8A%D9%88%D9%86%D8%A7-%D9%88985-%D8%A3%D9%84%D9%81%D8%A7/5871752</t>
  </si>
  <si>
    <t>references</t>
  </si>
  <si>
    <t>labor force contribution percentage in all regionsنسبه المساهمه الفعليه للمشتغلين</t>
  </si>
  <si>
    <t>labor force actual  contribution(million)in all regionsالرقم بعد حساب النسبه</t>
  </si>
  <si>
    <t>regionالتوزيع الجغرافى</t>
  </si>
  <si>
    <t>labor force  percentage according to regionنسبه العاملين لكل قطاع جغرافى</t>
  </si>
  <si>
    <t>labor force actual contribution(million)in specific regionالرقم بعد حساب النسبه</t>
  </si>
  <si>
    <t>Educational Levelالمستوى التعليمى</t>
  </si>
  <si>
    <t>Education percentageنسبه العاملين لكل مستوى تعليمى</t>
  </si>
  <si>
    <t>Total Contribution for each region(million)الرقم بعد حساب النسبه</t>
  </si>
  <si>
    <t>employment total no(million)رقم المشتغلين في الربع الأول 2022</t>
  </si>
  <si>
    <t xml:space="preserve">age </t>
  </si>
  <si>
    <t>15-19</t>
  </si>
  <si>
    <t>20-24</t>
  </si>
  <si>
    <t>25-29</t>
  </si>
  <si>
    <t>30-39</t>
  </si>
  <si>
    <t>40-49</t>
  </si>
  <si>
    <t>50-59</t>
  </si>
  <si>
    <t>60-64</t>
  </si>
  <si>
    <t>&gt;65</t>
  </si>
  <si>
    <t>total contribution according to age range (perstage)for each regionنسبة العاملين حسب السن و النطاق الجغرافى</t>
  </si>
  <si>
    <t>Total Contribution for each age according to region(million)الرقم بعد حساب النسبه (رقم العاملين حسب السن لكل نطاق جغرافى)</t>
  </si>
  <si>
    <t>المشتغلين في الربع الأول لemployment rate in first quarter 2022,2022</t>
  </si>
  <si>
    <t xml:space="preserve"> حضر بحريNorth Urban</t>
  </si>
  <si>
    <t xml:space="preserve"> حضر الحدودBorder Urban</t>
  </si>
  <si>
    <t xml:space="preserve"> حضر قبليSouth Urban</t>
  </si>
  <si>
    <t xml:space="preserve"> ريف بحريNorth Countryside</t>
  </si>
  <si>
    <t xml:space="preserve"> ريف حدودBorder Countryside</t>
  </si>
  <si>
    <t xml:space="preserve"> ريف قبلي South Countryside</t>
  </si>
  <si>
    <t>South Countrysideريف قبلي</t>
  </si>
  <si>
    <t>Border Countrysideريف حدود</t>
  </si>
  <si>
    <t>North Countrysideريف بحري</t>
  </si>
  <si>
    <t>Border Urbanحضر الحدود</t>
  </si>
  <si>
    <t>South Urbanحضر قبلي</t>
  </si>
  <si>
    <t>North Urbanحضر بحري</t>
  </si>
  <si>
    <t>other</t>
  </si>
  <si>
    <t xml:space="preserve"> </t>
  </si>
  <si>
    <t>labor force contribution percentage in all regionsنسبه  الفعليه للمشتغلين</t>
  </si>
  <si>
    <t>other أزهري</t>
  </si>
  <si>
    <t>South governoratesحضر وجه قبلى</t>
  </si>
  <si>
    <t>urban governoratesالمحافظات الحضريه</t>
  </si>
  <si>
    <t>q1-2020</t>
  </si>
  <si>
    <t>q3-2020</t>
  </si>
  <si>
    <t>q4-2020</t>
  </si>
  <si>
    <t>q1-2021</t>
  </si>
  <si>
    <t>q2-2021</t>
  </si>
  <si>
    <t>q3-2021</t>
  </si>
  <si>
    <t>q4-2021</t>
  </si>
  <si>
    <t>q2</t>
  </si>
  <si>
    <t>q1-2019</t>
  </si>
  <si>
    <t>q2-2019</t>
  </si>
  <si>
    <t>q3-2019</t>
  </si>
  <si>
    <t>q4-2019</t>
  </si>
  <si>
    <t>q1-2018</t>
  </si>
  <si>
    <t>q2-2018</t>
  </si>
  <si>
    <t>q3-2018</t>
  </si>
  <si>
    <t>q4-2018</t>
  </si>
  <si>
    <t>q2-2020</t>
  </si>
  <si>
    <t>q2-2022</t>
  </si>
  <si>
    <t>المشتغلين في الربع الأول لemployment rate in first quarter 2018</t>
  </si>
  <si>
    <t>المشتغلين في الربع الثاني لemployment rate in first quarter 2018</t>
  </si>
  <si>
    <t>المشتغلين في الربع الثالث لemployment rate in first quarter 2018</t>
  </si>
  <si>
    <t>المشتغلين في الربع الرابع لemployment rate in first quarter2018</t>
  </si>
  <si>
    <t>المشتغلين في الربع الأول لemployment rate in first quarter 2019</t>
  </si>
  <si>
    <t>المشتغلين في الربع الثاني لemployment rate in first quarter 2019</t>
  </si>
  <si>
    <t>المشتغلين في الربع الثالث لemployment rate in first quarter 2019</t>
  </si>
  <si>
    <t>المشتغلين في الربع الرابع لemployment rate in first quarter2019</t>
  </si>
  <si>
    <t>المشتغلين في الربع الأول لemployment rate in first quarter2021</t>
  </si>
  <si>
    <t>المشتغلين في الربع الثاني لemployment rate in first quarter 2021</t>
  </si>
  <si>
    <t>المشتغلين في الربع الثالث لemployment rate in first quarter 2021</t>
  </si>
  <si>
    <t>المشتغلين في الربع الرابع لemployment rate in first quarter 2021</t>
  </si>
  <si>
    <t>q1-2022</t>
  </si>
  <si>
    <t>المشتغلين في الربع الثاني لemployment rate in first quarter 2022,2022</t>
  </si>
  <si>
    <t>المشتغلين في الربع الثاني لemployment rate in first quarter 2020</t>
  </si>
  <si>
    <t>المشتغلين في الربع الأول لemployment rate in first quarter 2020</t>
  </si>
  <si>
    <t xml:space="preserve">المشتغلين في الربع الأول لemployment rate in first quarter2020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</si>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</sst>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0"/>
      <color rgb="FF000000"/>
      <name val="Times New Roman"/>
      <charset val="204"/>
    </font>
    <font>
      <b/>
      <sz val="12"/>
      <name val="Traditional Arabic"/>
    </font>
    <font>
      <sz val="10"/>
      <color rgb="FF000000"/>
      <name val="Times New Roman"/>
      <charset val="204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EBEBE"/>
      </left>
      <right/>
      <top style="thin">
        <color rgb="FFBEBEBE"/>
      </top>
      <bottom/>
      <diagonal/>
    </border>
    <border>
      <left style="thin">
        <color rgb="FFBEBEBE"/>
      </left>
      <right/>
      <top/>
      <bottom style="thin">
        <color rgb="FFBEBEBE"/>
      </bottom>
      <diagonal/>
    </border>
    <border>
      <left style="thin">
        <color rgb="FFBEBEBE"/>
      </left>
      <right style="thin">
        <color rgb="FFD3D3D3"/>
      </right>
      <top style="thin">
        <color rgb="FFBEBEBE"/>
      </top>
      <bottom/>
      <diagonal/>
    </border>
    <border>
      <left style="thin">
        <color rgb="FFBEBEBE"/>
      </left>
      <right style="thin">
        <color rgb="FFD3D3D3"/>
      </right>
      <top/>
      <bottom style="thin">
        <color rgb="FFFFFF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1" applyNumberFormat="1" applyFont="1" applyFill="1" applyAlignment="1">
      <alignment horizontal="center" vertical="center"/>
    </xf>
    <xf numFmtId="16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 indent="1"/>
    </xf>
    <xf numFmtId="0" fontId="1" fillId="0" borderId="4" xfId="0" applyFont="1" applyBorder="1" applyAlignment="1">
      <alignment horizontal="left" vertical="top" wrapText="1" indent="1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9"/>
  <sheetViews>
    <sheetView workbookViewId="0">
      <selection activeCell="G55" sqref="G55"/>
    </sheetView>
  </sheetViews>
  <sheetFormatPr defaultRowHeight="13.2" x14ac:dyDescent="0.25"/>
  <cols>
    <col min="1" max="1" width="3.33203125" customWidth="1"/>
    <col min="2" max="2" width="31.21875" bestFit="1" customWidth="1"/>
    <col min="3" max="3" width="11.44140625" customWidth="1"/>
    <col min="4" max="4" width="12.77734375" customWidth="1"/>
    <col min="5" max="6" width="10.44140625" customWidth="1"/>
    <col min="7" max="7" width="11.44140625" customWidth="1"/>
    <col min="8" max="8" width="10.44140625" customWidth="1"/>
    <col min="9" max="9" width="11.44140625" customWidth="1"/>
    <col min="10" max="10" width="17.77734375" customWidth="1"/>
    <col min="11" max="11" width="30" customWidth="1"/>
    <col min="12" max="12" width="15.44140625" customWidth="1"/>
  </cols>
  <sheetData>
    <row r="2" spans="2:13" x14ac:dyDescent="0.25">
      <c r="B2" t="s">
        <v>91</v>
      </c>
    </row>
    <row r="3" spans="2:13" x14ac:dyDescent="0.25">
      <c r="B3" t="s">
        <v>60</v>
      </c>
      <c r="C3">
        <v>2747</v>
      </c>
      <c r="D3">
        <v>650</v>
      </c>
      <c r="E3">
        <f>SUM(C3:D3)</f>
        <v>3397</v>
      </c>
      <c r="F3">
        <f>C3/E3*100</f>
        <v>80.865469531939951</v>
      </c>
      <c r="G3" s="15">
        <v>80.865469531939951</v>
      </c>
      <c r="H3">
        <f t="shared" ref="H3:H9" si="0">D3/E3*100</f>
        <v>19.134530468060053</v>
      </c>
      <c r="I3" s="15">
        <v>19.134530468060053</v>
      </c>
    </row>
    <row r="4" spans="2:13" x14ac:dyDescent="0.25">
      <c r="B4" t="s">
        <v>4</v>
      </c>
      <c r="C4">
        <v>2020</v>
      </c>
      <c r="D4">
        <v>473</v>
      </c>
      <c r="E4">
        <f t="shared" ref="E4:E9" si="1">SUM(C4:D4)</f>
        <v>2493</v>
      </c>
      <c r="F4">
        <f t="shared" ref="F4:F9" si="2">C4/E4*100</f>
        <v>81.026875250701963</v>
      </c>
      <c r="G4" s="15">
        <v>81.026875250701963</v>
      </c>
      <c r="H4">
        <f t="shared" si="0"/>
        <v>18.973124749298034</v>
      </c>
      <c r="I4" s="15">
        <v>18.973124749298034</v>
      </c>
    </row>
    <row r="5" spans="2:13" x14ac:dyDescent="0.25">
      <c r="B5" t="s">
        <v>3</v>
      </c>
      <c r="C5">
        <v>5374</v>
      </c>
      <c r="D5">
        <v>1132</v>
      </c>
      <c r="E5">
        <f t="shared" si="1"/>
        <v>6506</v>
      </c>
      <c r="F5">
        <f t="shared" si="2"/>
        <v>82.600676298801105</v>
      </c>
      <c r="G5" s="15">
        <v>82.600676298801105</v>
      </c>
      <c r="H5">
        <f t="shared" si="0"/>
        <v>17.399323701198892</v>
      </c>
      <c r="I5" s="15">
        <v>17.399323701198892</v>
      </c>
    </row>
    <row r="6" spans="2:13" x14ac:dyDescent="0.25">
      <c r="B6" t="s">
        <v>59</v>
      </c>
      <c r="C6">
        <v>2044</v>
      </c>
      <c r="D6">
        <v>414</v>
      </c>
      <c r="E6">
        <f>SUM(C6:D6)</f>
        <v>2458</v>
      </c>
      <c r="F6">
        <f t="shared" si="2"/>
        <v>83.157038242473561</v>
      </c>
      <c r="G6" s="15">
        <v>83.157038242473561</v>
      </c>
      <c r="H6">
        <f t="shared" si="0"/>
        <v>16.842961757526446</v>
      </c>
      <c r="I6" s="15">
        <v>16.842961757526446</v>
      </c>
    </row>
    <row r="7" spans="2:13" x14ac:dyDescent="0.25">
      <c r="B7" t="s">
        <v>5</v>
      </c>
      <c r="C7">
        <v>4397</v>
      </c>
      <c r="D7">
        <v>464</v>
      </c>
      <c r="E7">
        <f t="shared" si="1"/>
        <v>4861</v>
      </c>
      <c r="F7">
        <f t="shared" si="2"/>
        <v>90.454638963176308</v>
      </c>
      <c r="G7" s="15">
        <v>90.454638963176308</v>
      </c>
      <c r="H7">
        <f t="shared" si="0"/>
        <v>9.5453610368236994</v>
      </c>
      <c r="I7" s="15">
        <v>9.5453610368236994</v>
      </c>
    </row>
    <row r="8" spans="2:13" x14ac:dyDescent="0.25">
      <c r="B8" t="s">
        <v>0</v>
      </c>
      <c r="C8">
        <v>149</v>
      </c>
      <c r="D8">
        <v>30</v>
      </c>
      <c r="E8">
        <f t="shared" si="1"/>
        <v>179</v>
      </c>
      <c r="F8">
        <f t="shared" si="2"/>
        <v>83.240223463687144</v>
      </c>
      <c r="G8" s="15">
        <v>83.240223463687144</v>
      </c>
      <c r="H8">
        <f t="shared" si="0"/>
        <v>16.759776536312849</v>
      </c>
      <c r="I8" s="15">
        <v>16.759776536312849</v>
      </c>
    </row>
    <row r="9" spans="2:13" x14ac:dyDescent="0.25">
      <c r="B9" t="s">
        <v>6</v>
      </c>
      <c r="C9">
        <v>61</v>
      </c>
      <c r="D9">
        <v>6</v>
      </c>
      <c r="E9">
        <f t="shared" si="1"/>
        <v>67</v>
      </c>
      <c r="F9">
        <f t="shared" si="2"/>
        <v>91.044776119402982</v>
      </c>
      <c r="G9" s="15">
        <v>91.044776119402982</v>
      </c>
      <c r="H9">
        <f t="shared" si="0"/>
        <v>8.9552238805970141</v>
      </c>
      <c r="I9" s="15">
        <v>8.9552238805970141</v>
      </c>
    </row>
    <row r="11" spans="2:13" x14ac:dyDescent="0.25">
      <c r="B11" t="s">
        <v>78</v>
      </c>
      <c r="M11" s="17" t="s">
        <v>0</v>
      </c>
    </row>
    <row r="12" spans="2:13" x14ac:dyDescent="0.25">
      <c r="B12" t="s">
        <v>60</v>
      </c>
      <c r="C12">
        <v>2751</v>
      </c>
      <c r="D12">
        <v>557</v>
      </c>
      <c r="E12">
        <v>3308</v>
      </c>
      <c r="F12">
        <f>C12/E12*100</f>
        <v>83.162031438935912</v>
      </c>
      <c r="G12" s="15">
        <v>83.162031438935912</v>
      </c>
      <c r="H12">
        <f t="shared" ref="H12:H18" si="3">D12/E12*100</f>
        <v>16.837968561064088</v>
      </c>
      <c r="I12" s="15">
        <v>16.837968561064088</v>
      </c>
      <c r="M12" s="18"/>
    </row>
    <row r="13" spans="2:13" x14ac:dyDescent="0.25">
      <c r="B13" t="s">
        <v>4</v>
      </c>
      <c r="C13">
        <v>2070</v>
      </c>
      <c r="D13">
        <v>519</v>
      </c>
      <c r="E13">
        <v>2589</v>
      </c>
      <c r="F13">
        <f t="shared" ref="F13:F18" si="4">C13/E13*100</f>
        <v>79.953650057937438</v>
      </c>
      <c r="G13" s="15">
        <v>79.953650057937438</v>
      </c>
      <c r="H13">
        <f t="shared" si="3"/>
        <v>20.046349942062573</v>
      </c>
      <c r="I13" s="15">
        <v>20.046349942062573</v>
      </c>
      <c r="M13" s="19" t="s">
        <v>6</v>
      </c>
    </row>
    <row r="14" spans="2:13" x14ac:dyDescent="0.25">
      <c r="B14" t="s">
        <v>3</v>
      </c>
      <c r="C14">
        <v>5539</v>
      </c>
      <c r="D14">
        <v>1078</v>
      </c>
      <c r="E14">
        <v>6617</v>
      </c>
      <c r="F14">
        <f t="shared" si="4"/>
        <v>83.708629288197073</v>
      </c>
      <c r="G14" s="15">
        <v>83.708629288197073</v>
      </c>
      <c r="H14">
        <f t="shared" si="3"/>
        <v>16.291370711802934</v>
      </c>
      <c r="I14" s="15">
        <v>16.291370711802934</v>
      </c>
      <c r="M14" s="20"/>
    </row>
    <row r="15" spans="2:13" x14ac:dyDescent="0.25">
      <c r="B15" t="s">
        <v>59</v>
      </c>
      <c r="C15">
        <v>2146</v>
      </c>
      <c r="D15">
        <v>434</v>
      </c>
      <c r="E15">
        <v>2580</v>
      </c>
      <c r="F15">
        <f t="shared" si="4"/>
        <v>83.178294573643413</v>
      </c>
      <c r="G15" s="15">
        <v>83.178294573643413</v>
      </c>
      <c r="H15">
        <f t="shared" si="3"/>
        <v>16.821705426356591</v>
      </c>
      <c r="I15" s="15">
        <v>16.821705426356591</v>
      </c>
    </row>
    <row r="16" spans="2:13" x14ac:dyDescent="0.25">
      <c r="B16" t="s">
        <v>5</v>
      </c>
      <c r="C16">
        <v>4620</v>
      </c>
      <c r="D16">
        <v>485</v>
      </c>
      <c r="E16">
        <v>5105</v>
      </c>
      <c r="F16">
        <f t="shared" si="4"/>
        <v>90.499510284035253</v>
      </c>
      <c r="G16" s="15">
        <v>90.499510284035253</v>
      </c>
      <c r="H16">
        <f t="shared" si="3"/>
        <v>9.5004897159647417</v>
      </c>
      <c r="I16" s="15">
        <v>9.5004897159647417</v>
      </c>
    </row>
    <row r="17" spans="2:13" x14ac:dyDescent="0.25">
      <c r="B17" t="s">
        <v>0</v>
      </c>
      <c r="C17">
        <v>157</v>
      </c>
      <c r="D17">
        <v>30</v>
      </c>
      <c r="E17">
        <v>187</v>
      </c>
      <c r="F17">
        <f t="shared" si="4"/>
        <v>83.957219251336895</v>
      </c>
      <c r="G17" s="15">
        <v>83.957219251336895</v>
      </c>
      <c r="H17">
        <f t="shared" si="3"/>
        <v>16.042780748663102</v>
      </c>
      <c r="I17" s="15">
        <v>16.042780748663102</v>
      </c>
      <c r="M17" t="s">
        <v>60</v>
      </c>
    </row>
    <row r="18" spans="2:13" x14ac:dyDescent="0.25">
      <c r="B18" t="s">
        <v>6</v>
      </c>
      <c r="C18">
        <v>76</v>
      </c>
      <c r="D18">
        <v>8</v>
      </c>
      <c r="E18">
        <v>84</v>
      </c>
      <c r="F18">
        <f t="shared" si="4"/>
        <v>90.476190476190482</v>
      </c>
      <c r="G18" s="15">
        <v>90.476190476190482</v>
      </c>
      <c r="H18">
        <f t="shared" si="3"/>
        <v>9.5238095238095237</v>
      </c>
      <c r="I18" s="15">
        <v>9.5238095238095237</v>
      </c>
      <c r="M18" t="s">
        <v>4</v>
      </c>
    </row>
    <row r="19" spans="2:13" x14ac:dyDescent="0.25">
      <c r="M19" t="s">
        <v>3</v>
      </c>
    </row>
    <row r="20" spans="2:13" x14ac:dyDescent="0.25">
      <c r="B20" t="s">
        <v>61</v>
      </c>
      <c r="M20" t="s">
        <v>59</v>
      </c>
    </row>
    <row r="21" spans="2:13" x14ac:dyDescent="0.25">
      <c r="B21" t="s">
        <v>60</v>
      </c>
      <c r="C21">
        <v>2618</v>
      </c>
      <c r="D21">
        <v>512</v>
      </c>
      <c r="E21">
        <f>SUM(C21:D21)</f>
        <v>3130</v>
      </c>
      <c r="F21">
        <f>C21/E21*100</f>
        <v>83.642172523961662</v>
      </c>
      <c r="G21" s="15">
        <v>83.642172523961662</v>
      </c>
      <c r="H21">
        <f>D21/E21*100</f>
        <v>16.357827476038338</v>
      </c>
      <c r="I21" s="15">
        <v>16.357827476038338</v>
      </c>
      <c r="M21" t="s">
        <v>5</v>
      </c>
    </row>
    <row r="22" spans="2:13" x14ac:dyDescent="0.25">
      <c r="B22" t="s">
        <v>4</v>
      </c>
      <c r="C22">
        <v>1835</v>
      </c>
      <c r="D22">
        <v>372</v>
      </c>
      <c r="E22">
        <f t="shared" ref="E22:E27" si="5">SUM(C22:D22)</f>
        <v>2207</v>
      </c>
      <c r="F22">
        <f t="shared" ref="F22:F27" si="6">C22/E22*100</f>
        <v>83.144540099682828</v>
      </c>
      <c r="G22" s="15">
        <v>83.144540099682828</v>
      </c>
      <c r="H22">
        <f t="shared" ref="H22:H27" si="7">D22/E22*100</f>
        <v>16.855459900317175</v>
      </c>
      <c r="I22" s="15">
        <v>16.855459900317175</v>
      </c>
      <c r="M22" t="s">
        <v>0</v>
      </c>
    </row>
    <row r="23" spans="2:13" x14ac:dyDescent="0.25">
      <c r="B23" t="s">
        <v>3</v>
      </c>
      <c r="C23">
        <v>4913</v>
      </c>
      <c r="D23">
        <v>1180</v>
      </c>
      <c r="E23">
        <f t="shared" si="5"/>
        <v>6093</v>
      </c>
      <c r="F23">
        <f t="shared" si="6"/>
        <v>80.633513868373541</v>
      </c>
      <c r="G23" s="15">
        <v>80.633513868373541</v>
      </c>
      <c r="H23">
        <f t="shared" si="7"/>
        <v>19.366486131626456</v>
      </c>
      <c r="I23" s="15">
        <v>19.366486131626456</v>
      </c>
      <c r="M23" t="s">
        <v>6</v>
      </c>
    </row>
    <row r="24" spans="2:13" x14ac:dyDescent="0.25">
      <c r="B24" t="s">
        <v>59</v>
      </c>
      <c r="C24">
        <v>1770</v>
      </c>
      <c r="D24">
        <v>292</v>
      </c>
      <c r="E24">
        <f t="shared" si="5"/>
        <v>2062</v>
      </c>
      <c r="F24">
        <f t="shared" si="6"/>
        <v>85.838991270611047</v>
      </c>
      <c r="G24" s="15">
        <v>85.838991270611047</v>
      </c>
      <c r="H24">
        <f t="shared" si="7"/>
        <v>14.161008729388943</v>
      </c>
      <c r="I24" s="15">
        <v>14.161008729388943</v>
      </c>
    </row>
    <row r="25" spans="2:13" x14ac:dyDescent="0.25">
      <c r="B25" t="s">
        <v>5</v>
      </c>
      <c r="C25">
        <v>4011</v>
      </c>
      <c r="D25">
        <v>407</v>
      </c>
      <c r="E25">
        <f t="shared" si="5"/>
        <v>4418</v>
      </c>
      <c r="F25">
        <f t="shared" si="6"/>
        <v>90.787686736079678</v>
      </c>
      <c r="G25" s="15">
        <v>90.787686736079678</v>
      </c>
      <c r="H25">
        <f t="shared" si="7"/>
        <v>9.2123132639203256</v>
      </c>
      <c r="I25" s="15">
        <v>9.2123132639203256</v>
      </c>
    </row>
    <row r="26" spans="2:13" x14ac:dyDescent="0.25">
      <c r="B26" t="s">
        <v>0</v>
      </c>
      <c r="C26">
        <v>165</v>
      </c>
      <c r="D26">
        <v>31</v>
      </c>
      <c r="E26">
        <f t="shared" si="5"/>
        <v>196</v>
      </c>
      <c r="F26">
        <f t="shared" si="6"/>
        <v>84.183673469387756</v>
      </c>
      <c r="G26" s="15">
        <v>84.183673469387756</v>
      </c>
      <c r="H26">
        <f t="shared" si="7"/>
        <v>15.816326530612246</v>
      </c>
      <c r="I26" s="15">
        <v>15.816326530612246</v>
      </c>
    </row>
    <row r="27" spans="2:13" x14ac:dyDescent="0.25">
      <c r="B27" t="s">
        <v>6</v>
      </c>
      <c r="C27">
        <v>89</v>
      </c>
      <c r="D27">
        <v>10</v>
      </c>
      <c r="E27">
        <f t="shared" si="5"/>
        <v>99</v>
      </c>
      <c r="F27">
        <f t="shared" si="6"/>
        <v>89.898989898989896</v>
      </c>
      <c r="G27" s="15">
        <v>89.898989898989896</v>
      </c>
      <c r="H27">
        <f t="shared" si="7"/>
        <v>10.1010101010101</v>
      </c>
      <c r="I27" s="15">
        <v>10.1010101010101</v>
      </c>
    </row>
    <row r="28" spans="2:13" x14ac:dyDescent="0.25">
      <c r="G28" s="15"/>
      <c r="I28" s="15"/>
    </row>
    <row r="29" spans="2:13" x14ac:dyDescent="0.25">
      <c r="G29" s="15"/>
      <c r="I29" s="15"/>
    </row>
    <row r="30" spans="2:13" x14ac:dyDescent="0.25">
      <c r="B30" t="s">
        <v>77</v>
      </c>
    </row>
    <row r="31" spans="2:13" x14ac:dyDescent="0.25">
      <c r="B31" t="s">
        <v>60</v>
      </c>
      <c r="C31">
        <v>2147</v>
      </c>
      <c r="D31">
        <v>445</v>
      </c>
      <c r="E31">
        <f>SUM(C31:D31)</f>
        <v>2592</v>
      </c>
      <c r="F31">
        <f>C31/E31*100</f>
        <v>82.831790123456798</v>
      </c>
      <c r="G31" s="15">
        <v>82.831790123456798</v>
      </c>
      <c r="H31">
        <f t="shared" ref="H31:H37" si="8">D31/E31*100</f>
        <v>17.168209876543212</v>
      </c>
      <c r="I31" s="15">
        <v>17.168209876543212</v>
      </c>
    </row>
    <row r="32" spans="2:13" x14ac:dyDescent="0.25">
      <c r="B32" t="s">
        <v>4</v>
      </c>
      <c r="C32">
        <v>1540</v>
      </c>
      <c r="D32">
        <v>297</v>
      </c>
      <c r="E32">
        <f t="shared" ref="E32:E37" si="9">SUM(C32:D32)</f>
        <v>1837</v>
      </c>
      <c r="F32">
        <f t="shared" ref="F32:F37" si="10">C32/E32*100</f>
        <v>83.832335329341305</v>
      </c>
      <c r="G32" s="15">
        <v>83.832335329341305</v>
      </c>
      <c r="H32">
        <f t="shared" si="8"/>
        <v>16.167664670658681</v>
      </c>
      <c r="I32" s="15">
        <v>16.167664670658681</v>
      </c>
    </row>
    <row r="33" spans="2:9" x14ac:dyDescent="0.25">
      <c r="B33" t="s">
        <v>3</v>
      </c>
      <c r="C33">
        <v>4108</v>
      </c>
      <c r="D33">
        <v>690</v>
      </c>
      <c r="E33">
        <f t="shared" si="9"/>
        <v>4798</v>
      </c>
      <c r="F33">
        <f t="shared" si="10"/>
        <v>85.619007919966649</v>
      </c>
      <c r="G33" s="15">
        <v>85.619007919966649</v>
      </c>
      <c r="H33">
        <f t="shared" si="8"/>
        <v>14.380992080033348</v>
      </c>
      <c r="I33" s="15">
        <v>14.380992080033348</v>
      </c>
    </row>
    <row r="34" spans="2:9" x14ac:dyDescent="0.25">
      <c r="B34" t="s">
        <v>59</v>
      </c>
      <c r="C34">
        <v>1394</v>
      </c>
      <c r="D34">
        <v>256</v>
      </c>
      <c r="E34">
        <f t="shared" si="9"/>
        <v>1650</v>
      </c>
      <c r="F34">
        <f t="shared" si="10"/>
        <v>84.484848484848484</v>
      </c>
      <c r="G34" s="15">
        <v>84.484848484848484</v>
      </c>
      <c r="H34">
        <f t="shared" si="8"/>
        <v>15.515151515151516</v>
      </c>
      <c r="I34" s="15">
        <v>15.515151515151516</v>
      </c>
    </row>
    <row r="35" spans="2:9" x14ac:dyDescent="0.25">
      <c r="B35" t="s">
        <v>5</v>
      </c>
      <c r="C35">
        <v>3218</v>
      </c>
      <c r="D35">
        <v>259</v>
      </c>
      <c r="E35">
        <f t="shared" si="9"/>
        <v>3477</v>
      </c>
      <c r="F35">
        <f t="shared" si="10"/>
        <v>92.551049755536383</v>
      </c>
      <c r="G35" s="15">
        <v>92.551049755536383</v>
      </c>
      <c r="H35">
        <f t="shared" si="8"/>
        <v>7.4489502444636173</v>
      </c>
      <c r="I35" s="15">
        <v>7.4489502444636173</v>
      </c>
    </row>
    <row r="36" spans="2:9" x14ac:dyDescent="0.25">
      <c r="B36" t="s">
        <v>0</v>
      </c>
      <c r="C36">
        <v>149</v>
      </c>
      <c r="D36">
        <v>43</v>
      </c>
      <c r="E36">
        <f t="shared" si="9"/>
        <v>192</v>
      </c>
      <c r="F36">
        <f t="shared" si="10"/>
        <v>77.604166666666657</v>
      </c>
      <c r="G36" s="15">
        <v>77.604166666666657</v>
      </c>
      <c r="H36">
        <f t="shared" si="8"/>
        <v>22.395833333333336</v>
      </c>
      <c r="I36" s="15">
        <v>22.395833333333336</v>
      </c>
    </row>
    <row r="37" spans="2:9" x14ac:dyDescent="0.25">
      <c r="B37" t="s">
        <v>6</v>
      </c>
      <c r="C37">
        <v>64</v>
      </c>
      <c r="D37">
        <v>13</v>
      </c>
      <c r="E37">
        <f t="shared" si="9"/>
        <v>77</v>
      </c>
      <c r="F37">
        <f t="shared" si="10"/>
        <v>83.116883116883116</v>
      </c>
      <c r="G37" s="15">
        <v>83.116883116883116</v>
      </c>
      <c r="H37">
        <f t="shared" si="8"/>
        <v>16.883116883116884</v>
      </c>
      <c r="I37" s="15">
        <v>16.883116883116884</v>
      </c>
    </row>
    <row r="38" spans="2:9" x14ac:dyDescent="0.25">
      <c r="G38" s="15"/>
      <c r="I38" s="15"/>
    </row>
    <row r="40" spans="2:9" x14ac:dyDescent="0.25">
      <c r="B40" t="s">
        <v>62</v>
      </c>
    </row>
    <row r="41" spans="2:9" x14ac:dyDescent="0.25">
      <c r="B41" t="s">
        <v>60</v>
      </c>
      <c r="C41">
        <v>2746</v>
      </c>
      <c r="D41">
        <v>608</v>
      </c>
      <c r="E41">
        <f>SUM(C41:D41)</f>
        <v>3354</v>
      </c>
      <c r="F41">
        <f>C41/E41*100</f>
        <v>81.872391174716753</v>
      </c>
      <c r="G41" s="15">
        <v>81.872391174716753</v>
      </c>
      <c r="H41">
        <f t="shared" ref="H41:H47" si="11">D41/E41*100</f>
        <v>18.127608825283247</v>
      </c>
      <c r="I41" s="15">
        <v>18.127608825283247</v>
      </c>
    </row>
    <row r="42" spans="2:9" x14ac:dyDescent="0.25">
      <c r="B42" t="s">
        <v>4</v>
      </c>
      <c r="C42">
        <v>1980</v>
      </c>
      <c r="D42">
        <v>447</v>
      </c>
      <c r="E42">
        <f t="shared" ref="E42:E47" si="12">SUM(C42:D42)</f>
        <v>2427</v>
      </c>
      <c r="F42">
        <f t="shared" ref="F42:F47" si="13">C42/E42*100</f>
        <v>81.582200247218779</v>
      </c>
      <c r="G42" s="15">
        <v>81.582200247218779</v>
      </c>
      <c r="H42">
        <f t="shared" si="11"/>
        <v>18.41779975278121</v>
      </c>
      <c r="I42" s="15">
        <v>18.41779975278121</v>
      </c>
    </row>
    <row r="43" spans="2:9" x14ac:dyDescent="0.25">
      <c r="B43" t="s">
        <v>3</v>
      </c>
      <c r="C43">
        <v>5402</v>
      </c>
      <c r="D43">
        <v>972</v>
      </c>
      <c r="E43">
        <f t="shared" si="12"/>
        <v>6374</v>
      </c>
      <c r="F43">
        <f t="shared" si="13"/>
        <v>84.750549105742081</v>
      </c>
      <c r="G43" s="15">
        <v>84.750549105742081</v>
      </c>
      <c r="H43">
        <f t="shared" si="11"/>
        <v>15.249450894257924</v>
      </c>
      <c r="I43" s="15">
        <v>15.249450894257924</v>
      </c>
    </row>
    <row r="44" spans="2:9" x14ac:dyDescent="0.25">
      <c r="B44" t="s">
        <v>59</v>
      </c>
      <c r="C44">
        <v>1938</v>
      </c>
      <c r="D44">
        <v>370</v>
      </c>
      <c r="E44">
        <f t="shared" si="12"/>
        <v>2308</v>
      </c>
      <c r="F44">
        <f t="shared" si="13"/>
        <v>83.968804159445412</v>
      </c>
      <c r="G44" s="15">
        <v>83.968804159445412</v>
      </c>
      <c r="H44">
        <f t="shared" si="11"/>
        <v>16.031195840554595</v>
      </c>
      <c r="I44" s="15">
        <v>16.031195840554595</v>
      </c>
    </row>
    <row r="45" spans="2:9" x14ac:dyDescent="0.25">
      <c r="B45" t="s">
        <v>5</v>
      </c>
      <c r="C45">
        <v>4359</v>
      </c>
      <c r="D45">
        <v>407</v>
      </c>
      <c r="E45">
        <f t="shared" si="12"/>
        <v>4766</v>
      </c>
      <c r="F45">
        <f t="shared" si="13"/>
        <v>91.460344104070501</v>
      </c>
      <c r="G45" s="15">
        <v>91.460344104070501</v>
      </c>
      <c r="H45">
        <f t="shared" si="11"/>
        <v>8.539655895929501</v>
      </c>
      <c r="I45" s="15">
        <v>8.539655895929501</v>
      </c>
    </row>
    <row r="46" spans="2:9" x14ac:dyDescent="0.25">
      <c r="B46" t="s">
        <v>0</v>
      </c>
      <c r="C46">
        <v>148</v>
      </c>
      <c r="D46">
        <v>29</v>
      </c>
      <c r="E46">
        <f t="shared" si="12"/>
        <v>177</v>
      </c>
      <c r="F46">
        <f t="shared" si="13"/>
        <v>83.615819209039543</v>
      </c>
      <c r="G46" s="15">
        <v>83.615819209039543</v>
      </c>
      <c r="H46">
        <f t="shared" si="11"/>
        <v>16.38418079096045</v>
      </c>
      <c r="I46" s="15">
        <v>16.38418079096045</v>
      </c>
    </row>
    <row r="47" spans="2:9" x14ac:dyDescent="0.25">
      <c r="B47" t="s">
        <v>6</v>
      </c>
      <c r="C47">
        <v>62</v>
      </c>
      <c r="D47">
        <v>4</v>
      </c>
      <c r="E47">
        <f t="shared" si="12"/>
        <v>66</v>
      </c>
      <c r="F47">
        <f t="shared" si="13"/>
        <v>93.939393939393938</v>
      </c>
      <c r="G47" s="15">
        <v>93.939393939393938</v>
      </c>
      <c r="H47">
        <f t="shared" si="11"/>
        <v>6.0606060606060606</v>
      </c>
      <c r="I47" s="15">
        <v>6.0606060606060606</v>
      </c>
    </row>
    <row r="50" spans="2:9" x14ac:dyDescent="0.25">
      <c r="B50" t="s">
        <v>63</v>
      </c>
    </row>
    <row r="51" spans="2:9" x14ac:dyDescent="0.25">
      <c r="B51" t="s">
        <v>60</v>
      </c>
      <c r="C51">
        <v>3009</v>
      </c>
      <c r="D51">
        <v>654</v>
      </c>
      <c r="E51">
        <f>SUM(C51:D51)</f>
        <v>3663</v>
      </c>
      <c r="F51">
        <f>C51/E51*100</f>
        <v>82.145782145782135</v>
      </c>
      <c r="G51" s="15">
        <v>82.145782145782135</v>
      </c>
      <c r="H51">
        <f t="shared" ref="H51:H57" si="14">D51/E51*100</f>
        <v>17.854217854217854</v>
      </c>
      <c r="I51" s="15">
        <v>17.854217854217854</v>
      </c>
    </row>
    <row r="52" spans="2:9" x14ac:dyDescent="0.25">
      <c r="B52" t="s">
        <v>4</v>
      </c>
      <c r="C52">
        <v>2139</v>
      </c>
      <c r="D52">
        <v>488</v>
      </c>
      <c r="E52">
        <f t="shared" ref="E52:E57" si="15">SUM(C52:D52)</f>
        <v>2627</v>
      </c>
      <c r="F52">
        <f t="shared" ref="F52:F57" si="16">C52/E52*100</f>
        <v>81.42367719832508</v>
      </c>
      <c r="G52" s="15">
        <v>81.42367719832508</v>
      </c>
      <c r="H52">
        <f t="shared" si="14"/>
        <v>18.576322801674912</v>
      </c>
      <c r="I52" s="15">
        <v>18.576322801674912</v>
      </c>
    </row>
    <row r="53" spans="2:9" x14ac:dyDescent="0.25">
      <c r="B53" t="s">
        <v>3</v>
      </c>
      <c r="C53">
        <v>5729</v>
      </c>
      <c r="D53">
        <v>1299</v>
      </c>
      <c r="E53">
        <f t="shared" si="15"/>
        <v>7028</v>
      </c>
      <c r="F53">
        <f t="shared" si="16"/>
        <v>81.516789982925445</v>
      </c>
      <c r="G53" s="15">
        <v>81.516789982925445</v>
      </c>
      <c r="H53">
        <f t="shared" si="14"/>
        <v>18.483210017074558</v>
      </c>
      <c r="I53" s="15">
        <v>18.483210017074558</v>
      </c>
    </row>
    <row r="54" spans="2:9" x14ac:dyDescent="0.25">
      <c r="B54" t="s">
        <v>59</v>
      </c>
      <c r="C54">
        <v>2073</v>
      </c>
      <c r="D54">
        <v>391</v>
      </c>
      <c r="E54">
        <f t="shared" si="15"/>
        <v>2464</v>
      </c>
      <c r="F54">
        <f t="shared" si="16"/>
        <v>84.131493506493499</v>
      </c>
      <c r="G54" s="15">
        <v>84.131493506493499</v>
      </c>
      <c r="H54">
        <f t="shared" si="14"/>
        <v>15.868506493506493</v>
      </c>
      <c r="I54" s="15">
        <v>15.868506493506493</v>
      </c>
    </row>
    <row r="55" spans="2:9" x14ac:dyDescent="0.25">
      <c r="B55" t="s">
        <v>5</v>
      </c>
      <c r="C55">
        <v>4704</v>
      </c>
      <c r="D55">
        <v>573</v>
      </c>
      <c r="E55">
        <f t="shared" si="15"/>
        <v>5277</v>
      </c>
      <c r="F55">
        <f t="shared" si="16"/>
        <v>89.14155770324048</v>
      </c>
      <c r="G55" s="15">
        <v>89.14155770324048</v>
      </c>
      <c r="H55">
        <f t="shared" si="14"/>
        <v>10.858442296759522</v>
      </c>
      <c r="I55" s="15">
        <v>10.858442296759522</v>
      </c>
    </row>
    <row r="56" spans="2:9" x14ac:dyDescent="0.25">
      <c r="B56" t="s">
        <v>0</v>
      </c>
      <c r="C56">
        <v>166</v>
      </c>
      <c r="D56">
        <v>28</v>
      </c>
      <c r="E56">
        <f t="shared" si="15"/>
        <v>194</v>
      </c>
      <c r="F56">
        <f t="shared" si="16"/>
        <v>85.567010309278345</v>
      </c>
      <c r="G56" s="15">
        <v>85.567010309278345</v>
      </c>
      <c r="H56">
        <f t="shared" si="14"/>
        <v>14.432989690721648</v>
      </c>
      <c r="I56" s="15">
        <v>14.432989690721648</v>
      </c>
    </row>
    <row r="57" spans="2:9" x14ac:dyDescent="0.25">
      <c r="B57" t="s">
        <v>6</v>
      </c>
      <c r="C57">
        <v>68</v>
      </c>
      <c r="D57">
        <v>7</v>
      </c>
      <c r="E57">
        <f t="shared" si="15"/>
        <v>75</v>
      </c>
      <c r="F57">
        <f t="shared" si="16"/>
        <v>90.666666666666657</v>
      </c>
      <c r="G57" s="15">
        <v>90.666666666666657</v>
      </c>
      <c r="H57">
        <f t="shared" si="14"/>
        <v>9.3333333333333339</v>
      </c>
      <c r="I57" s="15">
        <v>9.3333333333333339</v>
      </c>
    </row>
    <row r="59" spans="2:9" x14ac:dyDescent="0.25">
      <c r="B59" t="s">
        <v>64</v>
      </c>
    </row>
    <row r="60" spans="2:9" x14ac:dyDescent="0.25">
      <c r="B60" t="s">
        <v>60</v>
      </c>
      <c r="C60">
        <v>3009</v>
      </c>
      <c r="D60">
        <v>631</v>
      </c>
      <c r="E60">
        <f>SUM(C60:D60)</f>
        <v>3640</v>
      </c>
      <c r="F60">
        <f>C60/E60*100</f>
        <v>82.664835164835154</v>
      </c>
      <c r="G60" s="15">
        <v>82.664835164835154</v>
      </c>
      <c r="H60">
        <f t="shared" ref="H60:H66" si="17">D60/E60*100</f>
        <v>17.335164835164836</v>
      </c>
      <c r="I60" s="15">
        <v>17.335164835164836</v>
      </c>
    </row>
    <row r="61" spans="2:9" x14ac:dyDescent="0.25">
      <c r="B61" t="s">
        <v>4</v>
      </c>
      <c r="C61">
        <v>2195</v>
      </c>
      <c r="D61">
        <v>439</v>
      </c>
      <c r="E61">
        <f t="shared" ref="E61:E66" si="18">SUM(C61:D61)</f>
        <v>2634</v>
      </c>
      <c r="F61">
        <f t="shared" ref="F61:F66" si="19">C61/E61*100</f>
        <v>83.333333333333343</v>
      </c>
      <c r="G61" s="15">
        <v>83.333333333333343</v>
      </c>
      <c r="H61">
        <f t="shared" si="17"/>
        <v>16.666666666666664</v>
      </c>
      <c r="I61" s="15">
        <v>16.666666666666664</v>
      </c>
    </row>
    <row r="62" spans="2:9" x14ac:dyDescent="0.25">
      <c r="B62" t="s">
        <v>3</v>
      </c>
      <c r="C62">
        <v>5563</v>
      </c>
      <c r="D62">
        <v>1175</v>
      </c>
      <c r="E62">
        <f t="shared" si="18"/>
        <v>6738</v>
      </c>
      <c r="F62">
        <f t="shared" si="19"/>
        <v>82.561590976550903</v>
      </c>
      <c r="G62" s="15">
        <v>82.561590976550903</v>
      </c>
      <c r="H62">
        <f t="shared" si="17"/>
        <v>17.438409023449093</v>
      </c>
      <c r="I62" s="15">
        <v>17.438409023449093</v>
      </c>
    </row>
    <row r="63" spans="2:9" x14ac:dyDescent="0.25">
      <c r="B63" t="s">
        <v>59</v>
      </c>
      <c r="C63">
        <v>2124</v>
      </c>
      <c r="D63">
        <v>384</v>
      </c>
      <c r="E63">
        <f t="shared" si="18"/>
        <v>2508</v>
      </c>
      <c r="F63">
        <f t="shared" si="19"/>
        <v>84.688995215310996</v>
      </c>
      <c r="G63" s="15">
        <v>84.688995215310996</v>
      </c>
      <c r="H63">
        <f t="shared" si="17"/>
        <v>15.311004784688995</v>
      </c>
      <c r="I63" s="15">
        <v>15.311004784688995</v>
      </c>
    </row>
    <row r="64" spans="2:9" x14ac:dyDescent="0.25">
      <c r="B64" t="s">
        <v>5</v>
      </c>
      <c r="C64">
        <v>4553</v>
      </c>
      <c r="D64">
        <v>647</v>
      </c>
      <c r="E64">
        <f t="shared" si="18"/>
        <v>5200</v>
      </c>
      <c r="F64">
        <f t="shared" si="19"/>
        <v>87.557692307692307</v>
      </c>
      <c r="G64" s="15">
        <v>87.557692307692307</v>
      </c>
      <c r="H64">
        <f t="shared" si="17"/>
        <v>12.442307692307693</v>
      </c>
      <c r="I64" s="15">
        <v>12.442307692307693</v>
      </c>
    </row>
    <row r="65" spans="2:9" x14ac:dyDescent="0.25">
      <c r="B65" t="s">
        <v>0</v>
      </c>
      <c r="C65">
        <v>134</v>
      </c>
      <c r="D65">
        <v>28</v>
      </c>
      <c r="E65">
        <f t="shared" si="18"/>
        <v>162</v>
      </c>
      <c r="F65">
        <f t="shared" si="19"/>
        <v>82.716049382716051</v>
      </c>
      <c r="G65" s="15">
        <v>82.716049382716051</v>
      </c>
      <c r="H65">
        <f t="shared" si="17"/>
        <v>17.283950617283949</v>
      </c>
      <c r="I65" s="15">
        <v>17.283950617283949</v>
      </c>
    </row>
    <row r="66" spans="2:9" x14ac:dyDescent="0.25">
      <c r="B66" t="s">
        <v>6</v>
      </c>
      <c r="C66">
        <v>48</v>
      </c>
      <c r="D66">
        <v>5</v>
      </c>
      <c r="E66">
        <f t="shared" si="18"/>
        <v>53</v>
      </c>
      <c r="F66">
        <f t="shared" si="19"/>
        <v>90.566037735849065</v>
      </c>
      <c r="G66" s="15">
        <v>90.566037735849065</v>
      </c>
      <c r="H66">
        <f t="shared" si="17"/>
        <v>9.433962264150944</v>
      </c>
      <c r="I66" s="15">
        <v>9.433962264150944</v>
      </c>
    </row>
    <row r="69" spans="2:9" x14ac:dyDescent="0.25">
      <c r="B69" t="s">
        <v>65</v>
      </c>
    </row>
    <row r="70" spans="2:9" x14ac:dyDescent="0.25">
      <c r="B70" t="s">
        <v>60</v>
      </c>
      <c r="C70">
        <v>3005</v>
      </c>
      <c r="D70">
        <v>667</v>
      </c>
      <c r="E70">
        <f>SUM(C70:D70)</f>
        <v>3672</v>
      </c>
      <c r="F70">
        <f>C70/E70*100</f>
        <v>81.835511982570807</v>
      </c>
      <c r="G70" s="15">
        <v>81.835511982570807</v>
      </c>
      <c r="H70">
        <f t="shared" ref="H70:H76" si="20">D70/E70*100</f>
        <v>18.164488017429196</v>
      </c>
      <c r="I70" s="15">
        <v>18.164488017429196</v>
      </c>
    </row>
    <row r="71" spans="2:9" x14ac:dyDescent="0.25">
      <c r="B71" t="s">
        <v>4</v>
      </c>
      <c r="C71">
        <v>2175</v>
      </c>
      <c r="D71">
        <v>476</v>
      </c>
      <c r="E71">
        <f t="shared" ref="E71:E76" si="21">SUM(C71:D71)</f>
        <v>2651</v>
      </c>
      <c r="F71">
        <f t="shared" ref="F71:F76" si="22">C71/E71*100</f>
        <v>82.044511505092416</v>
      </c>
      <c r="G71" s="15">
        <v>82.044511505092416</v>
      </c>
      <c r="H71">
        <f t="shared" si="20"/>
        <v>17.955488494907581</v>
      </c>
      <c r="I71" s="15">
        <v>17.955488494907581</v>
      </c>
    </row>
    <row r="72" spans="2:9" x14ac:dyDescent="0.25">
      <c r="B72" t="s">
        <v>3</v>
      </c>
      <c r="C72">
        <v>5747</v>
      </c>
      <c r="D72">
        <v>1166</v>
      </c>
      <c r="E72">
        <f t="shared" si="21"/>
        <v>6913</v>
      </c>
      <c r="F72">
        <f t="shared" si="22"/>
        <v>83.133227253001593</v>
      </c>
      <c r="G72" s="15">
        <v>83.133227253001593</v>
      </c>
      <c r="H72">
        <f t="shared" si="20"/>
        <v>16.866772746998411</v>
      </c>
      <c r="I72" s="15">
        <v>16.866772746998411</v>
      </c>
    </row>
    <row r="73" spans="2:9" x14ac:dyDescent="0.25">
      <c r="B73" t="s">
        <v>59</v>
      </c>
      <c r="C73">
        <v>2074</v>
      </c>
      <c r="D73">
        <v>449</v>
      </c>
      <c r="E73">
        <f t="shared" si="21"/>
        <v>2523</v>
      </c>
      <c r="F73">
        <f t="shared" si="22"/>
        <v>82.203725723345229</v>
      </c>
      <c r="G73" s="15">
        <v>82.203725723345229</v>
      </c>
      <c r="H73">
        <f t="shared" si="20"/>
        <v>17.796274276654774</v>
      </c>
      <c r="I73" s="15">
        <v>17.796274276654774</v>
      </c>
    </row>
    <row r="74" spans="2:9" x14ac:dyDescent="0.25">
      <c r="B74" t="s">
        <v>5</v>
      </c>
      <c r="C74">
        <v>4689</v>
      </c>
      <c r="D74">
        <v>460</v>
      </c>
      <c r="E74">
        <f t="shared" si="21"/>
        <v>5149</v>
      </c>
      <c r="F74">
        <f t="shared" si="22"/>
        <v>91.066226451738203</v>
      </c>
      <c r="G74" s="15">
        <v>91.066226451738203</v>
      </c>
      <c r="H74">
        <f t="shared" si="20"/>
        <v>8.933773548261799</v>
      </c>
      <c r="I74" s="15">
        <v>8.933773548261799</v>
      </c>
    </row>
    <row r="75" spans="2:9" x14ac:dyDescent="0.25">
      <c r="B75" t="s">
        <v>0</v>
      </c>
      <c r="C75">
        <v>159</v>
      </c>
      <c r="D75">
        <v>28</v>
      </c>
      <c r="E75">
        <f t="shared" si="21"/>
        <v>187</v>
      </c>
      <c r="F75">
        <f t="shared" si="22"/>
        <v>85.026737967914428</v>
      </c>
      <c r="G75" s="15">
        <v>85.026737967914428</v>
      </c>
      <c r="H75">
        <f t="shared" si="20"/>
        <v>14.973262032085561</v>
      </c>
      <c r="I75" s="15">
        <v>14.973262032085561</v>
      </c>
    </row>
    <row r="76" spans="2:9" x14ac:dyDescent="0.25">
      <c r="B76" t="s">
        <v>6</v>
      </c>
      <c r="C76">
        <v>62</v>
      </c>
      <c r="D76">
        <v>7</v>
      </c>
      <c r="E76">
        <f t="shared" si="21"/>
        <v>69</v>
      </c>
      <c r="F76">
        <f t="shared" si="22"/>
        <v>89.85507246376811</v>
      </c>
      <c r="G76" s="15">
        <v>89.85507246376811</v>
      </c>
      <c r="H76">
        <f t="shared" si="20"/>
        <v>10.144927536231885</v>
      </c>
      <c r="I76" s="15">
        <v>10.144927536231885</v>
      </c>
    </row>
    <row r="78" spans="2:9" x14ac:dyDescent="0.25">
      <c r="B78" t="s">
        <v>66</v>
      </c>
    </row>
    <row r="79" spans="2:9" x14ac:dyDescent="0.25">
      <c r="B79" t="s">
        <v>60</v>
      </c>
      <c r="C79">
        <v>2803</v>
      </c>
      <c r="D79">
        <v>635</v>
      </c>
      <c r="E79">
        <f>SUM(C79:D79)</f>
        <v>3438</v>
      </c>
      <c r="F79">
        <f>C79/E79*100</f>
        <v>81.529959278650381</v>
      </c>
      <c r="G79" s="15">
        <v>81.529959278650381</v>
      </c>
      <c r="H79">
        <f t="shared" ref="H79:H85" si="23">D79/E79*100</f>
        <v>18.470040721349623</v>
      </c>
      <c r="I79" s="15">
        <v>18.470040721349623</v>
      </c>
    </row>
    <row r="80" spans="2:9" x14ac:dyDescent="0.25">
      <c r="B80" t="s">
        <v>4</v>
      </c>
      <c r="C80">
        <v>2106</v>
      </c>
      <c r="D80">
        <v>522</v>
      </c>
      <c r="E80">
        <f t="shared" ref="E80:E85" si="24">SUM(C80:D80)</f>
        <v>2628</v>
      </c>
      <c r="F80">
        <f t="shared" ref="F80:F85" si="25">C80/E80*100</f>
        <v>80.136986301369859</v>
      </c>
      <c r="G80" s="15">
        <v>80.136986301369859</v>
      </c>
      <c r="H80">
        <f t="shared" si="23"/>
        <v>19.863013698630137</v>
      </c>
      <c r="I80" s="15">
        <v>19.863013698630137</v>
      </c>
    </row>
    <row r="81" spans="2:14" x14ac:dyDescent="0.25">
      <c r="B81" t="s">
        <v>3</v>
      </c>
      <c r="C81">
        <v>5468</v>
      </c>
      <c r="D81">
        <v>1155</v>
      </c>
      <c r="E81">
        <f t="shared" si="24"/>
        <v>6623</v>
      </c>
      <c r="F81">
        <f t="shared" si="25"/>
        <v>82.560773063566359</v>
      </c>
      <c r="G81" s="15">
        <v>82.560773063566359</v>
      </c>
      <c r="H81">
        <f t="shared" si="23"/>
        <v>17.439226936433641</v>
      </c>
      <c r="I81" s="15">
        <v>17.439226936433641</v>
      </c>
    </row>
    <row r="82" spans="2:14" x14ac:dyDescent="0.25">
      <c r="B82" t="s">
        <v>59</v>
      </c>
      <c r="C82">
        <v>2241</v>
      </c>
      <c r="D82">
        <v>456</v>
      </c>
      <c r="E82">
        <f t="shared" si="24"/>
        <v>2697</v>
      </c>
      <c r="F82">
        <f t="shared" si="25"/>
        <v>83.092324805339274</v>
      </c>
      <c r="G82" s="15">
        <v>83.092324805339274</v>
      </c>
      <c r="H82">
        <f t="shared" si="23"/>
        <v>16.907675194660733</v>
      </c>
      <c r="I82" s="15">
        <v>16.907675194660733</v>
      </c>
    </row>
    <row r="83" spans="2:14" x14ac:dyDescent="0.25">
      <c r="B83" t="s">
        <v>5</v>
      </c>
      <c r="C83">
        <v>4649</v>
      </c>
      <c r="D83">
        <v>496</v>
      </c>
      <c r="E83">
        <f t="shared" si="24"/>
        <v>5145</v>
      </c>
      <c r="F83">
        <f t="shared" si="25"/>
        <v>90.359572400388728</v>
      </c>
      <c r="G83" s="15">
        <v>90.359572400388728</v>
      </c>
      <c r="H83">
        <f t="shared" si="23"/>
        <v>9.6404275996112734</v>
      </c>
      <c r="I83" s="15">
        <v>9.6404275996112734</v>
      </c>
      <c r="M83">
        <v>2022</v>
      </c>
    </row>
    <row r="84" spans="2:14" x14ac:dyDescent="0.25">
      <c r="B84" t="s">
        <v>0</v>
      </c>
      <c r="C84">
        <v>136</v>
      </c>
      <c r="D84">
        <v>32</v>
      </c>
      <c r="E84">
        <f t="shared" si="24"/>
        <v>168</v>
      </c>
      <c r="F84">
        <f t="shared" si="25"/>
        <v>80.952380952380949</v>
      </c>
      <c r="G84" s="15">
        <v>80.952380952380949</v>
      </c>
      <c r="H84">
        <f t="shared" si="23"/>
        <v>19.047619047619047</v>
      </c>
      <c r="I84" s="15">
        <v>19.047619047619047</v>
      </c>
      <c r="M84">
        <v>2021</v>
      </c>
    </row>
    <row r="85" spans="2:14" x14ac:dyDescent="0.25">
      <c r="B85" t="s">
        <v>6</v>
      </c>
      <c r="C85">
        <v>61</v>
      </c>
      <c r="D85">
        <v>7</v>
      </c>
      <c r="E85">
        <f t="shared" si="24"/>
        <v>68</v>
      </c>
      <c r="F85">
        <f t="shared" si="25"/>
        <v>89.705882352941174</v>
      </c>
      <c r="G85" s="15">
        <v>89.705882352941174</v>
      </c>
      <c r="H85">
        <f t="shared" si="23"/>
        <v>10.294117647058822</v>
      </c>
      <c r="I85" s="15">
        <v>10.294117647058822</v>
      </c>
      <c r="M85">
        <v>2020</v>
      </c>
      <c r="N85" t="s">
        <v>68</v>
      </c>
    </row>
    <row r="87" spans="2:14" x14ac:dyDescent="0.25">
      <c r="B87" t="s">
        <v>67</v>
      </c>
    </row>
    <row r="88" spans="2:14" x14ac:dyDescent="0.25">
      <c r="B88" t="s">
        <v>60</v>
      </c>
      <c r="C88">
        <v>2769</v>
      </c>
      <c r="D88">
        <v>569</v>
      </c>
      <c r="E88">
        <f>SUM(C88:D88)</f>
        <v>3338</v>
      </c>
      <c r="F88">
        <f>C88/E88*100</f>
        <v>82.953864589574593</v>
      </c>
      <c r="G88" s="15">
        <v>82.953864589574593</v>
      </c>
      <c r="H88">
        <f t="shared" ref="H88:H94" si="26">D88/E88*100</f>
        <v>17.046135410425403</v>
      </c>
      <c r="I88" s="15">
        <v>17.046135410425403</v>
      </c>
    </row>
    <row r="89" spans="2:14" x14ac:dyDescent="0.25">
      <c r="B89" t="s">
        <v>4</v>
      </c>
      <c r="C89">
        <v>2202</v>
      </c>
      <c r="D89">
        <v>542</v>
      </c>
      <c r="E89">
        <f t="shared" ref="E89:E94" si="27">SUM(C89:D89)</f>
        <v>2744</v>
      </c>
      <c r="F89">
        <f t="shared" ref="F89:F94" si="28">C89/E89*100</f>
        <v>80.24781341107871</v>
      </c>
      <c r="G89" s="15">
        <v>80.24781341107871</v>
      </c>
      <c r="H89">
        <f t="shared" si="26"/>
        <v>19.752186588921283</v>
      </c>
      <c r="I89" s="15">
        <v>19.752186588921283</v>
      </c>
    </row>
    <row r="90" spans="2:14" x14ac:dyDescent="0.25">
      <c r="B90" t="s">
        <v>3</v>
      </c>
      <c r="C90">
        <v>5601</v>
      </c>
      <c r="D90">
        <v>1197</v>
      </c>
      <c r="E90">
        <f t="shared" si="27"/>
        <v>6798</v>
      </c>
      <c r="F90">
        <f t="shared" si="28"/>
        <v>82.391879964695505</v>
      </c>
      <c r="G90" s="15">
        <v>82.391879964695505</v>
      </c>
      <c r="H90">
        <f t="shared" si="26"/>
        <v>17.608120035304502</v>
      </c>
      <c r="I90" s="15">
        <v>17.608120035304502</v>
      </c>
    </row>
    <row r="91" spans="2:14" x14ac:dyDescent="0.25">
      <c r="B91" t="s">
        <v>59</v>
      </c>
      <c r="C91">
        <v>2216</v>
      </c>
      <c r="D91">
        <v>447</v>
      </c>
      <c r="E91">
        <f t="shared" si="27"/>
        <v>2663</v>
      </c>
      <c r="F91">
        <f t="shared" si="28"/>
        <v>83.214419827262489</v>
      </c>
      <c r="G91" s="15">
        <v>83.214419827262489</v>
      </c>
      <c r="H91">
        <f t="shared" si="26"/>
        <v>16.785580172737514</v>
      </c>
      <c r="I91" s="15">
        <v>16.785580172737514</v>
      </c>
    </row>
    <row r="92" spans="2:14" x14ac:dyDescent="0.25">
      <c r="B92" t="s">
        <v>5</v>
      </c>
      <c r="C92">
        <v>4566</v>
      </c>
      <c r="D92">
        <v>424</v>
      </c>
      <c r="E92">
        <f t="shared" si="27"/>
        <v>4990</v>
      </c>
      <c r="F92">
        <f t="shared" si="28"/>
        <v>91.503006012024045</v>
      </c>
      <c r="G92" s="15">
        <v>91.503006012024045</v>
      </c>
      <c r="H92">
        <f t="shared" si="26"/>
        <v>8.4969939879759515</v>
      </c>
      <c r="I92" s="15">
        <v>8.4969939879759515</v>
      </c>
    </row>
    <row r="93" spans="2:14" x14ac:dyDescent="0.25">
      <c r="B93" t="s">
        <v>0</v>
      </c>
      <c r="C93">
        <v>143</v>
      </c>
      <c r="D93">
        <v>25</v>
      </c>
      <c r="E93">
        <f t="shared" si="27"/>
        <v>168</v>
      </c>
      <c r="F93">
        <f t="shared" si="28"/>
        <v>85.11904761904762</v>
      </c>
      <c r="G93" s="15">
        <v>85.11904761904762</v>
      </c>
      <c r="H93">
        <f t="shared" si="26"/>
        <v>14.880952380952381</v>
      </c>
      <c r="I93" s="15">
        <v>14.880952380952381</v>
      </c>
    </row>
    <row r="94" spans="2:14" x14ac:dyDescent="0.25">
      <c r="B94" t="s">
        <v>6</v>
      </c>
      <c r="C94">
        <v>64</v>
      </c>
      <c r="D94">
        <v>9</v>
      </c>
      <c r="E94">
        <f t="shared" si="27"/>
        <v>73</v>
      </c>
      <c r="F94">
        <f t="shared" si="28"/>
        <v>87.671232876712324</v>
      </c>
      <c r="G94" s="15">
        <v>87.671232876712324</v>
      </c>
      <c r="H94">
        <f t="shared" si="26"/>
        <v>12.328767123287671</v>
      </c>
      <c r="I94" s="15">
        <v>12.328767123287671</v>
      </c>
    </row>
    <row r="96" spans="2:14" x14ac:dyDescent="0.25">
      <c r="B96" t="s">
        <v>69</v>
      </c>
    </row>
    <row r="97" spans="2:9" x14ac:dyDescent="0.25">
      <c r="B97" t="s">
        <v>60</v>
      </c>
      <c r="C97">
        <v>2973</v>
      </c>
      <c r="D97">
        <v>597</v>
      </c>
      <c r="E97">
        <f>SUM(C97:D97)</f>
        <v>3570</v>
      </c>
      <c r="F97">
        <f>C97/E97*100</f>
        <v>83.277310924369758</v>
      </c>
      <c r="G97" s="15">
        <v>83.277310924369758</v>
      </c>
      <c r="H97">
        <f t="shared" ref="H97:H103" si="29">D97/E97*100</f>
        <v>16.72268907563025</v>
      </c>
      <c r="I97" s="15">
        <v>16.72268907563025</v>
      </c>
    </row>
    <row r="98" spans="2:9" x14ac:dyDescent="0.25">
      <c r="B98" t="s">
        <v>4</v>
      </c>
      <c r="C98">
        <v>2005</v>
      </c>
      <c r="D98">
        <v>453</v>
      </c>
      <c r="E98">
        <f t="shared" ref="E98:E103" si="30">SUM(C98:D98)</f>
        <v>2458</v>
      </c>
      <c r="F98">
        <f t="shared" ref="F98:F103" si="31">C98/E98*100</f>
        <v>81.570382424735556</v>
      </c>
      <c r="G98" s="15">
        <v>81.570382424735556</v>
      </c>
      <c r="H98">
        <f t="shared" si="29"/>
        <v>18.429617575264441</v>
      </c>
      <c r="I98" s="15">
        <v>18.429617575264441</v>
      </c>
    </row>
    <row r="99" spans="2:9" x14ac:dyDescent="0.25">
      <c r="B99" t="s">
        <v>3</v>
      </c>
      <c r="C99">
        <v>5784</v>
      </c>
      <c r="D99">
        <v>1206</v>
      </c>
      <c r="E99">
        <f t="shared" si="30"/>
        <v>6990</v>
      </c>
      <c r="F99">
        <f t="shared" si="31"/>
        <v>82.746781115879827</v>
      </c>
      <c r="G99" s="15">
        <v>82.746781115879827</v>
      </c>
      <c r="H99">
        <f t="shared" si="29"/>
        <v>17.253218884120173</v>
      </c>
      <c r="I99" s="15">
        <v>17.253218884120173</v>
      </c>
    </row>
    <row r="100" spans="2:9" x14ac:dyDescent="0.25">
      <c r="B100" t="s">
        <v>59</v>
      </c>
      <c r="C100">
        <v>1997</v>
      </c>
      <c r="D100">
        <v>392</v>
      </c>
      <c r="E100">
        <f t="shared" si="30"/>
        <v>2389</v>
      </c>
      <c r="F100">
        <f t="shared" si="31"/>
        <v>83.591460862285473</v>
      </c>
      <c r="G100" s="15">
        <v>83.591460862285473</v>
      </c>
      <c r="H100">
        <f t="shared" si="29"/>
        <v>16.408539137714527</v>
      </c>
      <c r="I100" s="15">
        <v>16.408539137714527</v>
      </c>
    </row>
    <row r="101" spans="2:9" x14ac:dyDescent="0.25">
      <c r="B101" t="s">
        <v>5</v>
      </c>
      <c r="C101">
        <v>4789</v>
      </c>
      <c r="D101">
        <v>673</v>
      </c>
      <c r="E101">
        <f t="shared" si="30"/>
        <v>5462</v>
      </c>
      <c r="F101">
        <f t="shared" si="31"/>
        <v>87.678506041742949</v>
      </c>
      <c r="G101" s="15">
        <v>87.678506041742949</v>
      </c>
      <c r="H101">
        <f t="shared" si="29"/>
        <v>12.321493958257049</v>
      </c>
      <c r="I101" s="15">
        <v>12.321493958257049</v>
      </c>
    </row>
    <row r="102" spans="2:9" x14ac:dyDescent="0.25">
      <c r="B102" t="s">
        <v>0</v>
      </c>
      <c r="C102">
        <v>175</v>
      </c>
      <c r="D102">
        <v>38</v>
      </c>
      <c r="E102">
        <f t="shared" si="30"/>
        <v>213</v>
      </c>
      <c r="F102">
        <f t="shared" si="31"/>
        <v>82.159624413145536</v>
      </c>
      <c r="G102" s="15">
        <v>82.159624413145536</v>
      </c>
      <c r="H102">
        <f t="shared" si="29"/>
        <v>17.84037558685446</v>
      </c>
      <c r="I102" s="15">
        <v>17.84037558685446</v>
      </c>
    </row>
    <row r="103" spans="2:9" x14ac:dyDescent="0.25">
      <c r="B103" t="s">
        <v>6</v>
      </c>
      <c r="C103">
        <v>127</v>
      </c>
      <c r="D103">
        <v>20</v>
      </c>
      <c r="E103">
        <f t="shared" si="30"/>
        <v>147</v>
      </c>
      <c r="F103">
        <f t="shared" si="31"/>
        <v>86.394557823129247</v>
      </c>
      <c r="G103" s="15">
        <v>86.394557823129247</v>
      </c>
      <c r="H103">
        <f t="shared" si="29"/>
        <v>13.605442176870749</v>
      </c>
      <c r="I103" s="15">
        <v>13.605442176870749</v>
      </c>
    </row>
    <row r="106" spans="2:9" x14ac:dyDescent="0.25">
      <c r="B106" t="s">
        <v>70</v>
      </c>
    </row>
    <row r="107" spans="2:9" x14ac:dyDescent="0.25">
      <c r="B107" t="s">
        <v>60</v>
      </c>
      <c r="C107">
        <v>2958</v>
      </c>
      <c r="D107">
        <v>650</v>
      </c>
      <c r="E107">
        <f>SUM(C107:D107)</f>
        <v>3608</v>
      </c>
      <c r="F107">
        <f>C107/E107*100</f>
        <v>81.984478935698448</v>
      </c>
      <c r="G107" s="15">
        <v>81.984478935698448</v>
      </c>
      <c r="H107">
        <f t="shared" ref="H107:H113" si="32">D107/E107*100</f>
        <v>18.015521064301552</v>
      </c>
      <c r="I107" s="15">
        <v>18.015521064301552</v>
      </c>
    </row>
    <row r="108" spans="2:9" x14ac:dyDescent="0.25">
      <c r="B108" t="s">
        <v>4</v>
      </c>
      <c r="C108">
        <v>2146</v>
      </c>
      <c r="D108">
        <v>468</v>
      </c>
      <c r="E108">
        <f t="shared" ref="E108:E113" si="33">SUM(C108:D108)</f>
        <v>2614</v>
      </c>
      <c r="F108">
        <f t="shared" ref="F108:F113" si="34">C108/E108*100</f>
        <v>82.096403978576888</v>
      </c>
      <c r="G108" s="15">
        <v>82.096403978576888</v>
      </c>
      <c r="H108">
        <f t="shared" si="32"/>
        <v>17.903596021423105</v>
      </c>
      <c r="I108" s="15">
        <v>17.903596021423105</v>
      </c>
    </row>
    <row r="109" spans="2:9" x14ac:dyDescent="0.25">
      <c r="B109" t="s">
        <v>3</v>
      </c>
      <c r="C109">
        <v>5753</v>
      </c>
      <c r="D109">
        <v>1102</v>
      </c>
      <c r="E109">
        <f t="shared" si="33"/>
        <v>6855</v>
      </c>
      <c r="F109">
        <f t="shared" si="34"/>
        <v>83.924142961342085</v>
      </c>
      <c r="G109" s="15">
        <v>83.924142961342085</v>
      </c>
      <c r="H109">
        <f t="shared" si="32"/>
        <v>16.075857038657915</v>
      </c>
      <c r="I109" s="15">
        <v>16.075857038657915</v>
      </c>
    </row>
    <row r="110" spans="2:9" x14ac:dyDescent="0.25">
      <c r="B110" t="s">
        <v>59</v>
      </c>
      <c r="C110">
        <v>2085</v>
      </c>
      <c r="D110">
        <v>384</v>
      </c>
      <c r="E110">
        <f t="shared" si="33"/>
        <v>2469</v>
      </c>
      <c r="F110">
        <f t="shared" si="34"/>
        <v>84.447144592952611</v>
      </c>
      <c r="G110" s="15">
        <v>84.447144592952611</v>
      </c>
      <c r="H110">
        <f t="shared" si="32"/>
        <v>15.552855407047387</v>
      </c>
      <c r="I110" s="15">
        <v>15.552855407047387</v>
      </c>
    </row>
    <row r="111" spans="2:9" x14ac:dyDescent="0.25">
      <c r="B111" t="s">
        <v>5</v>
      </c>
      <c r="C111">
        <v>4739</v>
      </c>
      <c r="D111">
        <v>567</v>
      </c>
      <c r="E111">
        <f t="shared" si="33"/>
        <v>5306</v>
      </c>
      <c r="F111">
        <f t="shared" si="34"/>
        <v>89.313984168865431</v>
      </c>
      <c r="G111" s="15">
        <v>89.313984168865431</v>
      </c>
      <c r="H111">
        <f t="shared" si="32"/>
        <v>10.686015831134563</v>
      </c>
      <c r="I111" s="15">
        <v>10.686015831134563</v>
      </c>
    </row>
    <row r="112" spans="2:9" x14ac:dyDescent="0.25">
      <c r="B112" t="s">
        <v>0</v>
      </c>
      <c r="C112">
        <v>192</v>
      </c>
      <c r="D112">
        <v>29</v>
      </c>
      <c r="E112">
        <f t="shared" si="33"/>
        <v>221</v>
      </c>
      <c r="F112">
        <f t="shared" si="34"/>
        <v>86.877828054298647</v>
      </c>
      <c r="G112" s="15">
        <v>86.877828054298647</v>
      </c>
      <c r="H112">
        <f t="shared" si="32"/>
        <v>13.122171945701359</v>
      </c>
      <c r="I112" s="15">
        <v>13.122171945701359</v>
      </c>
    </row>
    <row r="113" spans="2:9" x14ac:dyDescent="0.25">
      <c r="B113" t="s">
        <v>6</v>
      </c>
      <c r="C113">
        <v>139</v>
      </c>
      <c r="D113">
        <v>16</v>
      </c>
      <c r="E113">
        <f t="shared" si="33"/>
        <v>155</v>
      </c>
      <c r="F113">
        <f t="shared" si="34"/>
        <v>89.677419354838705</v>
      </c>
      <c r="G113" s="15">
        <v>89.677419354838705</v>
      </c>
      <c r="H113">
        <f t="shared" si="32"/>
        <v>10.32258064516129</v>
      </c>
      <c r="I113" s="15">
        <v>10.32258064516129</v>
      </c>
    </row>
    <row r="116" spans="2:9" x14ac:dyDescent="0.25">
      <c r="B116" t="s">
        <v>71</v>
      </c>
    </row>
    <row r="117" spans="2:9" x14ac:dyDescent="0.25">
      <c r="B117" t="s">
        <v>60</v>
      </c>
      <c r="C117">
        <v>3080</v>
      </c>
      <c r="D117">
        <v>621</v>
      </c>
      <c r="E117">
        <f>SUM(C117:D117)</f>
        <v>3701</v>
      </c>
      <c r="F117">
        <f>C117/E117*100</f>
        <v>83.220751148338294</v>
      </c>
      <c r="G117" s="15">
        <v>83.220751148338294</v>
      </c>
      <c r="H117">
        <f t="shared" ref="H117:H123" si="35">D117/E117*100</f>
        <v>16.779248851661713</v>
      </c>
      <c r="I117" s="15">
        <v>16.779248851661713</v>
      </c>
    </row>
    <row r="118" spans="2:9" x14ac:dyDescent="0.25">
      <c r="B118" t="s">
        <v>4</v>
      </c>
      <c r="C118">
        <v>2125</v>
      </c>
      <c r="D118">
        <v>514</v>
      </c>
      <c r="E118">
        <f t="shared" ref="E118:E123" si="36">SUM(C118:D118)</f>
        <v>2639</v>
      </c>
      <c r="F118">
        <f t="shared" ref="F118:F123" si="37">C118/E118*100</f>
        <v>80.522925350511557</v>
      </c>
      <c r="G118" s="15">
        <v>80.522925350511557</v>
      </c>
      <c r="H118">
        <f t="shared" si="35"/>
        <v>19.477074649488443</v>
      </c>
      <c r="I118" s="15">
        <v>19.477074649488443</v>
      </c>
    </row>
    <row r="119" spans="2:9" x14ac:dyDescent="0.25">
      <c r="B119" t="s">
        <v>3</v>
      </c>
      <c r="C119">
        <v>5821</v>
      </c>
      <c r="D119">
        <v>1155</v>
      </c>
      <c r="E119">
        <f t="shared" si="36"/>
        <v>6976</v>
      </c>
      <c r="F119">
        <f t="shared" si="37"/>
        <v>83.44323394495413</v>
      </c>
      <c r="G119" s="15">
        <v>83.44323394495413</v>
      </c>
      <c r="H119">
        <f t="shared" si="35"/>
        <v>16.55676605504587</v>
      </c>
      <c r="I119" s="15">
        <v>16.55676605504587</v>
      </c>
    </row>
    <row r="120" spans="2:9" x14ac:dyDescent="0.25">
      <c r="B120" t="s">
        <v>59</v>
      </c>
      <c r="C120">
        <v>2080</v>
      </c>
      <c r="D120">
        <v>354</v>
      </c>
      <c r="E120">
        <f t="shared" si="36"/>
        <v>2434</v>
      </c>
      <c r="F120">
        <f t="shared" si="37"/>
        <v>85.456039441248976</v>
      </c>
      <c r="G120" s="15">
        <v>85.456039441248976</v>
      </c>
      <c r="H120">
        <f t="shared" si="35"/>
        <v>14.543960558751026</v>
      </c>
      <c r="I120" s="15">
        <v>14.543960558751026</v>
      </c>
    </row>
    <row r="121" spans="2:9" x14ac:dyDescent="0.25">
      <c r="B121" t="s">
        <v>5</v>
      </c>
      <c r="C121">
        <v>4757</v>
      </c>
      <c r="D121">
        <v>415</v>
      </c>
      <c r="E121">
        <f t="shared" si="36"/>
        <v>5172</v>
      </c>
      <c r="F121">
        <f t="shared" si="37"/>
        <v>91.976024748646552</v>
      </c>
      <c r="G121" s="15">
        <v>91.976024748646552</v>
      </c>
      <c r="H121">
        <f t="shared" si="35"/>
        <v>8.0239752513534413</v>
      </c>
      <c r="I121" s="15">
        <v>8.0239752513534413</v>
      </c>
    </row>
    <row r="122" spans="2:9" x14ac:dyDescent="0.25">
      <c r="B122" t="s">
        <v>0</v>
      </c>
      <c r="C122">
        <v>189</v>
      </c>
      <c r="D122">
        <v>33</v>
      </c>
      <c r="E122">
        <f t="shared" si="36"/>
        <v>222</v>
      </c>
      <c r="F122">
        <f t="shared" si="37"/>
        <v>85.13513513513513</v>
      </c>
      <c r="G122" s="15">
        <v>85.13513513513513</v>
      </c>
      <c r="H122">
        <f t="shared" si="35"/>
        <v>14.864864864864865</v>
      </c>
      <c r="I122" s="15">
        <v>14.864864864864865</v>
      </c>
    </row>
    <row r="123" spans="2:9" x14ac:dyDescent="0.25">
      <c r="B123" t="s">
        <v>6</v>
      </c>
      <c r="C123">
        <v>136</v>
      </c>
      <c r="D123">
        <v>17</v>
      </c>
      <c r="E123">
        <f t="shared" si="36"/>
        <v>153</v>
      </c>
      <c r="F123">
        <f t="shared" si="37"/>
        <v>88.888888888888886</v>
      </c>
      <c r="G123" s="15">
        <v>88.888888888888886</v>
      </c>
      <c r="H123">
        <f t="shared" si="35"/>
        <v>11.111111111111111</v>
      </c>
      <c r="I123" s="15">
        <v>11.111111111111111</v>
      </c>
    </row>
    <row r="125" spans="2:9" x14ac:dyDescent="0.25">
      <c r="B125" t="s">
        <v>72</v>
      </c>
    </row>
    <row r="126" spans="2:9" x14ac:dyDescent="0.25">
      <c r="B126" t="s">
        <v>60</v>
      </c>
      <c r="C126">
        <v>3172</v>
      </c>
      <c r="D126">
        <v>575</v>
      </c>
      <c r="E126">
        <f>SUM(C126:D126)</f>
        <v>3747</v>
      </c>
      <c r="F126">
        <f>C126/E126*100</f>
        <v>84.654390178809706</v>
      </c>
      <c r="G126" s="15">
        <v>84.654390178809706</v>
      </c>
      <c r="H126">
        <f t="shared" ref="H126:H132" si="38">D126/E126*100</f>
        <v>15.345609821190287</v>
      </c>
      <c r="I126" s="15">
        <v>15.345609821190287</v>
      </c>
    </row>
    <row r="127" spans="2:9" x14ac:dyDescent="0.25">
      <c r="B127" t="s">
        <v>4</v>
      </c>
      <c r="C127">
        <v>2180</v>
      </c>
      <c r="D127">
        <v>494</v>
      </c>
      <c r="E127">
        <f t="shared" ref="E127:E132" si="39">SUM(C127:D127)</f>
        <v>2674</v>
      </c>
      <c r="F127">
        <f t="shared" ref="F127:F132" si="40">C127/E127*100</f>
        <v>81.525804038893043</v>
      </c>
      <c r="G127" s="15">
        <v>81.525804038893043</v>
      </c>
      <c r="H127">
        <f t="shared" si="38"/>
        <v>18.474195961106957</v>
      </c>
      <c r="I127" s="15">
        <v>18.474195961106957</v>
      </c>
    </row>
    <row r="128" spans="2:9" x14ac:dyDescent="0.25">
      <c r="B128" t="s">
        <v>3</v>
      </c>
      <c r="C128">
        <v>5862</v>
      </c>
      <c r="D128">
        <v>1440</v>
      </c>
      <c r="E128">
        <f t="shared" si="39"/>
        <v>7302</v>
      </c>
      <c r="F128">
        <f t="shared" si="40"/>
        <v>80.279375513557923</v>
      </c>
      <c r="G128" s="15">
        <v>80.279375513557923</v>
      </c>
      <c r="H128">
        <f t="shared" si="38"/>
        <v>19.72062448644207</v>
      </c>
      <c r="I128" s="15">
        <v>19.72062448644207</v>
      </c>
    </row>
    <row r="129" spans="2:11" x14ac:dyDescent="0.25">
      <c r="B129" t="s">
        <v>59</v>
      </c>
      <c r="C129">
        <v>2117</v>
      </c>
      <c r="D129">
        <v>361</v>
      </c>
      <c r="E129">
        <f t="shared" si="39"/>
        <v>2478</v>
      </c>
      <c r="F129">
        <f t="shared" si="40"/>
        <v>85.431799838579508</v>
      </c>
      <c r="G129" s="15">
        <v>85.431799838579508</v>
      </c>
      <c r="H129">
        <f t="shared" si="38"/>
        <v>14.568200161420499</v>
      </c>
      <c r="I129" s="15">
        <v>14.568200161420499</v>
      </c>
      <c r="K129">
        <v>20936</v>
      </c>
    </row>
    <row r="130" spans="2:11" x14ac:dyDescent="0.25">
      <c r="B130" t="s">
        <v>5</v>
      </c>
      <c r="C130">
        <v>4821</v>
      </c>
      <c r="D130">
        <v>462</v>
      </c>
      <c r="E130">
        <f t="shared" si="39"/>
        <v>5283</v>
      </c>
      <c r="F130">
        <f t="shared" si="40"/>
        <v>91.254968767745609</v>
      </c>
      <c r="G130" s="15">
        <v>91.254968767745609</v>
      </c>
      <c r="H130">
        <f t="shared" si="38"/>
        <v>8.7450312322544015</v>
      </c>
      <c r="I130" s="15">
        <v>8.7450312322544015</v>
      </c>
      <c r="K130">
        <v>5156</v>
      </c>
    </row>
    <row r="131" spans="2:11" x14ac:dyDescent="0.25">
      <c r="B131" t="s">
        <v>0</v>
      </c>
      <c r="C131">
        <v>206</v>
      </c>
      <c r="D131">
        <v>25</v>
      </c>
      <c r="E131">
        <f t="shared" si="39"/>
        <v>231</v>
      </c>
      <c r="F131">
        <f t="shared" si="40"/>
        <v>89.177489177489178</v>
      </c>
      <c r="G131" s="15">
        <v>89.177489177489178</v>
      </c>
      <c r="H131">
        <f t="shared" si="38"/>
        <v>10.822510822510822</v>
      </c>
      <c r="I131" s="15">
        <v>10.822510822510822</v>
      </c>
      <c r="K131">
        <v>26092</v>
      </c>
    </row>
    <row r="132" spans="2:11" x14ac:dyDescent="0.25">
      <c r="B132" t="s">
        <v>6</v>
      </c>
      <c r="C132">
        <v>139</v>
      </c>
      <c r="D132">
        <v>17</v>
      </c>
      <c r="E132">
        <f t="shared" si="39"/>
        <v>156</v>
      </c>
      <c r="F132">
        <f t="shared" si="40"/>
        <v>89.102564102564102</v>
      </c>
      <c r="G132" s="15">
        <v>89.102564102564102</v>
      </c>
      <c r="H132">
        <f t="shared" si="38"/>
        <v>10.897435897435898</v>
      </c>
      <c r="I132" s="15">
        <v>10.897435897435898</v>
      </c>
      <c r="K132" s="16">
        <f>K129/K131</f>
        <v>0.80239153763605708</v>
      </c>
    </row>
    <row r="133" spans="2:11" x14ac:dyDescent="0.25">
      <c r="K133" s="16">
        <f>K130/K131</f>
        <v>0.19760846236394297</v>
      </c>
    </row>
    <row r="135" spans="2:11" x14ac:dyDescent="0.25">
      <c r="B135" t="s">
        <v>73</v>
      </c>
    </row>
    <row r="136" spans="2:11" x14ac:dyDescent="0.25">
      <c r="B136" t="s">
        <v>60</v>
      </c>
      <c r="C136">
        <v>3152</v>
      </c>
      <c r="D136">
        <v>780</v>
      </c>
      <c r="E136">
        <f>SUM(C136:D136)</f>
        <v>3932</v>
      </c>
      <c r="F136">
        <f>C136/E136*100</f>
        <v>80.162767039674463</v>
      </c>
      <c r="G136" s="15">
        <v>80.162767039674463</v>
      </c>
      <c r="H136">
        <f t="shared" ref="H136:H142" si="41">D136/E136*100</f>
        <v>19.837232960325537</v>
      </c>
      <c r="I136" s="15">
        <v>19.837232960325537</v>
      </c>
    </row>
    <row r="137" spans="2:11" x14ac:dyDescent="0.25">
      <c r="B137" t="s">
        <v>4</v>
      </c>
      <c r="C137">
        <v>2178</v>
      </c>
      <c r="D137">
        <v>531</v>
      </c>
      <c r="E137">
        <f t="shared" ref="E137:E142" si="42">SUM(C137:D137)</f>
        <v>2709</v>
      </c>
      <c r="F137">
        <f t="shared" ref="F137:F142" si="43">C137/E137*100</f>
        <v>80.398671096345524</v>
      </c>
      <c r="G137" s="15">
        <v>80.398671096345524</v>
      </c>
      <c r="H137">
        <f t="shared" si="41"/>
        <v>19.601328903654487</v>
      </c>
      <c r="I137" s="15">
        <v>19.601328903654487</v>
      </c>
    </row>
    <row r="138" spans="2:11" x14ac:dyDescent="0.25">
      <c r="B138" t="s">
        <v>3</v>
      </c>
      <c r="C138">
        <v>5678</v>
      </c>
      <c r="D138">
        <v>1687</v>
      </c>
      <c r="E138">
        <f t="shared" si="42"/>
        <v>7365</v>
      </c>
      <c r="F138">
        <f t="shared" si="43"/>
        <v>77.094365241004752</v>
      </c>
      <c r="G138" s="15">
        <v>77.094365241004752</v>
      </c>
      <c r="H138">
        <f t="shared" si="41"/>
        <v>22.905634758995248</v>
      </c>
      <c r="I138" s="15">
        <v>22.905634758995248</v>
      </c>
      <c r="K138">
        <v>21138</v>
      </c>
    </row>
    <row r="139" spans="2:11" x14ac:dyDescent="0.25">
      <c r="B139" t="s">
        <v>59</v>
      </c>
      <c r="C139">
        <v>2146</v>
      </c>
      <c r="D139">
        <v>528</v>
      </c>
      <c r="E139">
        <f t="shared" si="42"/>
        <v>2674</v>
      </c>
      <c r="F139">
        <f t="shared" si="43"/>
        <v>80.254300673148833</v>
      </c>
      <c r="G139" s="15">
        <v>80.254300673148833</v>
      </c>
      <c r="H139">
        <f t="shared" si="41"/>
        <v>19.74569932685116</v>
      </c>
      <c r="I139" s="15">
        <v>19.74569932685116</v>
      </c>
      <c r="K139">
        <v>5023</v>
      </c>
    </row>
    <row r="140" spans="2:11" x14ac:dyDescent="0.25">
      <c r="B140" t="s">
        <v>5</v>
      </c>
      <c r="C140">
        <v>4614</v>
      </c>
      <c r="D140">
        <v>867</v>
      </c>
      <c r="E140">
        <f t="shared" si="42"/>
        <v>5481</v>
      </c>
      <c r="F140">
        <f t="shared" si="43"/>
        <v>84.181718664477287</v>
      </c>
      <c r="G140" s="15">
        <v>84.181718664477287</v>
      </c>
      <c r="H140">
        <f t="shared" si="41"/>
        <v>15.818281335522716</v>
      </c>
      <c r="I140" s="15">
        <v>15.818281335522716</v>
      </c>
      <c r="K140">
        <v>26161</v>
      </c>
    </row>
    <row r="141" spans="2:11" x14ac:dyDescent="0.25">
      <c r="B141" t="s">
        <v>0</v>
      </c>
      <c r="C141">
        <v>181</v>
      </c>
      <c r="D141">
        <v>39</v>
      </c>
      <c r="E141">
        <f t="shared" si="42"/>
        <v>220</v>
      </c>
      <c r="F141">
        <f t="shared" si="43"/>
        <v>82.27272727272728</v>
      </c>
      <c r="G141" s="15">
        <v>82.27272727272728</v>
      </c>
      <c r="H141">
        <f t="shared" si="41"/>
        <v>17.727272727272727</v>
      </c>
      <c r="I141" s="15">
        <v>17.727272727272727</v>
      </c>
      <c r="K141" s="16">
        <f>K138/K140</f>
        <v>0.80799663621421203</v>
      </c>
    </row>
    <row r="142" spans="2:11" x14ac:dyDescent="0.25">
      <c r="B142" t="s">
        <v>6</v>
      </c>
      <c r="C142">
        <v>130</v>
      </c>
      <c r="D142">
        <v>21</v>
      </c>
      <c r="E142">
        <f t="shared" si="42"/>
        <v>151</v>
      </c>
      <c r="F142">
        <f t="shared" si="43"/>
        <v>86.092715231788077</v>
      </c>
      <c r="G142" s="15">
        <v>86.092715231788077</v>
      </c>
      <c r="H142">
        <f t="shared" si="41"/>
        <v>13.90728476821192</v>
      </c>
      <c r="I142" s="15">
        <v>13.90728476821192</v>
      </c>
      <c r="K142" s="16">
        <f>K139/K140</f>
        <v>0.192003363785788</v>
      </c>
    </row>
    <row r="144" spans="2:11" x14ac:dyDescent="0.25">
      <c r="B144" t="s">
        <v>74</v>
      </c>
    </row>
    <row r="145" spans="2:11" x14ac:dyDescent="0.25">
      <c r="B145" t="s">
        <v>60</v>
      </c>
      <c r="C145">
        <v>3011</v>
      </c>
      <c r="D145">
        <v>698</v>
      </c>
      <c r="E145">
        <f>SUM(C145:D145)</f>
        <v>3709</v>
      </c>
      <c r="F145">
        <f>C145/E145*100</f>
        <v>81.180911296845508</v>
      </c>
      <c r="G145" s="15">
        <v>81.180911296845508</v>
      </c>
      <c r="H145">
        <f t="shared" ref="H145:H151" si="44">D145/E145*100</f>
        <v>18.819088703154488</v>
      </c>
      <c r="I145" s="15">
        <v>18.819088703154488</v>
      </c>
    </row>
    <row r="146" spans="2:11" x14ac:dyDescent="0.25">
      <c r="B146" t="s">
        <v>4</v>
      </c>
      <c r="C146">
        <v>2130</v>
      </c>
      <c r="D146">
        <v>561</v>
      </c>
      <c r="E146">
        <f t="shared" ref="E146:E151" si="45">SUM(C146:D146)</f>
        <v>2691</v>
      </c>
      <c r="F146">
        <f t="shared" ref="F146:F151" si="46">C146/E146*100</f>
        <v>79.152731326644371</v>
      </c>
      <c r="G146" s="15">
        <v>79.152731326644371</v>
      </c>
      <c r="H146">
        <f t="shared" si="44"/>
        <v>20.847268673355629</v>
      </c>
      <c r="I146" s="15">
        <v>20.847268673355629</v>
      </c>
    </row>
    <row r="147" spans="2:11" x14ac:dyDescent="0.25">
      <c r="B147" t="s">
        <v>3</v>
      </c>
      <c r="C147">
        <v>5760</v>
      </c>
      <c r="D147">
        <v>1629</v>
      </c>
      <c r="E147">
        <f t="shared" si="45"/>
        <v>7389</v>
      </c>
      <c r="F147">
        <f t="shared" si="46"/>
        <v>77.95371498172959</v>
      </c>
      <c r="G147" s="15">
        <v>77.95371498172959</v>
      </c>
      <c r="H147">
        <f t="shared" si="44"/>
        <v>22.0462850182704</v>
      </c>
      <c r="I147" s="15">
        <v>22.0462850182704</v>
      </c>
    </row>
    <row r="148" spans="2:11" x14ac:dyDescent="0.25">
      <c r="B148" t="s">
        <v>59</v>
      </c>
      <c r="C148">
        <v>2116</v>
      </c>
      <c r="D148">
        <v>510</v>
      </c>
      <c r="E148">
        <f t="shared" si="45"/>
        <v>2626</v>
      </c>
      <c r="F148">
        <f t="shared" si="46"/>
        <v>80.578827113480571</v>
      </c>
      <c r="G148" s="15">
        <v>80.578827113480571</v>
      </c>
      <c r="H148">
        <f t="shared" si="44"/>
        <v>19.421172886519422</v>
      </c>
      <c r="I148" s="15">
        <v>19.421172886519422</v>
      </c>
      <c r="K148">
        <v>21844</v>
      </c>
    </row>
    <row r="149" spans="2:11" x14ac:dyDescent="0.25">
      <c r="B149" t="s">
        <v>5</v>
      </c>
      <c r="C149">
        <v>4623</v>
      </c>
      <c r="D149">
        <v>812</v>
      </c>
      <c r="E149">
        <f t="shared" si="45"/>
        <v>5435</v>
      </c>
      <c r="F149">
        <f t="shared" si="46"/>
        <v>85.059797608095678</v>
      </c>
      <c r="G149" s="15">
        <v>85.059797608095678</v>
      </c>
      <c r="H149">
        <f t="shared" si="44"/>
        <v>14.940202391904322</v>
      </c>
      <c r="I149" s="15">
        <v>14.940202391904322</v>
      </c>
      <c r="K149">
        <v>4451</v>
      </c>
    </row>
    <row r="150" spans="2:11" x14ac:dyDescent="0.25">
      <c r="B150" t="s">
        <v>0</v>
      </c>
      <c r="C150">
        <v>172</v>
      </c>
      <c r="D150">
        <v>23</v>
      </c>
      <c r="E150">
        <f t="shared" si="45"/>
        <v>195</v>
      </c>
      <c r="F150">
        <f t="shared" si="46"/>
        <v>88.205128205128204</v>
      </c>
      <c r="G150" s="15">
        <v>88.205128205128204</v>
      </c>
      <c r="H150">
        <f t="shared" si="44"/>
        <v>11.794871794871794</v>
      </c>
      <c r="I150" s="15">
        <v>11.794871794871794</v>
      </c>
      <c r="K150">
        <v>26295</v>
      </c>
    </row>
    <row r="151" spans="2:11" x14ac:dyDescent="0.25">
      <c r="B151" t="s">
        <v>6</v>
      </c>
      <c r="C151">
        <v>127</v>
      </c>
      <c r="D151">
        <v>30</v>
      </c>
      <c r="E151">
        <f t="shared" si="45"/>
        <v>157</v>
      </c>
      <c r="F151">
        <f t="shared" si="46"/>
        <v>80.891719745222929</v>
      </c>
      <c r="G151" s="15">
        <v>80.891719745222929</v>
      </c>
      <c r="H151">
        <f t="shared" si="44"/>
        <v>19.108280254777071</v>
      </c>
      <c r="I151" s="15">
        <v>19.108280254777071</v>
      </c>
      <c r="K151" s="16">
        <f>K148/K150</f>
        <v>0.83072827533751659</v>
      </c>
    </row>
    <row r="152" spans="2:11" x14ac:dyDescent="0.25">
      <c r="K152" s="16">
        <f>K149/K150</f>
        <v>0.16927172466248336</v>
      </c>
    </row>
    <row r="153" spans="2:11" x14ac:dyDescent="0.25">
      <c r="B153" t="s">
        <v>76</v>
      </c>
    </row>
    <row r="154" spans="2:11" x14ac:dyDescent="0.25">
      <c r="B154" t="s">
        <v>60</v>
      </c>
      <c r="C154">
        <v>2888</v>
      </c>
      <c r="D154">
        <v>604</v>
      </c>
      <c r="E154">
        <f>SUM(C154:D154)</f>
        <v>3492</v>
      </c>
      <c r="F154">
        <f>C154/E154*100</f>
        <v>82.703321878579601</v>
      </c>
      <c r="G154" s="15">
        <v>82.703321878579601</v>
      </c>
      <c r="H154">
        <f t="shared" ref="H154:H160" si="47">D154/E154*100</f>
        <v>17.296678121420388</v>
      </c>
      <c r="I154" s="15">
        <v>17.296678121420388</v>
      </c>
    </row>
    <row r="155" spans="2:11" x14ac:dyDescent="0.25">
      <c r="B155" t="s">
        <v>4</v>
      </c>
      <c r="C155">
        <v>1919</v>
      </c>
      <c r="D155">
        <v>465</v>
      </c>
      <c r="E155">
        <f t="shared" ref="E155:E160" si="48">SUM(C155:D155)</f>
        <v>2384</v>
      </c>
      <c r="F155">
        <f t="shared" ref="F155:F160" si="49">C155/E155*100</f>
        <v>80.494966442953015</v>
      </c>
      <c r="G155" s="15">
        <v>80.494966442953015</v>
      </c>
      <c r="H155">
        <f t="shared" si="47"/>
        <v>19.505033557046978</v>
      </c>
      <c r="I155" s="15">
        <v>19.505033557046978</v>
      </c>
    </row>
    <row r="156" spans="2:11" x14ac:dyDescent="0.25">
      <c r="B156" t="s">
        <v>3</v>
      </c>
      <c r="C156">
        <v>5833</v>
      </c>
      <c r="D156">
        <v>1336</v>
      </c>
      <c r="E156">
        <f t="shared" si="48"/>
        <v>7169</v>
      </c>
      <c r="F156">
        <f t="shared" si="49"/>
        <v>81.36420700237133</v>
      </c>
      <c r="G156" s="15">
        <v>81.36420700237133</v>
      </c>
      <c r="H156">
        <f t="shared" si="47"/>
        <v>18.635792997628677</v>
      </c>
      <c r="I156" s="15">
        <v>18.635792997628677</v>
      </c>
      <c r="K156">
        <v>21241</v>
      </c>
    </row>
    <row r="157" spans="2:11" x14ac:dyDescent="0.25">
      <c r="B157" t="s">
        <v>59</v>
      </c>
      <c r="C157">
        <v>1919</v>
      </c>
      <c r="D157">
        <v>385</v>
      </c>
      <c r="E157">
        <f t="shared" si="48"/>
        <v>2304</v>
      </c>
      <c r="F157">
        <f t="shared" si="49"/>
        <v>83.289930555555557</v>
      </c>
      <c r="G157" s="15">
        <v>83.289930555555557</v>
      </c>
      <c r="H157">
        <f t="shared" si="47"/>
        <v>16.710069444444446</v>
      </c>
      <c r="I157" s="15">
        <v>16.710069444444446</v>
      </c>
      <c r="K157">
        <v>4295</v>
      </c>
    </row>
    <row r="158" spans="2:11" x14ac:dyDescent="0.25">
      <c r="B158" t="s">
        <v>5</v>
      </c>
      <c r="C158">
        <v>4626</v>
      </c>
      <c r="D158">
        <v>687</v>
      </c>
      <c r="E158">
        <f t="shared" si="48"/>
        <v>5313</v>
      </c>
      <c r="F158">
        <f t="shared" si="49"/>
        <v>87.0694522868436</v>
      </c>
      <c r="G158" s="15">
        <v>87.0694522868436</v>
      </c>
      <c r="H158">
        <f t="shared" si="47"/>
        <v>12.930547713156409</v>
      </c>
      <c r="I158" s="15">
        <v>12.930547713156409</v>
      </c>
      <c r="K158">
        <v>25536</v>
      </c>
    </row>
    <row r="159" spans="2:11" x14ac:dyDescent="0.25">
      <c r="B159" t="s">
        <v>0</v>
      </c>
      <c r="C159">
        <v>117</v>
      </c>
      <c r="D159">
        <v>20</v>
      </c>
      <c r="E159">
        <f t="shared" si="48"/>
        <v>137</v>
      </c>
      <c r="F159">
        <f t="shared" si="49"/>
        <v>85.40145985401459</v>
      </c>
      <c r="G159" s="15">
        <v>85.40145985401459</v>
      </c>
      <c r="H159">
        <f t="shared" si="47"/>
        <v>14.5985401459854</v>
      </c>
      <c r="I159" s="15">
        <v>14.5985401459854</v>
      </c>
      <c r="K159" s="16">
        <f>K156/K158</f>
        <v>0.83180607769423553</v>
      </c>
    </row>
    <row r="160" spans="2:11" x14ac:dyDescent="0.25">
      <c r="B160" t="s">
        <v>6</v>
      </c>
      <c r="C160">
        <v>118</v>
      </c>
      <c r="D160">
        <v>25</v>
      </c>
      <c r="E160">
        <f t="shared" si="48"/>
        <v>143</v>
      </c>
      <c r="F160">
        <f t="shared" si="49"/>
        <v>82.51748251748252</v>
      </c>
      <c r="G160" s="15">
        <v>82.51748251748252</v>
      </c>
      <c r="H160">
        <f t="shared" si="47"/>
        <v>17.482517482517483</v>
      </c>
      <c r="I160" s="15">
        <v>17.482517482517483</v>
      </c>
      <c r="K160" s="16">
        <f>K157/K158</f>
        <v>0.16819392230576441</v>
      </c>
    </row>
    <row r="162" spans="2:9" x14ac:dyDescent="0.25">
      <c r="B162" t="s">
        <v>75</v>
      </c>
    </row>
    <row r="163" spans="2:9" x14ac:dyDescent="0.25">
      <c r="B163" t="s">
        <v>60</v>
      </c>
      <c r="C163">
        <v>3010</v>
      </c>
      <c r="D163">
        <v>624</v>
      </c>
      <c r="E163">
        <f>SUM(C163:D163)</f>
        <v>3634</v>
      </c>
      <c r="F163">
        <f>C163/E163*100</f>
        <v>82.82883874518437</v>
      </c>
      <c r="G163" s="15">
        <v>82.82883874518437</v>
      </c>
      <c r="H163">
        <f t="shared" ref="H163:H169" si="50">D163/E163*100</f>
        <v>17.17116125481563</v>
      </c>
      <c r="I163" s="15">
        <v>17.17116125481563</v>
      </c>
    </row>
    <row r="164" spans="2:9" x14ac:dyDescent="0.25">
      <c r="B164" t="s">
        <v>4</v>
      </c>
      <c r="C164">
        <v>2074</v>
      </c>
      <c r="D164">
        <v>525</v>
      </c>
      <c r="E164">
        <f t="shared" ref="E164:E169" si="51">SUM(C164:D164)</f>
        <v>2599</v>
      </c>
      <c r="F164">
        <f t="shared" ref="F164:F169" si="52">C164/E164*100</f>
        <v>79.79992304732589</v>
      </c>
      <c r="G164" s="15">
        <v>79.79992304732589</v>
      </c>
      <c r="H164">
        <f t="shared" si="50"/>
        <v>20.200076952674106</v>
      </c>
      <c r="I164" s="15">
        <v>20.200076952674106</v>
      </c>
    </row>
    <row r="165" spans="2:9" x14ac:dyDescent="0.25">
      <c r="B165" t="s">
        <v>3</v>
      </c>
      <c r="C165">
        <v>5792</v>
      </c>
      <c r="D165">
        <v>1371</v>
      </c>
      <c r="E165">
        <f t="shared" si="51"/>
        <v>7163</v>
      </c>
      <c r="F165">
        <f t="shared" si="52"/>
        <v>80.859974870864164</v>
      </c>
      <c r="G165" s="15">
        <v>80.859974870864164</v>
      </c>
      <c r="H165">
        <f t="shared" si="50"/>
        <v>19.140025129135836</v>
      </c>
      <c r="I165" s="15">
        <v>19.140025129135836</v>
      </c>
    </row>
    <row r="166" spans="2:9" x14ac:dyDescent="0.25">
      <c r="B166" t="s">
        <v>59</v>
      </c>
      <c r="C166">
        <v>1943</v>
      </c>
      <c r="D166">
        <v>412</v>
      </c>
      <c r="E166">
        <f t="shared" si="51"/>
        <v>2355</v>
      </c>
      <c r="F166">
        <f t="shared" si="52"/>
        <v>82.505307855626327</v>
      </c>
      <c r="G166" s="15">
        <v>82.505307855626327</v>
      </c>
      <c r="H166">
        <f t="shared" si="50"/>
        <v>17.494692144373673</v>
      </c>
      <c r="I166" s="15">
        <v>17.494692144373673</v>
      </c>
    </row>
    <row r="167" spans="2:9" x14ac:dyDescent="0.25">
      <c r="B167" t="s">
        <v>5</v>
      </c>
      <c r="C167">
        <v>4540</v>
      </c>
      <c r="D167">
        <v>597</v>
      </c>
      <c r="E167">
        <f t="shared" si="51"/>
        <v>5137</v>
      </c>
      <c r="F167">
        <f t="shared" si="52"/>
        <v>88.378430990850688</v>
      </c>
      <c r="G167" s="15">
        <v>88.378430990850688</v>
      </c>
      <c r="H167">
        <f t="shared" si="50"/>
        <v>11.621569009149308</v>
      </c>
      <c r="I167" s="15">
        <v>11.621569009149308</v>
      </c>
    </row>
    <row r="168" spans="2:9" x14ac:dyDescent="0.25">
      <c r="B168" t="s">
        <v>0</v>
      </c>
      <c r="C168">
        <v>167</v>
      </c>
      <c r="D168">
        <v>41</v>
      </c>
      <c r="E168">
        <f t="shared" si="51"/>
        <v>208</v>
      </c>
      <c r="F168">
        <f t="shared" si="52"/>
        <v>80.288461538461547</v>
      </c>
      <c r="G168" s="15">
        <v>80.288461538461547</v>
      </c>
      <c r="H168">
        <f t="shared" si="50"/>
        <v>19.71153846153846</v>
      </c>
      <c r="I168" s="15">
        <v>19.71153846153846</v>
      </c>
    </row>
    <row r="169" spans="2:9" x14ac:dyDescent="0.25">
      <c r="B169" t="s">
        <v>6</v>
      </c>
      <c r="C169">
        <v>106</v>
      </c>
      <c r="D169">
        <v>22</v>
      </c>
      <c r="E169">
        <f t="shared" si="51"/>
        <v>128</v>
      </c>
      <c r="F169">
        <f t="shared" si="52"/>
        <v>82.8125</v>
      </c>
      <c r="G169" s="15">
        <v>82.8125</v>
      </c>
      <c r="H169">
        <f t="shared" si="50"/>
        <v>17.1875</v>
      </c>
      <c r="I169" s="15">
        <v>17.1875</v>
      </c>
    </row>
  </sheetData>
  <mergeCells count="2">
    <mergeCell ref="M11:M12"/>
    <mergeCell ref="M13:M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98"/>
  <sheetViews>
    <sheetView topLeftCell="A73" workbookViewId="0">
      <selection activeCell="A3" sqref="A3:M98"/>
    </sheetView>
  </sheetViews>
  <sheetFormatPr defaultRowHeight="13.2" x14ac:dyDescent="0.25"/>
  <cols>
    <col min="5" max="5" width="24.109375" customWidth="1"/>
  </cols>
  <sheetData>
    <row r="1" spans="1:13" x14ac:dyDescent="0.25">
      <c r="A1" s="3"/>
      <c r="B1" s="3"/>
      <c r="C1" s="3"/>
      <c r="D1" s="3"/>
      <c r="E1" s="21" t="s">
        <v>86</v>
      </c>
      <c r="F1" s="21"/>
      <c r="G1" s="21"/>
      <c r="H1" s="21"/>
      <c r="I1" s="21"/>
      <c r="J1" s="21"/>
      <c r="K1" s="3"/>
      <c r="L1" s="3"/>
      <c r="M1" s="3"/>
    </row>
    <row r="2" spans="1:13" ht="198" x14ac:dyDescent="0.25">
      <c r="A2" s="1" t="s">
        <v>30</v>
      </c>
      <c r="B2" s="2" t="s">
        <v>1</v>
      </c>
      <c r="C2" s="1" t="s">
        <v>22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s">
        <v>31</v>
      </c>
      <c r="L2" s="1" t="s">
        <v>40</v>
      </c>
      <c r="M2" s="1" t="s">
        <v>41</v>
      </c>
    </row>
    <row r="3" spans="1:13" ht="26.4" x14ac:dyDescent="0.25">
      <c r="A3" s="4">
        <v>26.620999999999999</v>
      </c>
      <c r="B3" s="4" t="s">
        <v>2</v>
      </c>
      <c r="C3" s="5">
        <f>15.4/100</f>
        <v>0.154</v>
      </c>
      <c r="D3" s="6">
        <f>C3*A3</f>
        <v>4.099634</v>
      </c>
      <c r="E3" s="6" t="s">
        <v>14</v>
      </c>
      <c r="F3" s="5">
        <f>18.5/100</f>
        <v>0.185</v>
      </c>
      <c r="G3" s="5">
        <f>D3*F3</f>
        <v>0.75843229000000001</v>
      </c>
      <c r="H3" s="6" t="s">
        <v>11</v>
      </c>
      <c r="I3" s="6">
        <f>10.9/100</f>
        <v>0.109</v>
      </c>
      <c r="J3" s="7">
        <f>I3*G3</f>
        <v>8.2669119609999994E-2</v>
      </c>
      <c r="K3" s="2" t="s">
        <v>32</v>
      </c>
      <c r="L3" s="2">
        <f>4.1/100</f>
        <v>4.0999999999999995E-2</v>
      </c>
      <c r="M3" s="2">
        <f>L3*G3</f>
        <v>3.1095723889999996E-2</v>
      </c>
    </row>
    <row r="4" spans="1:13" x14ac:dyDescent="0.25">
      <c r="A4" s="4">
        <v>26.620999999999999</v>
      </c>
      <c r="B4" s="4" t="s">
        <v>2</v>
      </c>
      <c r="C4" s="5">
        <f t="shared" ref="C4:C50" si="0">15.4/100</f>
        <v>0.154</v>
      </c>
      <c r="D4" s="6">
        <f>C4*A4</f>
        <v>4.099634</v>
      </c>
      <c r="E4" s="6" t="s">
        <v>43</v>
      </c>
      <c r="F4" s="5">
        <f t="shared" ref="F4:F10" si="1">18.5/100</f>
        <v>0.185</v>
      </c>
      <c r="G4" s="5">
        <f>D4*F4</f>
        <v>0.75843229000000001</v>
      </c>
      <c r="H4" s="6" t="s">
        <v>12</v>
      </c>
      <c r="I4" s="6">
        <f>12.5/100</f>
        <v>0.125</v>
      </c>
      <c r="J4" s="8">
        <f t="shared" ref="J4:J9" si="2">G4*I4</f>
        <v>9.4804036250000001E-2</v>
      </c>
      <c r="K4" s="2" t="s">
        <v>33</v>
      </c>
      <c r="L4" s="2">
        <f>7.8/100</f>
        <v>7.8E-2</v>
      </c>
      <c r="M4" s="2">
        <f t="shared" ref="M4:M10" si="3">L4*G4</f>
        <v>5.9157718620000001E-2</v>
      </c>
    </row>
    <row r="5" spans="1:13" x14ac:dyDescent="0.25">
      <c r="A5" s="4">
        <v>26.620999999999999</v>
      </c>
      <c r="B5" s="4" t="s">
        <v>2</v>
      </c>
      <c r="C5" s="5">
        <f t="shared" si="0"/>
        <v>0.154</v>
      </c>
      <c r="D5" s="6">
        <f t="shared" ref="D5:D91" si="4">C5*A5</f>
        <v>4.099634</v>
      </c>
      <c r="E5" s="6" t="s">
        <v>14</v>
      </c>
      <c r="F5" s="5">
        <f t="shared" si="1"/>
        <v>0.185</v>
      </c>
      <c r="G5" s="5">
        <f t="shared" ref="G5:G10" si="5">D5*F5</f>
        <v>0.75843229000000001</v>
      </c>
      <c r="H5" s="6" t="s">
        <v>7</v>
      </c>
      <c r="I5" s="14">
        <f>0.8/100</f>
        <v>8.0000000000000002E-3</v>
      </c>
      <c r="J5" s="8">
        <f t="shared" si="2"/>
        <v>6.06745832E-3</v>
      </c>
      <c r="K5" s="2" t="s">
        <v>34</v>
      </c>
      <c r="L5" s="2">
        <f>14.1/100</f>
        <v>0.14099999999999999</v>
      </c>
      <c r="M5" s="2">
        <f t="shared" si="3"/>
        <v>0.10693895288999999</v>
      </c>
    </row>
    <row r="6" spans="1:13" x14ac:dyDescent="0.25">
      <c r="A6" s="4">
        <v>26.620999999999999</v>
      </c>
      <c r="B6" s="4" t="s">
        <v>2</v>
      </c>
      <c r="C6" s="5">
        <f t="shared" si="0"/>
        <v>0.154</v>
      </c>
      <c r="D6" s="6">
        <f t="shared" si="4"/>
        <v>4.099634</v>
      </c>
      <c r="E6" s="6" t="s">
        <v>14</v>
      </c>
      <c r="F6" s="5">
        <f t="shared" si="1"/>
        <v>0.185</v>
      </c>
      <c r="G6" s="5">
        <f t="shared" si="5"/>
        <v>0.75843229000000001</v>
      </c>
      <c r="H6" s="6" t="s">
        <v>8</v>
      </c>
      <c r="I6" s="6">
        <f>31.7/100</f>
        <v>0.317</v>
      </c>
      <c r="J6" s="8">
        <f t="shared" si="2"/>
        <v>0.24042303593</v>
      </c>
      <c r="K6" s="2" t="s">
        <v>35</v>
      </c>
      <c r="L6" s="2">
        <f>23/100</f>
        <v>0.23</v>
      </c>
      <c r="M6" s="2">
        <f t="shared" si="3"/>
        <v>0.17443942670000001</v>
      </c>
    </row>
    <row r="7" spans="1:13" x14ac:dyDescent="0.25">
      <c r="A7" s="4">
        <v>26.620999999999999</v>
      </c>
      <c r="B7" s="4" t="s">
        <v>2</v>
      </c>
      <c r="C7" s="5">
        <f t="shared" si="0"/>
        <v>0.154</v>
      </c>
      <c r="D7" s="6">
        <f t="shared" si="4"/>
        <v>4.099634</v>
      </c>
      <c r="E7" s="6" t="s">
        <v>14</v>
      </c>
      <c r="F7" s="5">
        <f t="shared" si="1"/>
        <v>0.185</v>
      </c>
      <c r="G7" s="5">
        <f t="shared" si="5"/>
        <v>0.75843229000000001</v>
      </c>
      <c r="H7" s="6" t="s">
        <v>10</v>
      </c>
      <c r="I7" s="6">
        <f>5.9/100</f>
        <v>5.9000000000000004E-2</v>
      </c>
      <c r="J7" s="8">
        <f t="shared" si="2"/>
        <v>4.4747505110000002E-2</v>
      </c>
      <c r="K7" s="2" t="s">
        <v>36</v>
      </c>
      <c r="L7" s="2">
        <f>24.5/100</f>
        <v>0.245</v>
      </c>
      <c r="M7" s="2" t="e">
        <f>#REF!*G7</f>
        <v>#REF!</v>
      </c>
    </row>
    <row r="8" spans="1:13" x14ac:dyDescent="0.25">
      <c r="A8" s="4">
        <v>26.620999999999999</v>
      </c>
      <c r="B8" s="4" t="s">
        <v>2</v>
      </c>
      <c r="C8" s="5">
        <f t="shared" si="0"/>
        <v>0.154</v>
      </c>
      <c r="D8" s="6">
        <f>C8*A8</f>
        <v>4.099634</v>
      </c>
      <c r="E8" s="6" t="s">
        <v>14</v>
      </c>
      <c r="F8" s="5">
        <f t="shared" si="1"/>
        <v>0.185</v>
      </c>
      <c r="G8" s="5">
        <f t="shared" si="5"/>
        <v>0.75843229000000001</v>
      </c>
      <c r="H8" s="6" t="s">
        <v>9</v>
      </c>
      <c r="I8" s="6">
        <f>37.9/100</f>
        <v>0.379</v>
      </c>
      <c r="J8" s="8">
        <f t="shared" si="2"/>
        <v>0.28744583791</v>
      </c>
      <c r="K8" s="2" t="s">
        <v>37</v>
      </c>
      <c r="L8" s="2">
        <f>23.8/100</f>
        <v>0.23800000000000002</v>
      </c>
      <c r="M8" s="2">
        <f>L7*G8</f>
        <v>0.18581591105</v>
      </c>
    </row>
    <row r="9" spans="1:13" x14ac:dyDescent="0.25">
      <c r="A9" s="4">
        <v>26.620999999999999</v>
      </c>
      <c r="B9" s="4" t="s">
        <v>2</v>
      </c>
      <c r="C9" s="5">
        <f t="shared" si="0"/>
        <v>0.154</v>
      </c>
      <c r="D9" s="6">
        <f t="shared" si="4"/>
        <v>4.099634</v>
      </c>
      <c r="E9" s="6" t="s">
        <v>14</v>
      </c>
      <c r="F9" s="5">
        <f t="shared" si="1"/>
        <v>0.185</v>
      </c>
      <c r="G9" s="5">
        <f t="shared" si="5"/>
        <v>0.75843229000000001</v>
      </c>
      <c r="H9" s="6" t="s">
        <v>55</v>
      </c>
      <c r="I9" s="6">
        <f>0.3/100</f>
        <v>3.0000000000000001E-3</v>
      </c>
      <c r="J9" s="8">
        <f t="shared" si="2"/>
        <v>2.27529687E-3</v>
      </c>
      <c r="K9" s="2" t="s">
        <v>38</v>
      </c>
      <c r="L9" s="2">
        <f>1.7/100</f>
        <v>1.7000000000000001E-2</v>
      </c>
      <c r="M9" s="2">
        <f t="shared" si="3"/>
        <v>1.2893348930000001E-2</v>
      </c>
    </row>
    <row r="10" spans="1:13" x14ac:dyDescent="0.25">
      <c r="A10" s="4">
        <v>26.620999999999999</v>
      </c>
      <c r="B10" s="4" t="s">
        <v>2</v>
      </c>
      <c r="C10" s="5">
        <f t="shared" si="0"/>
        <v>0.154</v>
      </c>
      <c r="D10" s="6">
        <f t="shared" si="4"/>
        <v>4.099634</v>
      </c>
      <c r="E10" s="6" t="s">
        <v>14</v>
      </c>
      <c r="F10" s="5">
        <f t="shared" si="1"/>
        <v>0.185</v>
      </c>
      <c r="G10" s="5">
        <f t="shared" si="5"/>
        <v>0.75843229000000001</v>
      </c>
      <c r="H10" s="6"/>
      <c r="I10" s="6"/>
      <c r="J10" s="8"/>
      <c r="K10" s="2" t="s">
        <v>39</v>
      </c>
      <c r="L10" s="2">
        <f>1.1/100</f>
        <v>1.1000000000000001E-2</v>
      </c>
      <c r="M10" s="2">
        <f t="shared" si="3"/>
        <v>8.3427551900000004E-3</v>
      </c>
    </row>
    <row r="11" spans="1:13" x14ac:dyDescent="0.25">
      <c r="A11" s="4">
        <v>26.620999999999999</v>
      </c>
      <c r="B11" s="4" t="s">
        <v>2</v>
      </c>
      <c r="C11" s="5">
        <f t="shared" si="0"/>
        <v>0.154</v>
      </c>
      <c r="D11" s="6">
        <f t="shared" si="4"/>
        <v>4.099634</v>
      </c>
      <c r="E11" s="6" t="s">
        <v>44</v>
      </c>
      <c r="F11" s="8">
        <f>10.8/100</f>
        <v>0.10800000000000001</v>
      </c>
      <c r="G11" s="6">
        <f>F11*D11</f>
        <v>0.44276047200000007</v>
      </c>
      <c r="H11" s="6" t="s">
        <v>11</v>
      </c>
      <c r="I11" s="6">
        <f>2.7/100</f>
        <v>2.7000000000000003E-2</v>
      </c>
      <c r="J11" s="8">
        <f>I11*G11</f>
        <v>1.1954532744000003E-2</v>
      </c>
      <c r="K11" s="2" t="s">
        <v>32</v>
      </c>
      <c r="L11" s="2">
        <f>0/100</f>
        <v>0</v>
      </c>
      <c r="M11" s="2">
        <f>L11*G11</f>
        <v>0</v>
      </c>
    </row>
    <row r="12" spans="1:13" x14ac:dyDescent="0.25">
      <c r="A12" s="4">
        <v>26.620999999999999</v>
      </c>
      <c r="B12" s="4" t="s">
        <v>2</v>
      </c>
      <c r="C12" s="5">
        <f t="shared" si="0"/>
        <v>0.154</v>
      </c>
      <c r="D12" s="6">
        <f t="shared" si="4"/>
        <v>4.099634</v>
      </c>
      <c r="E12" s="6" t="s">
        <v>15</v>
      </c>
      <c r="F12" s="8">
        <f t="shared" ref="F12:F18" si="6">10.8/100</f>
        <v>0.10800000000000001</v>
      </c>
      <c r="G12" s="6">
        <f t="shared" ref="G12:G18" si="7">F12*D12</f>
        <v>0.44276047200000007</v>
      </c>
      <c r="H12" s="6" t="s">
        <v>12</v>
      </c>
      <c r="I12" s="6">
        <f>3.4/100</f>
        <v>3.4000000000000002E-2</v>
      </c>
      <c r="J12" s="8">
        <f t="shared" ref="J12:J16" si="8">I12*G12</f>
        <v>1.5053856048000004E-2</v>
      </c>
      <c r="K12" s="2" t="s">
        <v>33</v>
      </c>
      <c r="L12" s="2">
        <f>0/100</f>
        <v>0</v>
      </c>
      <c r="M12" s="2">
        <f t="shared" ref="M12:M18" si="9">L12*G12</f>
        <v>0</v>
      </c>
    </row>
    <row r="13" spans="1:13" x14ac:dyDescent="0.25">
      <c r="A13" s="4">
        <v>26.620999999999999</v>
      </c>
      <c r="B13" s="4" t="s">
        <v>2</v>
      </c>
      <c r="C13" s="5">
        <f t="shared" si="0"/>
        <v>0.154</v>
      </c>
      <c r="D13" s="6">
        <f t="shared" si="4"/>
        <v>4.099634</v>
      </c>
      <c r="E13" s="6" t="s">
        <v>15</v>
      </c>
      <c r="F13" s="8">
        <f t="shared" si="6"/>
        <v>0.10800000000000001</v>
      </c>
      <c r="G13" s="6">
        <f t="shared" si="7"/>
        <v>0.44276047200000007</v>
      </c>
      <c r="H13" s="6" t="s">
        <v>7</v>
      </c>
      <c r="I13" s="6">
        <f>2.3/100</f>
        <v>2.3E-2</v>
      </c>
      <c r="J13" s="8">
        <f t="shared" si="8"/>
        <v>1.0183490856000002E-2</v>
      </c>
      <c r="K13" s="2" t="s">
        <v>34</v>
      </c>
      <c r="L13" s="2">
        <f>15.3/100</f>
        <v>0.153</v>
      </c>
      <c r="M13" s="2">
        <f t="shared" si="9"/>
        <v>6.7742352216000015E-2</v>
      </c>
    </row>
    <row r="14" spans="1:13" x14ac:dyDescent="0.25">
      <c r="A14" s="4">
        <v>26.620999999999999</v>
      </c>
      <c r="B14" s="4" t="s">
        <v>2</v>
      </c>
      <c r="C14" s="5">
        <f t="shared" si="0"/>
        <v>0.154</v>
      </c>
      <c r="D14" s="6">
        <f t="shared" si="4"/>
        <v>4.099634</v>
      </c>
      <c r="E14" s="6" t="s">
        <v>15</v>
      </c>
      <c r="F14" s="8">
        <f t="shared" si="6"/>
        <v>0.10800000000000001</v>
      </c>
      <c r="G14" s="6">
        <f t="shared" si="7"/>
        <v>0.44276047200000007</v>
      </c>
      <c r="H14" s="6" t="s">
        <v>8</v>
      </c>
      <c r="I14" s="6">
        <f>30.5/100</f>
        <v>0.30499999999999999</v>
      </c>
      <c r="J14" s="8">
        <f>I14*G14</f>
        <v>0.13504194396000002</v>
      </c>
      <c r="K14" s="2" t="s">
        <v>35</v>
      </c>
      <c r="L14" s="2">
        <f>34.9/100</f>
        <v>0.34899999999999998</v>
      </c>
      <c r="M14" s="2">
        <f t="shared" si="9"/>
        <v>0.15452340472800002</v>
      </c>
    </row>
    <row r="15" spans="1:13" x14ac:dyDescent="0.25">
      <c r="A15" s="4">
        <v>26.620999999999999</v>
      </c>
      <c r="B15" s="4" t="s">
        <v>2</v>
      </c>
      <c r="C15" s="5">
        <f t="shared" si="0"/>
        <v>0.154</v>
      </c>
      <c r="D15" s="6">
        <f t="shared" si="4"/>
        <v>4.099634</v>
      </c>
      <c r="E15" s="6" t="s">
        <v>15</v>
      </c>
      <c r="F15" s="8">
        <f t="shared" si="6"/>
        <v>0.10800000000000001</v>
      </c>
      <c r="G15" s="6">
        <f t="shared" si="7"/>
        <v>0.44276047200000007</v>
      </c>
      <c r="H15" s="6" t="s">
        <v>10</v>
      </c>
      <c r="I15" s="6">
        <f>7.3/100</f>
        <v>7.2999999999999995E-2</v>
      </c>
      <c r="J15" s="8">
        <f t="shared" si="8"/>
        <v>3.2321514456000004E-2</v>
      </c>
      <c r="K15" s="2" t="s">
        <v>36</v>
      </c>
      <c r="L15" s="2">
        <f>27/100</f>
        <v>0.27</v>
      </c>
      <c r="M15" s="2">
        <f t="shared" si="9"/>
        <v>0.11954532744000003</v>
      </c>
    </row>
    <row r="16" spans="1:13" x14ac:dyDescent="0.25">
      <c r="A16" s="4">
        <v>26.620999999999999</v>
      </c>
      <c r="B16" s="4" t="s">
        <v>2</v>
      </c>
      <c r="C16" s="5">
        <f t="shared" si="0"/>
        <v>0.154</v>
      </c>
      <c r="D16" s="6">
        <f t="shared" si="4"/>
        <v>4.099634</v>
      </c>
      <c r="E16" s="6" t="s">
        <v>15</v>
      </c>
      <c r="F16" s="8">
        <f t="shared" si="6"/>
        <v>0.10800000000000001</v>
      </c>
      <c r="G16" s="6">
        <f t="shared" si="7"/>
        <v>0.44276047200000007</v>
      </c>
      <c r="H16" s="6" t="s">
        <v>9</v>
      </c>
      <c r="I16" s="6">
        <f>53.7/100</f>
        <v>0.53700000000000003</v>
      </c>
      <c r="J16" s="8">
        <f t="shared" si="8"/>
        <v>0.23776237346400006</v>
      </c>
      <c r="K16" s="2" t="s">
        <v>37</v>
      </c>
      <c r="L16" s="2">
        <f>22.8/100</f>
        <v>0.22800000000000001</v>
      </c>
      <c r="M16" s="2">
        <f t="shared" si="9"/>
        <v>0.10094938761600002</v>
      </c>
    </row>
    <row r="17" spans="1:13" x14ac:dyDescent="0.25">
      <c r="A17" s="4">
        <v>26.620999999999999</v>
      </c>
      <c r="B17" s="4" t="s">
        <v>2</v>
      </c>
      <c r="C17" s="5">
        <f t="shared" si="0"/>
        <v>0.154</v>
      </c>
      <c r="D17" s="6">
        <f t="shared" si="4"/>
        <v>4.099634</v>
      </c>
      <c r="E17" s="6" t="s">
        <v>15</v>
      </c>
      <c r="F17" s="8">
        <f t="shared" si="6"/>
        <v>0.10800000000000001</v>
      </c>
      <c r="G17" s="6">
        <f t="shared" si="7"/>
        <v>0.44276047200000007</v>
      </c>
      <c r="H17" s="6" t="s">
        <v>55</v>
      </c>
      <c r="I17" s="6">
        <f>0/100</f>
        <v>0</v>
      </c>
      <c r="J17" s="8">
        <f>I17*G17</f>
        <v>0</v>
      </c>
      <c r="K17" s="2" t="s">
        <v>38</v>
      </c>
      <c r="L17" s="2">
        <f>0/100</f>
        <v>0</v>
      </c>
      <c r="M17" s="2">
        <f>L17*G17</f>
        <v>0</v>
      </c>
    </row>
    <row r="18" spans="1:13" x14ac:dyDescent="0.25">
      <c r="A18" s="4">
        <v>26.620999999999999</v>
      </c>
      <c r="B18" s="4" t="s">
        <v>2</v>
      </c>
      <c r="C18" s="5">
        <f t="shared" si="0"/>
        <v>0.154</v>
      </c>
      <c r="D18" s="6">
        <f t="shared" si="4"/>
        <v>4.099634</v>
      </c>
      <c r="E18" s="6" t="s">
        <v>15</v>
      </c>
      <c r="F18" s="8">
        <f t="shared" si="6"/>
        <v>0.10800000000000001</v>
      </c>
      <c r="G18" s="6">
        <f t="shared" si="7"/>
        <v>0.44276047200000007</v>
      </c>
      <c r="H18" s="6"/>
      <c r="I18" s="6" t="s">
        <v>56</v>
      </c>
      <c r="J18" s="8"/>
      <c r="K18" s="2" t="s">
        <v>39</v>
      </c>
      <c r="L18" s="2">
        <f>0/100</f>
        <v>0</v>
      </c>
      <c r="M18" s="2">
        <f t="shared" si="9"/>
        <v>0</v>
      </c>
    </row>
    <row r="19" spans="1:13" x14ac:dyDescent="0.25">
      <c r="A19" s="4">
        <v>26.620999999999999</v>
      </c>
      <c r="B19" s="4" t="s">
        <v>2</v>
      </c>
      <c r="C19" s="5">
        <f t="shared" si="0"/>
        <v>0.154</v>
      </c>
      <c r="D19" s="6">
        <f t="shared" si="4"/>
        <v>4.099634</v>
      </c>
      <c r="E19" s="6" t="s">
        <v>45</v>
      </c>
      <c r="F19" s="6">
        <f>14.6/100</f>
        <v>0.14599999999999999</v>
      </c>
      <c r="G19" s="6">
        <f>F19*D19</f>
        <v>0.59854656399999995</v>
      </c>
      <c r="H19" s="6" t="s">
        <v>11</v>
      </c>
      <c r="I19" s="6">
        <f>10.8/100</f>
        <v>0.10800000000000001</v>
      </c>
      <c r="J19" s="6">
        <f>I19*G19</f>
        <v>6.4643028912000008E-2</v>
      </c>
      <c r="K19" s="2" t="s">
        <v>32</v>
      </c>
      <c r="L19" s="2">
        <f>3/100</f>
        <v>0.03</v>
      </c>
      <c r="M19" s="2">
        <f>L19*G19</f>
        <v>1.7956396919999999E-2</v>
      </c>
    </row>
    <row r="20" spans="1:13" x14ac:dyDescent="0.25">
      <c r="A20" s="4">
        <v>26.620999999999999</v>
      </c>
      <c r="B20" s="4" t="s">
        <v>2</v>
      </c>
      <c r="C20" s="5">
        <f t="shared" si="0"/>
        <v>0.154</v>
      </c>
      <c r="D20" s="6">
        <f t="shared" si="4"/>
        <v>4.099634</v>
      </c>
      <c r="E20" s="6" t="s">
        <v>16</v>
      </c>
      <c r="F20" s="6">
        <f t="shared" ref="F20:F26" si="10">14.6/100</f>
        <v>0.14599999999999999</v>
      </c>
      <c r="G20" s="6">
        <f t="shared" ref="G20:G97" si="11">F20*D20</f>
        <v>0.59854656399999995</v>
      </c>
      <c r="H20" s="6" t="s">
        <v>12</v>
      </c>
      <c r="I20" s="6">
        <f>8.7/100</f>
        <v>8.6999999999999994E-2</v>
      </c>
      <c r="J20" s="6">
        <f t="shared" ref="J20:J25" si="12">I20*G20</f>
        <v>5.207355106799999E-2</v>
      </c>
      <c r="K20" s="2" t="s">
        <v>33</v>
      </c>
      <c r="L20" s="2">
        <f>14.1/100</f>
        <v>0.14099999999999999</v>
      </c>
      <c r="M20" s="2">
        <f t="shared" ref="M20:M26" si="13">L20*G20</f>
        <v>8.4395065523999988E-2</v>
      </c>
    </row>
    <row r="21" spans="1:13" x14ac:dyDescent="0.25">
      <c r="A21" s="4">
        <v>26.620999999999999</v>
      </c>
      <c r="B21" s="4" t="s">
        <v>2</v>
      </c>
      <c r="C21" s="5">
        <f t="shared" si="0"/>
        <v>0.154</v>
      </c>
      <c r="D21" s="6">
        <f t="shared" si="4"/>
        <v>4.099634</v>
      </c>
      <c r="E21" s="6" t="s">
        <v>16</v>
      </c>
      <c r="F21" s="6">
        <f t="shared" si="10"/>
        <v>0.14599999999999999</v>
      </c>
      <c r="G21" s="6">
        <f t="shared" si="11"/>
        <v>0.59854656399999995</v>
      </c>
      <c r="H21" s="6" t="s">
        <v>7</v>
      </c>
      <c r="I21" s="6">
        <f>0/100</f>
        <v>0</v>
      </c>
      <c r="J21" s="6">
        <f t="shared" si="12"/>
        <v>0</v>
      </c>
      <c r="K21" s="2" t="s">
        <v>34</v>
      </c>
      <c r="L21" s="2">
        <f>17.8/100</f>
        <v>0.17800000000000002</v>
      </c>
      <c r="M21" s="2">
        <f t="shared" si="13"/>
        <v>0.106541288392</v>
      </c>
    </row>
    <row r="22" spans="1:13" x14ac:dyDescent="0.25">
      <c r="A22" s="4">
        <v>26.620999999999999</v>
      </c>
      <c r="B22" s="4" t="s">
        <v>2</v>
      </c>
      <c r="C22" s="5">
        <f t="shared" si="0"/>
        <v>0.154</v>
      </c>
      <c r="D22" s="6">
        <f t="shared" si="4"/>
        <v>4.099634</v>
      </c>
      <c r="E22" s="6" t="s">
        <v>16</v>
      </c>
      <c r="F22" s="6">
        <f t="shared" si="10"/>
        <v>0.14599999999999999</v>
      </c>
      <c r="G22" s="6">
        <f t="shared" si="11"/>
        <v>0.59854656399999995</v>
      </c>
      <c r="H22" s="6" t="s">
        <v>8</v>
      </c>
      <c r="I22" s="6">
        <f>25.9/100</f>
        <v>0.25900000000000001</v>
      </c>
      <c r="J22" s="6">
        <f t="shared" si="12"/>
        <v>0.15502356007599999</v>
      </c>
      <c r="K22" s="2" t="s">
        <v>35</v>
      </c>
      <c r="L22" s="2">
        <f>21.8/100</f>
        <v>0.218</v>
      </c>
      <c r="M22" s="2">
        <f t="shared" si="13"/>
        <v>0.130483150952</v>
      </c>
    </row>
    <row r="23" spans="1:13" x14ac:dyDescent="0.25">
      <c r="A23" s="4">
        <v>26.620999999999999</v>
      </c>
      <c r="B23" s="4" t="s">
        <v>2</v>
      </c>
      <c r="C23" s="5">
        <f t="shared" si="0"/>
        <v>0.154</v>
      </c>
      <c r="D23" s="6">
        <f t="shared" si="4"/>
        <v>4.099634</v>
      </c>
      <c r="E23" s="6" t="s">
        <v>16</v>
      </c>
      <c r="F23" s="6">
        <f t="shared" si="10"/>
        <v>0.14599999999999999</v>
      </c>
      <c r="G23" s="6">
        <f t="shared" si="11"/>
        <v>0.59854656399999995</v>
      </c>
      <c r="H23" s="6" t="s">
        <v>10</v>
      </c>
      <c r="I23" s="6">
        <f>5.7/100</f>
        <v>5.7000000000000002E-2</v>
      </c>
      <c r="J23" s="6">
        <f t="shared" si="12"/>
        <v>3.4117154147999998E-2</v>
      </c>
      <c r="K23" s="2" t="s">
        <v>36</v>
      </c>
      <c r="L23" s="2">
        <f>23.4/100</f>
        <v>0.23399999999999999</v>
      </c>
      <c r="M23" s="2">
        <f t="shared" si="13"/>
        <v>0.14005989597599999</v>
      </c>
    </row>
    <row r="24" spans="1:13" x14ac:dyDescent="0.25">
      <c r="A24" s="4">
        <v>26.620999999999999</v>
      </c>
      <c r="B24" s="4" t="s">
        <v>2</v>
      </c>
      <c r="C24" s="5">
        <f t="shared" si="0"/>
        <v>0.154</v>
      </c>
      <c r="D24" s="6">
        <f t="shared" si="4"/>
        <v>4.099634</v>
      </c>
      <c r="E24" s="6" t="s">
        <v>16</v>
      </c>
      <c r="F24" s="6">
        <f t="shared" si="10"/>
        <v>0.14599999999999999</v>
      </c>
      <c r="G24" s="6">
        <f t="shared" si="11"/>
        <v>0.59854656399999995</v>
      </c>
      <c r="H24" s="6" t="s">
        <v>9</v>
      </c>
      <c r="I24" s="6">
        <f>47.1/100</f>
        <v>0.47100000000000003</v>
      </c>
      <c r="J24" s="6">
        <f t="shared" si="12"/>
        <v>0.28191543164400001</v>
      </c>
      <c r="K24" s="2" t="s">
        <v>37</v>
      </c>
      <c r="L24" s="2">
        <f>18.2/100</f>
        <v>0.182</v>
      </c>
      <c r="M24" s="2">
        <f t="shared" si="13"/>
        <v>0.10893547464799999</v>
      </c>
    </row>
    <row r="25" spans="1:13" x14ac:dyDescent="0.25">
      <c r="A25" s="4">
        <v>26.620999999999999</v>
      </c>
      <c r="B25" s="4" t="s">
        <v>2</v>
      </c>
      <c r="C25" s="5">
        <f t="shared" si="0"/>
        <v>0.154</v>
      </c>
      <c r="D25" s="6">
        <f t="shared" si="4"/>
        <v>4.099634</v>
      </c>
      <c r="E25" s="6" t="s">
        <v>16</v>
      </c>
      <c r="F25" s="6">
        <f t="shared" si="10"/>
        <v>0.14599999999999999</v>
      </c>
      <c r="G25" s="6">
        <f t="shared" si="11"/>
        <v>0.59854656399999995</v>
      </c>
      <c r="H25" s="6" t="s">
        <v>55</v>
      </c>
      <c r="I25" s="6">
        <f>1.8/100</f>
        <v>1.8000000000000002E-2</v>
      </c>
      <c r="J25" s="6">
        <f t="shared" si="12"/>
        <v>1.0773838152E-2</v>
      </c>
      <c r="K25" s="2" t="s">
        <v>38</v>
      </c>
      <c r="L25" s="2">
        <f>0.5/100</f>
        <v>5.0000000000000001E-3</v>
      </c>
      <c r="M25" s="2">
        <f t="shared" si="13"/>
        <v>2.9927328199999999E-3</v>
      </c>
    </row>
    <row r="26" spans="1:13" x14ac:dyDescent="0.25">
      <c r="A26" s="4">
        <v>26.620999999999999</v>
      </c>
      <c r="B26" s="4" t="s">
        <v>2</v>
      </c>
      <c r="C26" s="5">
        <f t="shared" si="0"/>
        <v>0.154</v>
      </c>
      <c r="D26" s="6">
        <f t="shared" si="4"/>
        <v>4.099634</v>
      </c>
      <c r="E26" s="6" t="s">
        <v>16</v>
      </c>
      <c r="F26" s="6">
        <f t="shared" si="10"/>
        <v>0.14599999999999999</v>
      </c>
      <c r="G26" s="6">
        <f t="shared" si="11"/>
        <v>0.59854656399999995</v>
      </c>
      <c r="H26" s="6"/>
      <c r="I26" s="6"/>
      <c r="J26" s="6"/>
      <c r="K26" s="2" t="s">
        <v>39</v>
      </c>
      <c r="L26" s="2">
        <f>1.3/100</f>
        <v>1.3000000000000001E-2</v>
      </c>
      <c r="M26" s="2">
        <f t="shared" si="13"/>
        <v>7.7811053320000004E-3</v>
      </c>
    </row>
    <row r="27" spans="1:13" x14ac:dyDescent="0.25">
      <c r="A27" s="4">
        <v>26.620999999999999</v>
      </c>
      <c r="B27" s="4" t="s">
        <v>2</v>
      </c>
      <c r="C27" s="5">
        <f t="shared" si="0"/>
        <v>0.154</v>
      </c>
      <c r="D27" s="6">
        <f t="shared" si="4"/>
        <v>4.099634</v>
      </c>
      <c r="E27" s="6" t="s">
        <v>46</v>
      </c>
      <c r="F27" s="8">
        <f>19.7/100</f>
        <v>0.19699999999999998</v>
      </c>
      <c r="G27" s="6">
        <f t="shared" si="11"/>
        <v>0.8076278979999999</v>
      </c>
      <c r="H27" s="6" t="s">
        <v>11</v>
      </c>
      <c r="I27" s="8">
        <f>31.4/100</f>
        <v>0.314</v>
      </c>
      <c r="J27" s="8">
        <f>I27*G27</f>
        <v>0.25359515997199999</v>
      </c>
      <c r="K27" s="2" t="s">
        <v>32</v>
      </c>
      <c r="L27" s="2">
        <f>3.5/100</f>
        <v>3.5000000000000003E-2</v>
      </c>
      <c r="M27" s="2">
        <f>L27*G27</f>
        <v>2.826697643E-2</v>
      </c>
    </row>
    <row r="28" spans="1:13" x14ac:dyDescent="0.25">
      <c r="A28" s="4">
        <v>26.620999999999999</v>
      </c>
      <c r="B28" s="4" t="s">
        <v>2</v>
      </c>
      <c r="C28" s="5">
        <f t="shared" si="0"/>
        <v>0.154</v>
      </c>
      <c r="D28" s="6">
        <f t="shared" si="4"/>
        <v>4.099634</v>
      </c>
      <c r="E28" s="6" t="s">
        <v>13</v>
      </c>
      <c r="F28" s="8">
        <f t="shared" ref="F28:F34" si="14">19.7/100</f>
        <v>0.19699999999999998</v>
      </c>
      <c r="G28" s="6">
        <f t="shared" si="11"/>
        <v>0.8076278979999999</v>
      </c>
      <c r="H28" s="6" t="s">
        <v>12</v>
      </c>
      <c r="I28" s="8">
        <f>13.1/100</f>
        <v>0.13100000000000001</v>
      </c>
      <c r="J28" s="8">
        <f t="shared" ref="J28:J32" si="15">I28*G28</f>
        <v>0.105799254638</v>
      </c>
      <c r="K28" s="2" t="s">
        <v>33</v>
      </c>
      <c r="L28" s="2">
        <f>8.4/100</f>
        <v>8.4000000000000005E-2</v>
      </c>
      <c r="M28" s="2">
        <f t="shared" ref="M28:M30" si="16">L28*G28</f>
        <v>6.7840743432E-2</v>
      </c>
    </row>
    <row r="29" spans="1:13" x14ac:dyDescent="0.25">
      <c r="A29" s="4">
        <v>26.620999999999999</v>
      </c>
      <c r="B29" s="4" t="s">
        <v>2</v>
      </c>
      <c r="C29" s="5">
        <f t="shared" si="0"/>
        <v>0.154</v>
      </c>
      <c r="D29" s="6">
        <f t="shared" si="4"/>
        <v>4.099634</v>
      </c>
      <c r="E29" s="6" t="s">
        <v>13</v>
      </c>
      <c r="F29" s="8">
        <f t="shared" si="14"/>
        <v>0.19699999999999998</v>
      </c>
      <c r="G29" s="6">
        <f t="shared" si="11"/>
        <v>0.8076278979999999</v>
      </c>
      <c r="H29" s="6" t="s">
        <v>7</v>
      </c>
      <c r="I29" s="8">
        <f>1.4/100</f>
        <v>1.3999999999999999E-2</v>
      </c>
      <c r="J29" s="8">
        <f t="shared" si="15"/>
        <v>1.1306790571999997E-2</v>
      </c>
      <c r="K29" s="2" t="s">
        <v>34</v>
      </c>
      <c r="L29" s="2">
        <f>13.6/100</f>
        <v>0.13600000000000001</v>
      </c>
      <c r="M29" s="2">
        <f t="shared" si="16"/>
        <v>0.10983739412799999</v>
      </c>
    </row>
    <row r="30" spans="1:13" x14ac:dyDescent="0.25">
      <c r="A30" s="4">
        <v>26.620999999999999</v>
      </c>
      <c r="B30" s="4" t="s">
        <v>2</v>
      </c>
      <c r="C30" s="5">
        <f t="shared" si="0"/>
        <v>0.154</v>
      </c>
      <c r="D30" s="6">
        <f t="shared" si="4"/>
        <v>4.099634</v>
      </c>
      <c r="E30" s="6" t="s">
        <v>13</v>
      </c>
      <c r="F30" s="8">
        <f t="shared" si="14"/>
        <v>0.19699999999999998</v>
      </c>
      <c r="G30" s="6">
        <f t="shared" si="11"/>
        <v>0.8076278979999999</v>
      </c>
      <c r="H30" s="6" t="s">
        <v>8</v>
      </c>
      <c r="I30" s="8">
        <f>30.4/100</f>
        <v>0.30399999999999999</v>
      </c>
      <c r="J30" s="8">
        <f t="shared" si="15"/>
        <v>0.24551888099199998</v>
      </c>
      <c r="K30" s="2" t="s">
        <v>35</v>
      </c>
      <c r="L30" s="2">
        <f>28/100</f>
        <v>0.28000000000000003</v>
      </c>
      <c r="M30" s="2">
        <f t="shared" si="16"/>
        <v>0.22613581144</v>
      </c>
    </row>
    <row r="31" spans="1:13" x14ac:dyDescent="0.25">
      <c r="A31" s="4">
        <v>26.620999999999999</v>
      </c>
      <c r="B31" s="4" t="s">
        <v>2</v>
      </c>
      <c r="C31" s="5">
        <f t="shared" si="0"/>
        <v>0.154</v>
      </c>
      <c r="D31" s="6">
        <f t="shared" si="4"/>
        <v>4.099634</v>
      </c>
      <c r="E31" s="6" t="s">
        <v>13</v>
      </c>
      <c r="F31" s="8">
        <f t="shared" si="14"/>
        <v>0.19699999999999998</v>
      </c>
      <c r="G31" s="6">
        <f t="shared" si="11"/>
        <v>0.8076278979999999</v>
      </c>
      <c r="H31" s="6" t="s">
        <v>10</v>
      </c>
      <c r="I31" s="8">
        <f>3.8/100</f>
        <v>3.7999999999999999E-2</v>
      </c>
      <c r="J31" s="8">
        <f t="shared" si="15"/>
        <v>3.0689860123999997E-2</v>
      </c>
      <c r="K31" s="2" t="s">
        <v>36</v>
      </c>
      <c r="L31" s="2">
        <f>25/100</f>
        <v>0.25</v>
      </c>
      <c r="M31" s="2" t="e">
        <f>#REF!*G31</f>
        <v>#REF!</v>
      </c>
    </row>
    <row r="32" spans="1:13" x14ac:dyDescent="0.25">
      <c r="A32" s="4">
        <v>26.620999999999999</v>
      </c>
      <c r="B32" s="4" t="s">
        <v>2</v>
      </c>
      <c r="C32" s="5">
        <f t="shared" si="0"/>
        <v>0.154</v>
      </c>
      <c r="D32" s="6">
        <f t="shared" si="4"/>
        <v>4.099634</v>
      </c>
      <c r="E32" s="6" t="s">
        <v>13</v>
      </c>
      <c r="F32" s="8">
        <f t="shared" si="14"/>
        <v>0.19699999999999998</v>
      </c>
      <c r="G32" s="6">
        <f t="shared" si="11"/>
        <v>0.8076278979999999</v>
      </c>
      <c r="H32" s="6" t="s">
        <v>9</v>
      </c>
      <c r="I32" s="8">
        <f>19/100</f>
        <v>0.19</v>
      </c>
      <c r="J32" s="8">
        <f t="shared" si="15"/>
        <v>0.15344930061999998</v>
      </c>
      <c r="K32" s="2" t="s">
        <v>37</v>
      </c>
      <c r="L32" s="2">
        <f>17.9/100</f>
        <v>0.17899999999999999</v>
      </c>
      <c r="M32" s="2">
        <f>L31*G32</f>
        <v>0.20190697449999997</v>
      </c>
    </row>
    <row r="33" spans="1:13" x14ac:dyDescent="0.25">
      <c r="A33" s="4">
        <v>26.620999999999999</v>
      </c>
      <c r="B33" s="4" t="s">
        <v>2</v>
      </c>
      <c r="C33" s="5">
        <f t="shared" si="0"/>
        <v>0.154</v>
      </c>
      <c r="D33" s="6">
        <f t="shared" si="4"/>
        <v>4.099634</v>
      </c>
      <c r="E33" s="6" t="s">
        <v>13</v>
      </c>
      <c r="F33" s="8">
        <f t="shared" si="14"/>
        <v>0.19699999999999998</v>
      </c>
      <c r="G33" s="6">
        <f t="shared" si="11"/>
        <v>0.8076278979999999</v>
      </c>
      <c r="H33" s="6" t="s">
        <v>55</v>
      </c>
      <c r="I33" s="8">
        <f>0.9/100</f>
        <v>9.0000000000000011E-3</v>
      </c>
      <c r="J33" s="8"/>
      <c r="K33" s="2" t="s">
        <v>38</v>
      </c>
      <c r="L33" s="2">
        <f>2.5/100</f>
        <v>2.5000000000000001E-2</v>
      </c>
      <c r="M33" s="2">
        <f>L32*G33</f>
        <v>0.14456539374199998</v>
      </c>
    </row>
    <row r="34" spans="1:13" x14ac:dyDescent="0.25">
      <c r="A34" s="4">
        <v>26.620999999999999</v>
      </c>
      <c r="B34" s="4" t="s">
        <v>2</v>
      </c>
      <c r="C34" s="5">
        <f t="shared" si="0"/>
        <v>0.154</v>
      </c>
      <c r="D34" s="6">
        <f t="shared" si="4"/>
        <v>4.099634</v>
      </c>
      <c r="E34" s="6" t="s">
        <v>13</v>
      </c>
      <c r="F34" s="8">
        <f t="shared" si="14"/>
        <v>0.19699999999999998</v>
      </c>
      <c r="G34" s="6">
        <f t="shared" si="11"/>
        <v>0.8076278979999999</v>
      </c>
      <c r="H34" s="6"/>
      <c r="I34" s="8"/>
      <c r="J34" s="8"/>
      <c r="K34" s="2" t="s">
        <v>39</v>
      </c>
      <c r="L34" s="2">
        <f>1.1/100</f>
        <v>1.1000000000000001E-2</v>
      </c>
      <c r="M34" s="2">
        <f>L33*G34</f>
        <v>2.019069745E-2</v>
      </c>
    </row>
    <row r="35" spans="1:13" x14ac:dyDescent="0.25">
      <c r="A35" s="4">
        <v>26.620999999999999</v>
      </c>
      <c r="B35" s="4" t="s">
        <v>2</v>
      </c>
      <c r="C35" s="5">
        <f t="shared" si="0"/>
        <v>0.154</v>
      </c>
      <c r="D35" s="6">
        <f t="shared" si="4"/>
        <v>4.099634</v>
      </c>
      <c r="E35" s="8" t="s">
        <v>47</v>
      </c>
      <c r="F35" s="6">
        <f>10.9/100</f>
        <v>0.109</v>
      </c>
      <c r="G35" s="6">
        <f t="shared" si="11"/>
        <v>0.44686010599999998</v>
      </c>
      <c r="H35" s="6" t="s">
        <v>11</v>
      </c>
      <c r="I35" s="6">
        <f>0/100</f>
        <v>0</v>
      </c>
      <c r="J35" s="6">
        <f>I35*G35</f>
        <v>0</v>
      </c>
      <c r="K35" s="2" t="s">
        <v>32</v>
      </c>
      <c r="L35" s="2">
        <f>0/100</f>
        <v>0</v>
      </c>
      <c r="M35" s="2">
        <f>L35*G35</f>
        <v>0</v>
      </c>
    </row>
    <row r="36" spans="1:13" x14ac:dyDescent="0.25">
      <c r="A36" s="4">
        <v>26.620999999999999</v>
      </c>
      <c r="B36" s="4" t="s">
        <v>2</v>
      </c>
      <c r="C36" s="5">
        <f t="shared" si="0"/>
        <v>0.154</v>
      </c>
      <c r="D36" s="6">
        <f t="shared" si="4"/>
        <v>4.099634</v>
      </c>
      <c r="E36" s="8" t="s">
        <v>17</v>
      </c>
      <c r="F36" s="6">
        <f t="shared" ref="F36:F42" si="17">10.9/100</f>
        <v>0.109</v>
      </c>
      <c r="G36" s="6">
        <f t="shared" si="11"/>
        <v>0.44686010599999998</v>
      </c>
      <c r="H36" s="6" t="s">
        <v>12</v>
      </c>
      <c r="I36" s="6">
        <f>0/100</f>
        <v>0</v>
      </c>
      <c r="J36" s="6">
        <f t="shared" ref="J36:J41" si="18">I36*G36</f>
        <v>0</v>
      </c>
      <c r="K36" s="2" t="s">
        <v>33</v>
      </c>
      <c r="L36" s="2">
        <f>3.7/100</f>
        <v>3.7000000000000005E-2</v>
      </c>
      <c r="M36" s="2">
        <f t="shared" ref="M36:M42" si="19">L36*G36</f>
        <v>1.6533823922E-2</v>
      </c>
    </row>
    <row r="37" spans="1:13" x14ac:dyDescent="0.25">
      <c r="A37" s="4">
        <v>26.620999999999999</v>
      </c>
      <c r="B37" s="4" t="s">
        <v>2</v>
      </c>
      <c r="C37" s="5">
        <f t="shared" si="0"/>
        <v>0.154</v>
      </c>
      <c r="D37" s="6">
        <f t="shared" si="4"/>
        <v>4.099634</v>
      </c>
      <c r="E37" s="8" t="s">
        <v>17</v>
      </c>
      <c r="F37" s="6">
        <f t="shared" si="17"/>
        <v>0.109</v>
      </c>
      <c r="G37" s="6">
        <f t="shared" si="11"/>
        <v>0.44686010599999998</v>
      </c>
      <c r="H37" s="6" t="s">
        <v>7</v>
      </c>
      <c r="I37" s="6">
        <f>0/100</f>
        <v>0</v>
      </c>
      <c r="J37" s="6">
        <f t="shared" si="18"/>
        <v>0</v>
      </c>
      <c r="K37" s="2" t="s">
        <v>34</v>
      </c>
      <c r="L37" s="2">
        <f>19.3/100</f>
        <v>0.193</v>
      </c>
      <c r="M37" s="2">
        <f t="shared" si="19"/>
        <v>8.6244000458E-2</v>
      </c>
    </row>
    <row r="38" spans="1:13" x14ac:dyDescent="0.25">
      <c r="A38" s="4">
        <v>26.620999999999999</v>
      </c>
      <c r="B38" s="4" t="s">
        <v>2</v>
      </c>
      <c r="C38" s="5">
        <f t="shared" si="0"/>
        <v>0.154</v>
      </c>
      <c r="D38" s="6">
        <f t="shared" si="4"/>
        <v>4.099634</v>
      </c>
      <c r="E38" s="8" t="s">
        <v>17</v>
      </c>
      <c r="F38" s="6">
        <f t="shared" si="17"/>
        <v>0.109</v>
      </c>
      <c r="G38" s="6">
        <f t="shared" si="11"/>
        <v>0.44686010599999998</v>
      </c>
      <c r="H38" s="6" t="s">
        <v>8</v>
      </c>
      <c r="I38" s="6">
        <f>42.2/100</f>
        <v>0.42200000000000004</v>
      </c>
      <c r="J38" s="6">
        <f t="shared" si="18"/>
        <v>0.188574964732</v>
      </c>
      <c r="K38" s="2" t="s">
        <v>35</v>
      </c>
      <c r="L38" s="2">
        <f>40.4/100</f>
        <v>0.40399999999999997</v>
      </c>
      <c r="M38" s="2">
        <f t="shared" si="19"/>
        <v>0.18053148282399997</v>
      </c>
    </row>
    <row r="39" spans="1:13" x14ac:dyDescent="0.25">
      <c r="A39" s="4">
        <v>26.620999999999999</v>
      </c>
      <c r="B39" s="4" t="s">
        <v>2</v>
      </c>
      <c r="C39" s="5">
        <f t="shared" si="0"/>
        <v>0.154</v>
      </c>
      <c r="D39" s="6">
        <f t="shared" si="4"/>
        <v>4.099634</v>
      </c>
      <c r="E39" s="8" t="s">
        <v>17</v>
      </c>
      <c r="F39" s="6">
        <f t="shared" si="17"/>
        <v>0.109</v>
      </c>
      <c r="G39" s="6">
        <f t="shared" si="11"/>
        <v>0.44686010599999998</v>
      </c>
      <c r="H39" s="6" t="s">
        <v>10</v>
      </c>
      <c r="I39" s="6">
        <f>11.1/100</f>
        <v>0.111</v>
      </c>
      <c r="J39" s="6">
        <f t="shared" si="18"/>
        <v>4.9601471766000001E-2</v>
      </c>
      <c r="K39" s="2" t="s">
        <v>36</v>
      </c>
      <c r="L39" s="2">
        <f>14.4/100</f>
        <v>0.14400000000000002</v>
      </c>
      <c r="M39" s="2">
        <f t="shared" si="19"/>
        <v>6.4347855263999998E-2</v>
      </c>
    </row>
    <row r="40" spans="1:13" x14ac:dyDescent="0.25">
      <c r="A40" s="4">
        <v>26.620999999999999</v>
      </c>
      <c r="B40" s="4" t="s">
        <v>2</v>
      </c>
      <c r="C40" s="5">
        <f t="shared" si="0"/>
        <v>0.154</v>
      </c>
      <c r="D40" s="6">
        <f t="shared" si="4"/>
        <v>4.099634</v>
      </c>
      <c r="E40" s="8" t="s">
        <v>17</v>
      </c>
      <c r="F40" s="6">
        <f t="shared" si="17"/>
        <v>0.109</v>
      </c>
      <c r="G40" s="6">
        <f t="shared" si="11"/>
        <v>0.44686010599999998</v>
      </c>
      <c r="H40" s="6" t="s">
        <v>9</v>
      </c>
      <c r="I40" s="6">
        <f>46.8/100</f>
        <v>0.46799999999999997</v>
      </c>
      <c r="J40" s="6">
        <f t="shared" si="18"/>
        <v>0.20913052960799997</v>
      </c>
      <c r="K40" s="2" t="s">
        <v>37</v>
      </c>
      <c r="L40" s="2">
        <f>22.2/100</f>
        <v>0.222</v>
      </c>
      <c r="M40" s="2">
        <f t="shared" si="19"/>
        <v>9.9202943532000001E-2</v>
      </c>
    </row>
    <row r="41" spans="1:13" x14ac:dyDescent="0.25">
      <c r="A41" s="4">
        <v>26.620999999999999</v>
      </c>
      <c r="B41" s="4" t="s">
        <v>2</v>
      </c>
      <c r="C41" s="5">
        <f t="shared" si="0"/>
        <v>0.154</v>
      </c>
      <c r="D41" s="6">
        <f t="shared" si="4"/>
        <v>4.099634</v>
      </c>
      <c r="E41" s="8" t="s">
        <v>17</v>
      </c>
      <c r="F41" s="6">
        <f t="shared" si="17"/>
        <v>0.109</v>
      </c>
      <c r="G41" s="6">
        <f t="shared" si="11"/>
        <v>0.44686010599999998</v>
      </c>
      <c r="H41" s="6" t="s">
        <v>55</v>
      </c>
      <c r="I41" s="6">
        <f>0/100</f>
        <v>0</v>
      </c>
      <c r="J41" s="6">
        <f t="shared" si="18"/>
        <v>0</v>
      </c>
      <c r="K41" s="2" t="s">
        <v>38</v>
      </c>
      <c r="L41" s="2">
        <f>0/100</f>
        <v>0</v>
      </c>
      <c r="M41" s="2">
        <f t="shared" si="19"/>
        <v>0</v>
      </c>
    </row>
    <row r="42" spans="1:13" x14ac:dyDescent="0.25">
      <c r="A42" s="4">
        <v>26.620999999999999</v>
      </c>
      <c r="B42" s="4" t="s">
        <v>2</v>
      </c>
      <c r="C42" s="5">
        <f t="shared" si="0"/>
        <v>0.154</v>
      </c>
      <c r="D42" s="6">
        <f t="shared" si="4"/>
        <v>4.099634</v>
      </c>
      <c r="E42" s="8" t="s">
        <v>17</v>
      </c>
      <c r="F42" s="6">
        <f t="shared" si="17"/>
        <v>0.109</v>
      </c>
      <c r="G42" s="6">
        <f t="shared" si="11"/>
        <v>0.44686010599999998</v>
      </c>
      <c r="H42" s="6"/>
      <c r="I42" s="6"/>
      <c r="J42" s="6"/>
      <c r="K42" s="2" t="s">
        <v>39</v>
      </c>
      <c r="L42" s="2">
        <f>0/100</f>
        <v>0</v>
      </c>
      <c r="M42" s="2">
        <f t="shared" si="19"/>
        <v>0</v>
      </c>
    </row>
    <row r="43" spans="1:13" x14ac:dyDescent="0.25">
      <c r="A43" s="4">
        <v>26.620999999999999</v>
      </c>
      <c r="B43" s="4" t="s">
        <v>2</v>
      </c>
      <c r="C43" s="5">
        <f t="shared" si="0"/>
        <v>0.154</v>
      </c>
      <c r="D43" s="6">
        <f t="shared" si="4"/>
        <v>4.099634</v>
      </c>
      <c r="E43" s="2" t="s">
        <v>18</v>
      </c>
      <c r="F43" s="6">
        <f>8.7/100</f>
        <v>8.6999999999999994E-2</v>
      </c>
      <c r="G43" s="6">
        <f t="shared" si="11"/>
        <v>0.35666815799999996</v>
      </c>
      <c r="H43" s="6" t="s">
        <v>11</v>
      </c>
      <c r="I43" s="8">
        <f>44.9/100</f>
        <v>0.44900000000000001</v>
      </c>
      <c r="J43" s="6">
        <f>I43*G43</f>
        <v>0.16014400294199999</v>
      </c>
      <c r="K43" s="2" t="s">
        <v>32</v>
      </c>
      <c r="L43" s="2">
        <f>4.3/100</f>
        <v>4.2999999999999997E-2</v>
      </c>
      <c r="M43" s="2">
        <f>L43*G43</f>
        <v>1.5336730793999998E-2</v>
      </c>
    </row>
    <row r="44" spans="1:13" x14ac:dyDescent="0.25">
      <c r="A44" s="4">
        <v>26.620999999999999</v>
      </c>
      <c r="B44" s="4" t="s">
        <v>2</v>
      </c>
      <c r="C44" s="5">
        <f t="shared" si="0"/>
        <v>0.154</v>
      </c>
      <c r="D44" s="6">
        <f t="shared" si="4"/>
        <v>4.099634</v>
      </c>
      <c r="E44" s="2" t="s">
        <v>18</v>
      </c>
      <c r="F44" s="6">
        <f t="shared" ref="F44:F50" si="20">8.7/100</f>
        <v>8.6999999999999994E-2</v>
      </c>
      <c r="G44" s="6">
        <f t="shared" si="11"/>
        <v>0.35666815799999996</v>
      </c>
      <c r="H44" s="6" t="s">
        <v>12</v>
      </c>
      <c r="I44" s="8">
        <f>9.9/100</f>
        <v>9.9000000000000005E-2</v>
      </c>
      <c r="J44" s="6">
        <f t="shared" ref="J44:J49" si="21">I44*G44</f>
        <v>3.5310147641999995E-2</v>
      </c>
      <c r="K44" s="2" t="s">
        <v>33</v>
      </c>
      <c r="L44" s="2">
        <f>10/100</f>
        <v>0.1</v>
      </c>
      <c r="M44" s="2">
        <f t="shared" ref="M44:M50" si="22">L44*G44</f>
        <v>3.5666815799999994E-2</v>
      </c>
    </row>
    <row r="45" spans="1:13" x14ac:dyDescent="0.25">
      <c r="A45" s="4">
        <v>26.620999999999999</v>
      </c>
      <c r="B45" s="4" t="s">
        <v>2</v>
      </c>
      <c r="C45" s="5">
        <f t="shared" si="0"/>
        <v>0.154</v>
      </c>
      <c r="D45" s="6">
        <f t="shared" si="4"/>
        <v>4.099634</v>
      </c>
      <c r="E45" s="2" t="s">
        <v>18</v>
      </c>
      <c r="F45" s="6">
        <f t="shared" si="20"/>
        <v>8.6999999999999994E-2</v>
      </c>
      <c r="G45" s="6">
        <f t="shared" si="11"/>
        <v>0.35666815799999996</v>
      </c>
      <c r="H45" s="6" t="s">
        <v>7</v>
      </c>
      <c r="I45" s="8">
        <f>1.8/100</f>
        <v>1.8000000000000002E-2</v>
      </c>
      <c r="J45" s="6">
        <f t="shared" si="21"/>
        <v>6.4200268439999998E-3</v>
      </c>
      <c r="K45" s="2" t="s">
        <v>34</v>
      </c>
      <c r="L45" s="2">
        <f>14.2/100</f>
        <v>0.14199999999999999</v>
      </c>
      <c r="M45" s="2">
        <f t="shared" si="22"/>
        <v>5.0646878435999992E-2</v>
      </c>
    </row>
    <row r="46" spans="1:13" x14ac:dyDescent="0.25">
      <c r="A46" s="4">
        <v>26.620999999999999</v>
      </c>
      <c r="B46" s="4" t="s">
        <v>2</v>
      </c>
      <c r="C46" s="5">
        <f t="shared" si="0"/>
        <v>0.154</v>
      </c>
      <c r="D46" s="6">
        <f t="shared" si="4"/>
        <v>4.099634</v>
      </c>
      <c r="E46" s="2" t="s">
        <v>18</v>
      </c>
      <c r="F46" s="6">
        <f t="shared" si="20"/>
        <v>8.6999999999999994E-2</v>
      </c>
      <c r="G46" s="6">
        <f t="shared" si="11"/>
        <v>0.35666815799999996</v>
      </c>
      <c r="H46" s="6" t="s">
        <v>8</v>
      </c>
      <c r="I46" s="8">
        <f>21.2/100</f>
        <v>0.21199999999999999</v>
      </c>
      <c r="J46" s="6">
        <f>I49*G46</f>
        <v>3.2100134219999999E-3</v>
      </c>
      <c r="K46" s="2" t="s">
        <v>35</v>
      </c>
      <c r="L46" s="2">
        <f>25.8/100</f>
        <v>0.25800000000000001</v>
      </c>
      <c r="M46" s="2">
        <f t="shared" si="22"/>
        <v>9.2020384763999985E-2</v>
      </c>
    </row>
    <row r="47" spans="1:13" x14ac:dyDescent="0.25">
      <c r="A47" s="4">
        <v>26.620999999999999</v>
      </c>
      <c r="B47" s="4" t="s">
        <v>2</v>
      </c>
      <c r="C47" s="5">
        <f t="shared" si="0"/>
        <v>0.154</v>
      </c>
      <c r="D47" s="6">
        <f t="shared" si="4"/>
        <v>4.099634</v>
      </c>
      <c r="E47" s="2" t="s">
        <v>18</v>
      </c>
      <c r="F47" s="6">
        <f t="shared" si="20"/>
        <v>8.6999999999999994E-2</v>
      </c>
      <c r="G47" s="6">
        <f t="shared" si="11"/>
        <v>0.35666815799999996</v>
      </c>
      <c r="H47" s="6" t="s">
        <v>10</v>
      </c>
      <c r="I47" s="8">
        <f>4/100</f>
        <v>0.04</v>
      </c>
      <c r="J47" s="6">
        <f>I46*G47</f>
        <v>7.5613649495999982E-2</v>
      </c>
      <c r="K47" s="2" t="s">
        <v>36</v>
      </c>
      <c r="L47" s="2">
        <f>27.2/100</f>
        <v>0.27200000000000002</v>
      </c>
      <c r="M47" s="2">
        <f t="shared" si="22"/>
        <v>9.7013738975999991E-2</v>
      </c>
    </row>
    <row r="48" spans="1:13" x14ac:dyDescent="0.25">
      <c r="A48" s="4">
        <v>26.620999999999999</v>
      </c>
      <c r="B48" s="4" t="s">
        <v>2</v>
      </c>
      <c r="C48" s="5">
        <f t="shared" si="0"/>
        <v>0.154</v>
      </c>
      <c r="D48" s="6">
        <f t="shared" si="4"/>
        <v>4.099634</v>
      </c>
      <c r="E48" s="2" t="s">
        <v>48</v>
      </c>
      <c r="F48" s="6">
        <f t="shared" si="20"/>
        <v>8.6999999999999994E-2</v>
      </c>
      <c r="G48" s="6">
        <f t="shared" si="11"/>
        <v>0.35666815799999996</v>
      </c>
      <c r="H48" s="6" t="s">
        <v>9</v>
      </c>
      <c r="I48" s="8">
        <f>17.3/100</f>
        <v>0.17300000000000001</v>
      </c>
      <c r="J48" s="6">
        <f t="shared" si="21"/>
        <v>6.1703591333999996E-2</v>
      </c>
      <c r="K48" s="2" t="s">
        <v>37</v>
      </c>
      <c r="L48" s="2">
        <f>14.9/100</f>
        <v>0.14899999999999999</v>
      </c>
      <c r="M48" s="2">
        <f t="shared" si="22"/>
        <v>5.3143555541999989E-2</v>
      </c>
    </row>
    <row r="49" spans="1:13" x14ac:dyDescent="0.25">
      <c r="A49" s="4">
        <v>26.620999999999999</v>
      </c>
      <c r="B49" s="4" t="s">
        <v>2</v>
      </c>
      <c r="C49" s="5">
        <f t="shared" si="0"/>
        <v>0.154</v>
      </c>
      <c r="D49" s="6">
        <f t="shared" si="4"/>
        <v>4.099634</v>
      </c>
      <c r="E49" s="2" t="s">
        <v>18</v>
      </c>
      <c r="F49" s="6">
        <f t="shared" si="20"/>
        <v>8.6999999999999994E-2</v>
      </c>
      <c r="G49" s="6">
        <f t="shared" si="11"/>
        <v>0.35666815799999996</v>
      </c>
      <c r="H49" s="6" t="s">
        <v>55</v>
      </c>
      <c r="I49" s="8">
        <f>0.9/100</f>
        <v>9.0000000000000011E-3</v>
      </c>
      <c r="J49" s="6">
        <f t="shared" si="21"/>
        <v>3.2100134219999999E-3</v>
      </c>
      <c r="K49" s="2" t="s">
        <v>38</v>
      </c>
      <c r="L49" s="2">
        <f>2.3/100</f>
        <v>2.3E-2</v>
      </c>
      <c r="M49" s="2">
        <f t="shared" si="22"/>
        <v>8.2033676339999997E-3</v>
      </c>
    </row>
    <row r="50" spans="1:13" x14ac:dyDescent="0.25">
      <c r="A50" s="4">
        <v>26.620999999999999</v>
      </c>
      <c r="B50" s="4" t="s">
        <v>2</v>
      </c>
      <c r="C50" s="5">
        <f t="shared" si="0"/>
        <v>0.154</v>
      </c>
      <c r="D50" s="6">
        <f t="shared" si="4"/>
        <v>4.099634</v>
      </c>
      <c r="E50" s="2" t="s">
        <v>18</v>
      </c>
      <c r="F50" s="6">
        <f t="shared" si="20"/>
        <v>8.6999999999999994E-2</v>
      </c>
      <c r="G50" s="6">
        <f t="shared" si="11"/>
        <v>0.35666815799999996</v>
      </c>
      <c r="H50" s="6"/>
      <c r="I50" s="6"/>
      <c r="J50" s="6"/>
      <c r="K50" s="2" t="s">
        <v>39</v>
      </c>
      <c r="L50" s="2">
        <f>1.3/100</f>
        <v>1.3000000000000001E-2</v>
      </c>
      <c r="M50" s="2">
        <f t="shared" si="22"/>
        <v>4.6366860539999999E-3</v>
      </c>
    </row>
    <row r="51" spans="1:13" x14ac:dyDescent="0.25">
      <c r="A51" s="4">
        <v>26.620999999999999</v>
      </c>
      <c r="B51" s="2" t="s">
        <v>19</v>
      </c>
      <c r="C51" s="6">
        <f>84.6/100</f>
        <v>0.84599999999999997</v>
      </c>
      <c r="D51" s="6">
        <f t="shared" si="4"/>
        <v>22.521365999999997</v>
      </c>
      <c r="E51" s="6" t="s">
        <v>54</v>
      </c>
      <c r="F51" s="6">
        <f>81.5/100</f>
        <v>0.81499999999999995</v>
      </c>
      <c r="G51" s="6">
        <f t="shared" si="11"/>
        <v>18.354913289999995</v>
      </c>
      <c r="H51" s="6" t="s">
        <v>11</v>
      </c>
      <c r="I51" s="6">
        <f>13.8/100</f>
        <v>0.13800000000000001</v>
      </c>
      <c r="J51" s="6">
        <f>I51*G51</f>
        <v>2.5329780340199997</v>
      </c>
      <c r="K51" s="2" t="s">
        <v>32</v>
      </c>
      <c r="L51" s="2">
        <f>4/100</f>
        <v>0.04</v>
      </c>
      <c r="M51" s="2">
        <f>L51*G51</f>
        <v>0.73419653159999987</v>
      </c>
    </row>
    <row r="52" spans="1:13" x14ac:dyDescent="0.25">
      <c r="A52" s="4">
        <v>26.620999999999999</v>
      </c>
      <c r="B52" s="2" t="s">
        <v>19</v>
      </c>
      <c r="C52" s="6">
        <f t="shared" ref="C52:C98" si="23">84.6/100</f>
        <v>0.84599999999999997</v>
      </c>
      <c r="D52" s="6">
        <f t="shared" si="4"/>
        <v>22.521365999999997</v>
      </c>
      <c r="E52" s="6" t="s">
        <v>14</v>
      </c>
      <c r="F52" s="6">
        <f t="shared" ref="F52:F58" si="24">81.5/100</f>
        <v>0.81499999999999995</v>
      </c>
      <c r="G52" s="6">
        <f t="shared" si="11"/>
        <v>18.354913289999995</v>
      </c>
      <c r="H52" s="6" t="s">
        <v>12</v>
      </c>
      <c r="I52" s="6">
        <f>18.3/100</f>
        <v>0.183</v>
      </c>
      <c r="J52" s="6">
        <f t="shared" ref="J52:J55" si="25">I52*G52</f>
        <v>3.3589491320699989</v>
      </c>
      <c r="K52" s="2" t="s">
        <v>33</v>
      </c>
      <c r="L52" s="2">
        <f>10.6/100</f>
        <v>0.106</v>
      </c>
      <c r="M52" s="2">
        <f t="shared" ref="M52:M58" si="26">L52*G52</f>
        <v>1.9456208087399995</v>
      </c>
    </row>
    <row r="53" spans="1:13" x14ac:dyDescent="0.25">
      <c r="A53" s="4">
        <v>26.620999999999999</v>
      </c>
      <c r="B53" s="2" t="s">
        <v>19</v>
      </c>
      <c r="C53" s="6">
        <f t="shared" si="23"/>
        <v>0.84599999999999997</v>
      </c>
      <c r="D53" s="6">
        <f t="shared" si="4"/>
        <v>22.521365999999997</v>
      </c>
      <c r="E53" s="6" t="s">
        <v>14</v>
      </c>
      <c r="F53" s="6">
        <f t="shared" si="24"/>
        <v>0.81499999999999995</v>
      </c>
      <c r="G53" s="6">
        <f t="shared" si="11"/>
        <v>18.354913289999995</v>
      </c>
      <c r="H53" s="6" t="s">
        <v>7</v>
      </c>
      <c r="I53" s="14">
        <f>3.1/100</f>
        <v>3.1E-2</v>
      </c>
      <c r="J53" s="6">
        <f t="shared" si="25"/>
        <v>0.56900231198999984</v>
      </c>
      <c r="K53" s="2" t="s">
        <v>34</v>
      </c>
      <c r="L53" s="2">
        <f>15.4/100</f>
        <v>0.154</v>
      </c>
      <c r="M53" s="2">
        <f t="shared" si="26"/>
        <v>2.8266566466599992</v>
      </c>
    </row>
    <row r="54" spans="1:13" x14ac:dyDescent="0.25">
      <c r="A54" s="4">
        <v>26.620999999999999</v>
      </c>
      <c r="B54" s="2" t="s">
        <v>19</v>
      </c>
      <c r="C54" s="6">
        <f t="shared" si="23"/>
        <v>0.84599999999999997</v>
      </c>
      <c r="D54" s="6">
        <f t="shared" si="4"/>
        <v>22.521365999999997</v>
      </c>
      <c r="E54" s="6" t="s">
        <v>14</v>
      </c>
      <c r="F54" s="6">
        <f t="shared" si="24"/>
        <v>0.81499999999999995</v>
      </c>
      <c r="G54" s="6">
        <f t="shared" si="11"/>
        <v>18.354913289999995</v>
      </c>
      <c r="H54" s="6" t="s">
        <v>8</v>
      </c>
      <c r="I54" s="6">
        <f>35.3/100</f>
        <v>0.35299999999999998</v>
      </c>
      <c r="J54" s="6">
        <f t="shared" si="25"/>
        <v>6.4792843913699985</v>
      </c>
      <c r="K54" s="2" t="s">
        <v>35</v>
      </c>
      <c r="L54" s="2">
        <f>26.6/100</f>
        <v>0.26600000000000001</v>
      </c>
      <c r="M54" s="2">
        <f t="shared" si="26"/>
        <v>4.8824069351399988</v>
      </c>
    </row>
    <row r="55" spans="1:13" x14ac:dyDescent="0.25">
      <c r="A55" s="4">
        <v>26.620999999999999</v>
      </c>
      <c r="B55" s="2" t="s">
        <v>19</v>
      </c>
      <c r="C55" s="6">
        <f t="shared" si="23"/>
        <v>0.84599999999999997</v>
      </c>
      <c r="D55" s="6">
        <f t="shared" si="4"/>
        <v>22.521365999999997</v>
      </c>
      <c r="E55" s="6" t="s">
        <v>14</v>
      </c>
      <c r="F55" s="6">
        <f t="shared" si="24"/>
        <v>0.81499999999999995</v>
      </c>
      <c r="G55" s="6">
        <f t="shared" si="11"/>
        <v>18.354913289999995</v>
      </c>
      <c r="H55" s="6" t="s">
        <v>10</v>
      </c>
      <c r="I55" s="6">
        <f>4.1/100</f>
        <v>4.0999999999999995E-2</v>
      </c>
      <c r="J55" s="6">
        <f t="shared" si="25"/>
        <v>0.7525514448899997</v>
      </c>
      <c r="K55" s="2" t="s">
        <v>36</v>
      </c>
      <c r="L55" s="2">
        <f>19/100</f>
        <v>0.19</v>
      </c>
      <c r="M55" s="2">
        <f t="shared" si="26"/>
        <v>3.4874335250999993</v>
      </c>
    </row>
    <row r="56" spans="1:13" x14ac:dyDescent="0.25">
      <c r="A56" s="4">
        <v>26.620999999999999</v>
      </c>
      <c r="B56" s="2" t="s">
        <v>19</v>
      </c>
      <c r="C56" s="6">
        <f t="shared" si="23"/>
        <v>0.84599999999999997</v>
      </c>
      <c r="D56" s="6">
        <f t="shared" si="4"/>
        <v>22.521365999999997</v>
      </c>
      <c r="E56" s="6" t="s">
        <v>14</v>
      </c>
      <c r="F56" s="6">
        <f t="shared" si="24"/>
        <v>0.81499999999999995</v>
      </c>
      <c r="G56" s="6">
        <f t="shared" si="11"/>
        <v>18.354913289999995</v>
      </c>
      <c r="H56" s="6" t="s">
        <v>9</v>
      </c>
      <c r="I56" s="6">
        <f>22.6/100</f>
        <v>0.22600000000000001</v>
      </c>
      <c r="J56" s="6">
        <f>I57*G56</f>
        <v>0.5139375721199998</v>
      </c>
      <c r="K56" s="2" t="s">
        <v>37</v>
      </c>
      <c r="L56" s="2">
        <f>19.1/100</f>
        <v>0.191</v>
      </c>
      <c r="M56" s="2">
        <f t="shared" si="26"/>
        <v>3.5057884383899993</v>
      </c>
    </row>
    <row r="57" spans="1:13" x14ac:dyDescent="0.25">
      <c r="A57" s="4">
        <v>26.620999999999999</v>
      </c>
      <c r="B57" s="2" t="s">
        <v>19</v>
      </c>
      <c r="C57" s="6">
        <f t="shared" si="23"/>
        <v>0.84599999999999997</v>
      </c>
      <c r="D57" s="6">
        <f t="shared" si="4"/>
        <v>22.521365999999997</v>
      </c>
      <c r="E57" s="6" t="s">
        <v>14</v>
      </c>
      <c r="F57" s="6">
        <f t="shared" si="24"/>
        <v>0.81499999999999995</v>
      </c>
      <c r="G57" s="6">
        <f t="shared" si="11"/>
        <v>18.354913289999995</v>
      </c>
      <c r="H57" s="6" t="s">
        <v>55</v>
      </c>
      <c r="I57" s="6">
        <f>2.8/100</f>
        <v>2.7999999999999997E-2</v>
      </c>
      <c r="J57" s="6"/>
      <c r="K57" s="2" t="s">
        <v>38</v>
      </c>
      <c r="L57" s="2">
        <f>3.8/100</f>
        <v>3.7999999999999999E-2</v>
      </c>
      <c r="M57" s="2">
        <f t="shared" si="26"/>
        <v>0.69748670501999976</v>
      </c>
    </row>
    <row r="58" spans="1:13" x14ac:dyDescent="0.25">
      <c r="A58" s="4">
        <v>26.620999999999999</v>
      </c>
      <c r="B58" s="2" t="s">
        <v>19</v>
      </c>
      <c r="C58" s="6">
        <f t="shared" si="23"/>
        <v>0.84599999999999997</v>
      </c>
      <c r="D58" s="6">
        <f t="shared" si="4"/>
        <v>22.521365999999997</v>
      </c>
      <c r="E58" s="6" t="s">
        <v>14</v>
      </c>
      <c r="F58" s="6">
        <f t="shared" si="24"/>
        <v>0.81499999999999995</v>
      </c>
      <c r="G58" s="6">
        <f t="shared" si="11"/>
        <v>18.354913289999995</v>
      </c>
      <c r="H58" s="6"/>
      <c r="I58" s="6"/>
      <c r="J58" s="6"/>
      <c r="K58" s="2" t="s">
        <v>39</v>
      </c>
      <c r="L58" s="2">
        <f>1.6/100</f>
        <v>1.6E-2</v>
      </c>
      <c r="M58" s="2">
        <f t="shared" si="26"/>
        <v>0.29367861263999995</v>
      </c>
    </row>
    <row r="59" spans="1:13" x14ac:dyDescent="0.25">
      <c r="A59" s="4">
        <v>26.620999999999999</v>
      </c>
      <c r="B59" s="2" t="s">
        <v>19</v>
      </c>
      <c r="C59" s="6">
        <f t="shared" si="23"/>
        <v>0.84599999999999997</v>
      </c>
      <c r="D59" s="6">
        <f t="shared" si="4"/>
        <v>22.521365999999997</v>
      </c>
      <c r="E59" s="6" t="s">
        <v>52</v>
      </c>
      <c r="F59" s="6">
        <f>89.2/100</f>
        <v>0.89200000000000002</v>
      </c>
      <c r="G59" s="6">
        <f t="shared" si="11"/>
        <v>20.089058471999998</v>
      </c>
      <c r="H59" s="6" t="s">
        <v>11</v>
      </c>
      <c r="I59" s="6">
        <f>4.4/100</f>
        <v>4.4000000000000004E-2</v>
      </c>
      <c r="J59" s="6">
        <f>I59*G59</f>
        <v>0.88391857276800001</v>
      </c>
      <c r="K59" s="2" t="s">
        <v>32</v>
      </c>
      <c r="L59" s="2">
        <f>3.6/100</f>
        <v>3.6000000000000004E-2</v>
      </c>
      <c r="M59" s="2">
        <f>L59*G59</f>
        <v>0.723206104992</v>
      </c>
    </row>
    <row r="60" spans="1:13" x14ac:dyDescent="0.25">
      <c r="A60" s="4">
        <v>26.620999999999999</v>
      </c>
      <c r="B60" s="2" t="s">
        <v>19</v>
      </c>
      <c r="C60" s="6">
        <f t="shared" si="23"/>
        <v>0.84599999999999997</v>
      </c>
      <c r="D60" s="6">
        <f t="shared" si="4"/>
        <v>22.521365999999997</v>
      </c>
      <c r="E60" s="6" t="s">
        <v>15</v>
      </c>
      <c r="F60" s="6">
        <f t="shared" ref="F60:F66" si="27">89.2/100</f>
        <v>0.89200000000000002</v>
      </c>
      <c r="G60" s="6">
        <f t="shared" si="11"/>
        <v>20.089058471999998</v>
      </c>
      <c r="H60" s="6" t="s">
        <v>12</v>
      </c>
      <c r="I60" s="6">
        <f>26/100</f>
        <v>0.26</v>
      </c>
      <c r="J60" s="6">
        <f t="shared" ref="J60:J64" si="28">I60*G60</f>
        <v>5.2231552027199992</v>
      </c>
      <c r="K60" s="2" t="s">
        <v>33</v>
      </c>
      <c r="L60" s="2">
        <f>10.9/100</f>
        <v>0.109</v>
      </c>
      <c r="M60" s="2">
        <f t="shared" ref="M60:M66" si="29">L60*G60</f>
        <v>2.1897073734479999</v>
      </c>
    </row>
    <row r="61" spans="1:13" x14ac:dyDescent="0.25">
      <c r="A61" s="4">
        <v>26.620999999999999</v>
      </c>
      <c r="B61" s="2" t="s">
        <v>19</v>
      </c>
      <c r="C61" s="6">
        <f t="shared" si="23"/>
        <v>0.84599999999999997</v>
      </c>
      <c r="D61" s="6">
        <f t="shared" si="4"/>
        <v>22.521365999999997</v>
      </c>
      <c r="E61" s="6" t="s">
        <v>15</v>
      </c>
      <c r="F61" s="6">
        <f t="shared" si="27"/>
        <v>0.89200000000000002</v>
      </c>
      <c r="G61" s="6">
        <f t="shared" si="11"/>
        <v>20.089058471999998</v>
      </c>
      <c r="H61" s="6" t="s">
        <v>7</v>
      </c>
      <c r="I61" s="6">
        <f>1.2/100</f>
        <v>1.2E-2</v>
      </c>
      <c r="J61" s="6">
        <f t="shared" si="28"/>
        <v>0.24106870166399999</v>
      </c>
      <c r="K61" s="2" t="s">
        <v>34</v>
      </c>
      <c r="L61" s="2">
        <f>22.5/100</f>
        <v>0.22500000000000001</v>
      </c>
      <c r="M61" s="2">
        <f t="shared" si="29"/>
        <v>4.5200381562</v>
      </c>
    </row>
    <row r="62" spans="1:13" x14ac:dyDescent="0.25">
      <c r="A62" s="4">
        <v>26.620999999999999</v>
      </c>
      <c r="B62" s="2" t="s">
        <v>19</v>
      </c>
      <c r="C62" s="6">
        <f t="shared" si="23"/>
        <v>0.84599999999999997</v>
      </c>
      <c r="D62" s="6">
        <f t="shared" si="4"/>
        <v>22.521365999999997</v>
      </c>
      <c r="E62" s="6" t="s">
        <v>15</v>
      </c>
      <c r="F62" s="6">
        <f t="shared" si="27"/>
        <v>0.89200000000000002</v>
      </c>
      <c r="G62" s="6">
        <f t="shared" si="11"/>
        <v>20.089058471999998</v>
      </c>
      <c r="H62" s="6" t="s">
        <v>8</v>
      </c>
      <c r="I62" s="6">
        <f>36.8/100</f>
        <v>0.36799999999999999</v>
      </c>
      <c r="J62" s="6">
        <f t="shared" si="28"/>
        <v>7.392773517695999</v>
      </c>
      <c r="K62" s="2" t="s">
        <v>35</v>
      </c>
      <c r="L62" s="2">
        <f>29.5/100</f>
        <v>0.29499999999999998</v>
      </c>
      <c r="M62" s="2">
        <f t="shared" si="29"/>
        <v>5.9262722492399993</v>
      </c>
    </row>
    <row r="63" spans="1:13" x14ac:dyDescent="0.25">
      <c r="A63" s="4">
        <v>26.620999999999999</v>
      </c>
      <c r="B63" s="2" t="s">
        <v>19</v>
      </c>
      <c r="C63" s="6">
        <f t="shared" si="23"/>
        <v>0.84599999999999997</v>
      </c>
      <c r="D63" s="6">
        <f t="shared" si="4"/>
        <v>22.521365999999997</v>
      </c>
      <c r="E63" s="6" t="s">
        <v>15</v>
      </c>
      <c r="F63" s="6">
        <f t="shared" si="27"/>
        <v>0.89200000000000002</v>
      </c>
      <c r="G63" s="6">
        <f t="shared" si="11"/>
        <v>20.089058471999998</v>
      </c>
      <c r="H63" s="6" t="s">
        <v>10</v>
      </c>
      <c r="I63" s="6">
        <f>3.4/100</f>
        <v>3.4000000000000002E-2</v>
      </c>
      <c r="J63" s="6">
        <f t="shared" si="28"/>
        <v>0.68302798804800002</v>
      </c>
      <c r="K63" s="2" t="s">
        <v>36</v>
      </c>
      <c r="L63" s="2">
        <f>22.3/100</f>
        <v>0.223</v>
      </c>
      <c r="M63" s="2">
        <f t="shared" si="29"/>
        <v>4.4798600392559997</v>
      </c>
    </row>
    <row r="64" spans="1:13" x14ac:dyDescent="0.25">
      <c r="A64" s="4">
        <v>26.620999999999999</v>
      </c>
      <c r="B64" s="2" t="s">
        <v>19</v>
      </c>
      <c r="C64" s="6">
        <f t="shared" si="23"/>
        <v>0.84599999999999997</v>
      </c>
      <c r="D64" s="6">
        <f t="shared" si="4"/>
        <v>22.521365999999997</v>
      </c>
      <c r="E64" s="6" t="s">
        <v>15</v>
      </c>
      <c r="F64" s="6">
        <f t="shared" si="27"/>
        <v>0.89200000000000002</v>
      </c>
      <c r="G64" s="6">
        <f t="shared" si="11"/>
        <v>20.089058471999998</v>
      </c>
      <c r="H64" s="6" t="s">
        <v>9</v>
      </c>
      <c r="I64" s="6">
        <f>26.7/100</f>
        <v>0.26700000000000002</v>
      </c>
      <c r="J64" s="6">
        <f t="shared" si="28"/>
        <v>5.3637786120239994</v>
      </c>
      <c r="K64" s="2" t="s">
        <v>37</v>
      </c>
      <c r="L64" s="2">
        <f>10.8/100</f>
        <v>0.10800000000000001</v>
      </c>
      <c r="M64" s="2">
        <f t="shared" si="29"/>
        <v>2.1696183149760002</v>
      </c>
    </row>
    <row r="65" spans="1:13" x14ac:dyDescent="0.25">
      <c r="A65" s="4">
        <v>26.620999999999999</v>
      </c>
      <c r="B65" s="2" t="s">
        <v>19</v>
      </c>
      <c r="C65" s="6">
        <f t="shared" si="23"/>
        <v>0.84599999999999997</v>
      </c>
      <c r="D65" s="6">
        <f t="shared" si="4"/>
        <v>22.521365999999997</v>
      </c>
      <c r="E65" s="6" t="s">
        <v>15</v>
      </c>
      <c r="F65" s="6">
        <f t="shared" si="27"/>
        <v>0.89200000000000002</v>
      </c>
      <c r="G65" s="6">
        <f t="shared" si="11"/>
        <v>20.089058471999998</v>
      </c>
      <c r="H65" s="6" t="s">
        <v>55</v>
      </c>
      <c r="I65" s="6">
        <f>1.5/100</f>
        <v>1.4999999999999999E-2</v>
      </c>
      <c r="J65" s="6"/>
      <c r="K65" s="2" t="s">
        <v>38</v>
      </c>
      <c r="L65" s="2">
        <f>0.6/100</f>
        <v>6.0000000000000001E-3</v>
      </c>
      <c r="M65" s="2">
        <f t="shared" si="29"/>
        <v>0.120534350832</v>
      </c>
    </row>
    <row r="66" spans="1:13" x14ac:dyDescent="0.25">
      <c r="A66" s="4">
        <v>26.620999999999999</v>
      </c>
      <c r="B66" s="2" t="s">
        <v>19</v>
      </c>
      <c r="C66" s="6">
        <f t="shared" si="23"/>
        <v>0.84599999999999997</v>
      </c>
      <c r="D66" s="6">
        <f t="shared" si="4"/>
        <v>22.521365999999997</v>
      </c>
      <c r="E66" s="6" t="s">
        <v>15</v>
      </c>
      <c r="F66" s="6">
        <f t="shared" si="27"/>
        <v>0.89200000000000002</v>
      </c>
      <c r="G66" s="6">
        <f t="shared" si="11"/>
        <v>20.089058471999998</v>
      </c>
      <c r="H66" s="6"/>
      <c r="I66" s="6"/>
      <c r="J66" s="6"/>
      <c r="K66" s="2" t="s">
        <v>39</v>
      </c>
      <c r="L66" s="2">
        <f>0/100</f>
        <v>0</v>
      </c>
      <c r="M66" s="2">
        <f t="shared" si="29"/>
        <v>0</v>
      </c>
    </row>
    <row r="67" spans="1:13" x14ac:dyDescent="0.25">
      <c r="A67" s="4">
        <v>26.620999999999999</v>
      </c>
      <c r="B67" s="2" t="s">
        <v>19</v>
      </c>
      <c r="C67" s="6">
        <f t="shared" si="23"/>
        <v>0.84599999999999997</v>
      </c>
      <c r="D67" s="6">
        <f t="shared" si="4"/>
        <v>22.521365999999997</v>
      </c>
      <c r="E67" s="6" t="s">
        <v>53</v>
      </c>
      <c r="F67" s="6">
        <f>85.4/100</f>
        <v>0.85400000000000009</v>
      </c>
      <c r="G67" s="6">
        <f t="shared" si="11"/>
        <v>19.233246563999998</v>
      </c>
      <c r="H67" s="6" t="s">
        <v>11</v>
      </c>
      <c r="I67" s="6">
        <f>13.3/100</f>
        <v>0.13300000000000001</v>
      </c>
      <c r="J67" s="6">
        <f>I67*G67</f>
        <v>2.5580217930119997</v>
      </c>
      <c r="K67" s="2" t="s">
        <v>32</v>
      </c>
      <c r="L67" s="2">
        <f>4.5/100</f>
        <v>4.4999999999999998E-2</v>
      </c>
      <c r="M67" s="2">
        <f>L67*G67</f>
        <v>0.86549609537999983</v>
      </c>
    </row>
    <row r="68" spans="1:13" x14ac:dyDescent="0.25">
      <c r="A68" s="4">
        <v>26.620999999999999</v>
      </c>
      <c r="B68" s="2" t="s">
        <v>19</v>
      </c>
      <c r="C68" s="6">
        <f t="shared" si="23"/>
        <v>0.84599999999999997</v>
      </c>
      <c r="D68" s="6">
        <f t="shared" si="4"/>
        <v>22.521365999999997</v>
      </c>
      <c r="E68" s="6" t="s">
        <v>16</v>
      </c>
      <c r="F68" s="6">
        <f t="shared" ref="F68:F74" si="30">85.4/100</f>
        <v>0.85400000000000009</v>
      </c>
      <c r="G68" s="6">
        <f t="shared" si="11"/>
        <v>19.233246563999998</v>
      </c>
      <c r="H68" s="6" t="s">
        <v>12</v>
      </c>
      <c r="I68" s="6">
        <f>21.7/100</f>
        <v>0.217</v>
      </c>
      <c r="J68" s="6">
        <f t="shared" ref="J68:J72" si="31">I68*G68</f>
        <v>4.1736145043879995</v>
      </c>
      <c r="K68" s="2" t="s">
        <v>33</v>
      </c>
      <c r="L68" s="2">
        <f>12.2/100</f>
        <v>0.122</v>
      </c>
      <c r="M68" s="2">
        <f t="shared" ref="M68:M74" si="32">L68*G68</f>
        <v>2.3464560808079997</v>
      </c>
    </row>
    <row r="69" spans="1:13" x14ac:dyDescent="0.25">
      <c r="A69" s="4">
        <v>26.620999999999999</v>
      </c>
      <c r="B69" s="2" t="s">
        <v>19</v>
      </c>
      <c r="C69" s="6">
        <f t="shared" si="23"/>
        <v>0.84599999999999997</v>
      </c>
      <c r="D69" s="6">
        <f t="shared" si="4"/>
        <v>22.521365999999997</v>
      </c>
      <c r="E69" s="6" t="s">
        <v>16</v>
      </c>
      <c r="F69" s="6">
        <f t="shared" si="30"/>
        <v>0.85400000000000009</v>
      </c>
      <c r="G69" s="6">
        <f t="shared" si="11"/>
        <v>19.233246563999998</v>
      </c>
      <c r="H69" s="6" t="s">
        <v>7</v>
      </c>
      <c r="I69" s="6">
        <f>2.9/100</f>
        <v>2.8999999999999998E-2</v>
      </c>
      <c r="J69" s="6">
        <f t="shared" si="31"/>
        <v>0.55776415035599991</v>
      </c>
      <c r="K69" s="2" t="s">
        <v>34</v>
      </c>
      <c r="L69" s="2">
        <f>15.7/100</f>
        <v>0.157</v>
      </c>
      <c r="M69" s="2">
        <f t="shared" si="32"/>
        <v>3.0196197105479996</v>
      </c>
    </row>
    <row r="70" spans="1:13" x14ac:dyDescent="0.25">
      <c r="A70" s="4">
        <v>26.620999999999999</v>
      </c>
      <c r="B70" s="2" t="s">
        <v>19</v>
      </c>
      <c r="C70" s="6">
        <f t="shared" si="23"/>
        <v>0.84599999999999997</v>
      </c>
      <c r="D70" s="6">
        <f t="shared" si="4"/>
        <v>22.521365999999997</v>
      </c>
      <c r="E70" s="6" t="s">
        <v>16</v>
      </c>
      <c r="F70" s="6">
        <f t="shared" si="30"/>
        <v>0.85400000000000009</v>
      </c>
      <c r="G70" s="6">
        <f t="shared" si="11"/>
        <v>19.233246563999998</v>
      </c>
      <c r="H70" s="6" t="s">
        <v>8</v>
      </c>
      <c r="I70" s="6">
        <f>35/100</f>
        <v>0.35</v>
      </c>
      <c r="J70" s="6">
        <f t="shared" si="31"/>
        <v>6.7316362973999988</v>
      </c>
      <c r="K70" s="2" t="s">
        <v>35</v>
      </c>
      <c r="L70" s="2">
        <f>25.1/100</f>
        <v>0.251</v>
      </c>
      <c r="M70" s="2">
        <f t="shared" si="32"/>
        <v>4.8275448875639997</v>
      </c>
    </row>
    <row r="71" spans="1:13" x14ac:dyDescent="0.25">
      <c r="A71" s="4">
        <v>26.620999999999999</v>
      </c>
      <c r="B71" s="2" t="s">
        <v>19</v>
      </c>
      <c r="C71" s="6">
        <f t="shared" si="23"/>
        <v>0.84599999999999997</v>
      </c>
      <c r="D71" s="6">
        <f t="shared" si="4"/>
        <v>22.521365999999997</v>
      </c>
      <c r="E71" s="6" t="s">
        <v>16</v>
      </c>
      <c r="F71" s="6">
        <f t="shared" si="30"/>
        <v>0.85400000000000009</v>
      </c>
      <c r="G71" s="6">
        <f t="shared" si="11"/>
        <v>19.233246563999998</v>
      </c>
      <c r="H71" s="6" t="s">
        <v>10</v>
      </c>
      <c r="I71" s="6">
        <f>4.8/100</f>
        <v>4.8000000000000001E-2</v>
      </c>
      <c r="J71" s="6">
        <f t="shared" si="31"/>
        <v>0.92319583507199998</v>
      </c>
      <c r="K71" s="2" t="s">
        <v>36</v>
      </c>
      <c r="L71" s="2">
        <f>21.4/100</f>
        <v>0.214</v>
      </c>
      <c r="M71" s="2">
        <f t="shared" si="32"/>
        <v>4.1159147646959999</v>
      </c>
    </row>
    <row r="72" spans="1:13" x14ac:dyDescent="0.25">
      <c r="A72" s="4">
        <v>26.620999999999999</v>
      </c>
      <c r="B72" s="2" t="s">
        <v>19</v>
      </c>
      <c r="C72" s="6">
        <f t="shared" si="23"/>
        <v>0.84599999999999997</v>
      </c>
      <c r="D72" s="6">
        <f t="shared" si="4"/>
        <v>22.521365999999997</v>
      </c>
      <c r="E72" s="6" t="s">
        <v>16</v>
      </c>
      <c r="F72" s="6">
        <f t="shared" si="30"/>
        <v>0.85400000000000009</v>
      </c>
      <c r="G72" s="6">
        <f t="shared" si="11"/>
        <v>19.233246563999998</v>
      </c>
      <c r="H72" s="6" t="s">
        <v>9</v>
      </c>
      <c r="I72" s="6">
        <f>19.2/100</f>
        <v>0.192</v>
      </c>
      <c r="J72" s="6">
        <f t="shared" si="31"/>
        <v>3.6927833402879999</v>
      </c>
      <c r="K72" s="2" t="s">
        <v>37</v>
      </c>
      <c r="L72" s="2">
        <f>17.1/100</f>
        <v>0.17100000000000001</v>
      </c>
      <c r="M72" s="2">
        <f t="shared" si="32"/>
        <v>3.2888851624440001</v>
      </c>
    </row>
    <row r="73" spans="1:13" x14ac:dyDescent="0.25">
      <c r="A73" s="4">
        <v>26.620999999999999</v>
      </c>
      <c r="B73" s="2" t="s">
        <v>19</v>
      </c>
      <c r="C73" s="6">
        <f t="shared" si="23"/>
        <v>0.84599999999999997</v>
      </c>
      <c r="D73" s="6">
        <f t="shared" si="4"/>
        <v>22.521365999999997</v>
      </c>
      <c r="E73" s="6" t="s">
        <v>16</v>
      </c>
      <c r="F73" s="6">
        <f t="shared" si="30"/>
        <v>0.85400000000000009</v>
      </c>
      <c r="G73" s="6">
        <f t="shared" si="11"/>
        <v>19.233246563999998</v>
      </c>
      <c r="H73" s="6" t="s">
        <v>55</v>
      </c>
      <c r="I73" s="6">
        <f>3.2/100</f>
        <v>3.2000000000000001E-2</v>
      </c>
      <c r="J73" s="6"/>
      <c r="K73" s="2" t="s">
        <v>38</v>
      </c>
      <c r="L73" s="2">
        <f>2.6/100</f>
        <v>2.6000000000000002E-2</v>
      </c>
      <c r="M73" s="2">
        <f t="shared" si="32"/>
        <v>0.50006441066399998</v>
      </c>
    </row>
    <row r="74" spans="1:13" x14ac:dyDescent="0.25">
      <c r="A74" s="4">
        <v>26.620999999999999</v>
      </c>
      <c r="B74" s="2" t="s">
        <v>19</v>
      </c>
      <c r="C74" s="6">
        <f t="shared" si="23"/>
        <v>0.84599999999999997</v>
      </c>
      <c r="D74" s="6">
        <f t="shared" si="4"/>
        <v>22.521365999999997</v>
      </c>
      <c r="E74" s="6" t="s">
        <v>16</v>
      </c>
      <c r="F74" s="6">
        <f t="shared" si="30"/>
        <v>0.85400000000000009</v>
      </c>
      <c r="G74" s="6">
        <f t="shared" si="11"/>
        <v>19.233246563999998</v>
      </c>
      <c r="H74" s="6"/>
      <c r="I74" s="6"/>
      <c r="J74" s="6"/>
      <c r="K74" s="2" t="s">
        <v>39</v>
      </c>
      <c r="L74" s="2">
        <f>1.3/100</f>
        <v>1.3000000000000001E-2</v>
      </c>
      <c r="M74" s="2">
        <f t="shared" si="32"/>
        <v>0.25003220533199999</v>
      </c>
    </row>
    <row r="75" spans="1:13" x14ac:dyDescent="0.25">
      <c r="A75" s="4">
        <v>26.620999999999999</v>
      </c>
      <c r="B75" s="2" t="s">
        <v>19</v>
      </c>
      <c r="C75" s="6">
        <f t="shared" si="23"/>
        <v>0.84599999999999997</v>
      </c>
      <c r="D75" s="6">
        <f t="shared" si="4"/>
        <v>22.521365999999997</v>
      </c>
      <c r="E75" s="2" t="s">
        <v>51</v>
      </c>
      <c r="F75" s="6">
        <f>80.3/100</f>
        <v>0.80299999999999994</v>
      </c>
      <c r="G75" s="6">
        <f t="shared" si="11"/>
        <v>18.084656897999995</v>
      </c>
      <c r="H75" s="6" t="s">
        <v>11</v>
      </c>
      <c r="I75" s="6">
        <f>19.1/100</f>
        <v>0.191</v>
      </c>
      <c r="J75" s="8">
        <f>I75*G75</f>
        <v>3.4541694675179992</v>
      </c>
      <c r="K75" s="2" t="s">
        <v>32</v>
      </c>
      <c r="L75" s="2">
        <f>5.5/100</f>
        <v>5.5E-2</v>
      </c>
      <c r="M75" s="2">
        <f>L75*G75</f>
        <v>0.9946561293899997</v>
      </c>
    </row>
    <row r="76" spans="1:13" x14ac:dyDescent="0.25">
      <c r="A76" s="4">
        <v>26.620999999999999</v>
      </c>
      <c r="B76" s="2" t="s">
        <v>19</v>
      </c>
      <c r="C76" s="6">
        <f t="shared" si="23"/>
        <v>0.84599999999999997</v>
      </c>
      <c r="D76" s="6">
        <f t="shared" si="4"/>
        <v>22.521365999999997</v>
      </c>
      <c r="E76" s="2" t="s">
        <v>13</v>
      </c>
      <c r="F76" s="6">
        <f t="shared" ref="F76:F82" si="33">80.3/100</f>
        <v>0.80299999999999994</v>
      </c>
      <c r="G76" s="6">
        <f t="shared" si="11"/>
        <v>18.084656897999995</v>
      </c>
      <c r="H76" s="6" t="s">
        <v>12</v>
      </c>
      <c r="I76" s="6">
        <f>23.2/100</f>
        <v>0.23199999999999998</v>
      </c>
      <c r="J76" s="8">
        <f t="shared" ref="J76:J80" si="34">I76*G76</f>
        <v>4.1956404003359982</v>
      </c>
      <c r="K76" s="2" t="s">
        <v>33</v>
      </c>
      <c r="L76" s="2">
        <f>11.3/100</f>
        <v>0.113</v>
      </c>
      <c r="M76" s="2">
        <f t="shared" ref="M76:M82" si="35">L76*G76</f>
        <v>2.0435662294739996</v>
      </c>
    </row>
    <row r="77" spans="1:13" x14ac:dyDescent="0.25">
      <c r="A77" s="4">
        <v>26.620999999999999</v>
      </c>
      <c r="B77" s="2" t="s">
        <v>19</v>
      </c>
      <c r="C77" s="6">
        <f t="shared" si="23"/>
        <v>0.84599999999999997</v>
      </c>
      <c r="D77" s="6">
        <f t="shared" si="4"/>
        <v>22.521365999999997</v>
      </c>
      <c r="E77" s="2" t="s">
        <v>13</v>
      </c>
      <c r="F77" s="6">
        <f t="shared" si="33"/>
        <v>0.80299999999999994</v>
      </c>
      <c r="G77" s="6">
        <f t="shared" si="11"/>
        <v>18.084656897999995</v>
      </c>
      <c r="H77" s="6" t="s">
        <v>7</v>
      </c>
      <c r="I77" s="6">
        <f>3.4/100</f>
        <v>3.4000000000000002E-2</v>
      </c>
      <c r="J77" s="8">
        <f t="shared" si="34"/>
        <v>0.61487833453199991</v>
      </c>
      <c r="K77" s="2" t="s">
        <v>34</v>
      </c>
      <c r="L77" s="2">
        <f>16/100</f>
        <v>0.16</v>
      </c>
      <c r="M77" s="2">
        <f t="shared" si="35"/>
        <v>2.8935451036799993</v>
      </c>
    </row>
    <row r="78" spans="1:13" x14ac:dyDescent="0.25">
      <c r="A78" s="4">
        <v>26.620999999999999</v>
      </c>
      <c r="B78" s="2" t="s">
        <v>19</v>
      </c>
      <c r="C78" s="6">
        <f t="shared" si="23"/>
        <v>0.84599999999999997</v>
      </c>
      <c r="D78" s="6">
        <f t="shared" si="4"/>
        <v>22.521365999999997</v>
      </c>
      <c r="E78" s="2" t="s">
        <v>13</v>
      </c>
      <c r="F78" s="6">
        <f t="shared" si="33"/>
        <v>0.80299999999999994</v>
      </c>
      <c r="G78" s="6">
        <f t="shared" si="11"/>
        <v>18.084656897999995</v>
      </c>
      <c r="H78" s="6" t="s">
        <v>8</v>
      </c>
      <c r="I78" s="6">
        <f>35.6/100</f>
        <v>0.35600000000000004</v>
      </c>
      <c r="J78" s="8">
        <f t="shared" si="34"/>
        <v>6.4381378556879989</v>
      </c>
      <c r="K78" s="2" t="s">
        <v>35</v>
      </c>
      <c r="L78" s="2">
        <f>25.6/100</f>
        <v>0.25600000000000001</v>
      </c>
      <c r="M78" s="2">
        <f t="shared" si="35"/>
        <v>4.6296721658879987</v>
      </c>
    </row>
    <row r="79" spans="1:13" x14ac:dyDescent="0.25">
      <c r="A79" s="4">
        <v>26.620999999999999</v>
      </c>
      <c r="B79" s="2" t="s">
        <v>19</v>
      </c>
      <c r="C79" s="6">
        <f t="shared" si="23"/>
        <v>0.84599999999999997</v>
      </c>
      <c r="D79" s="6">
        <f t="shared" si="4"/>
        <v>22.521365999999997</v>
      </c>
      <c r="E79" s="2" t="s">
        <v>13</v>
      </c>
      <c r="F79" s="6">
        <f t="shared" si="33"/>
        <v>0.80299999999999994</v>
      </c>
      <c r="G79" s="6">
        <f t="shared" si="11"/>
        <v>18.084656897999995</v>
      </c>
      <c r="H79" s="6" t="s">
        <v>10</v>
      </c>
      <c r="I79" s="6">
        <f>3.2/100</f>
        <v>3.2000000000000001E-2</v>
      </c>
      <c r="J79" s="8">
        <f t="shared" si="34"/>
        <v>0.57870902073599984</v>
      </c>
      <c r="K79" s="2" t="s">
        <v>36</v>
      </c>
      <c r="L79" s="2">
        <f>20.4/100</f>
        <v>0.20399999999999999</v>
      </c>
      <c r="M79" s="2">
        <f t="shared" si="35"/>
        <v>3.6892700071919986</v>
      </c>
    </row>
    <row r="80" spans="1:13" x14ac:dyDescent="0.25">
      <c r="A80" s="4">
        <v>26.620999999999999</v>
      </c>
      <c r="B80" s="2" t="s">
        <v>19</v>
      </c>
      <c r="C80" s="6">
        <f t="shared" si="23"/>
        <v>0.84599999999999997</v>
      </c>
      <c r="D80" s="6">
        <f t="shared" si="4"/>
        <v>22.521365999999997</v>
      </c>
      <c r="E80" s="2" t="s">
        <v>13</v>
      </c>
      <c r="F80" s="6">
        <f t="shared" si="33"/>
        <v>0.80299999999999994</v>
      </c>
      <c r="G80" s="6">
        <f t="shared" si="11"/>
        <v>18.084656897999995</v>
      </c>
      <c r="H80" s="6" t="s">
        <v>9</v>
      </c>
      <c r="I80" s="6">
        <f>12.7/100</f>
        <v>0.127</v>
      </c>
      <c r="J80" s="8">
        <f t="shared" si="34"/>
        <v>2.2967514260459994</v>
      </c>
      <c r="K80" s="2" t="s">
        <v>37</v>
      </c>
      <c r="L80" s="2">
        <f>16.1/100</f>
        <v>0.161</v>
      </c>
      <c r="M80" s="2">
        <f t="shared" si="35"/>
        <v>2.9116297605779993</v>
      </c>
    </row>
    <row r="81" spans="1:13" x14ac:dyDescent="0.25">
      <c r="A81" s="4">
        <v>26.620999999999999</v>
      </c>
      <c r="B81" s="2" t="s">
        <v>19</v>
      </c>
      <c r="C81" s="6">
        <f t="shared" si="23"/>
        <v>0.84599999999999997</v>
      </c>
      <c r="D81" s="6">
        <f t="shared" si="4"/>
        <v>22.521365999999997</v>
      </c>
      <c r="E81" s="2" t="s">
        <v>13</v>
      </c>
      <c r="F81" s="6">
        <f t="shared" si="33"/>
        <v>0.80299999999999994</v>
      </c>
      <c r="G81" s="6">
        <f t="shared" si="11"/>
        <v>18.084656897999995</v>
      </c>
      <c r="H81" s="6" t="s">
        <v>55</v>
      </c>
      <c r="I81" s="6">
        <f>2.7/100</f>
        <v>2.7000000000000003E-2</v>
      </c>
      <c r="J81" s="8"/>
      <c r="K81" s="2" t="s">
        <v>38</v>
      </c>
      <c r="L81" s="2">
        <f>3.2/100</f>
        <v>3.2000000000000001E-2</v>
      </c>
      <c r="M81" s="2">
        <f t="shared" si="35"/>
        <v>0.57870902073599984</v>
      </c>
    </row>
    <row r="82" spans="1:13" x14ac:dyDescent="0.25">
      <c r="A82" s="4">
        <v>26.620999999999999</v>
      </c>
      <c r="B82" s="2" t="s">
        <v>19</v>
      </c>
      <c r="C82" s="6">
        <f t="shared" si="23"/>
        <v>0.84599999999999997</v>
      </c>
      <c r="D82" s="6">
        <f t="shared" si="4"/>
        <v>22.521365999999997</v>
      </c>
      <c r="E82" s="2" t="s">
        <v>13</v>
      </c>
      <c r="F82" s="6">
        <f t="shared" si="33"/>
        <v>0.80299999999999994</v>
      </c>
      <c r="G82" s="6">
        <f t="shared" si="11"/>
        <v>18.084656897999995</v>
      </c>
      <c r="H82" s="6"/>
      <c r="I82" s="6"/>
      <c r="J82" s="8"/>
      <c r="K82" s="2" t="s">
        <v>39</v>
      </c>
      <c r="L82" s="2">
        <f>1.9/100</f>
        <v>1.9E-2</v>
      </c>
      <c r="M82" s="2">
        <f t="shared" si="35"/>
        <v>0.34360848106199987</v>
      </c>
    </row>
    <row r="83" spans="1:13" x14ac:dyDescent="0.25">
      <c r="A83" s="4">
        <v>26.620999999999999</v>
      </c>
      <c r="B83" s="2" t="s">
        <v>19</v>
      </c>
      <c r="C83" s="6">
        <f t="shared" si="23"/>
        <v>0.84599999999999997</v>
      </c>
      <c r="D83" s="6">
        <f t="shared" si="4"/>
        <v>22.521365999999997</v>
      </c>
      <c r="E83" s="2" t="s">
        <v>50</v>
      </c>
      <c r="F83" s="6">
        <f>89.1/100</f>
        <v>0.8909999999999999</v>
      </c>
      <c r="G83" s="6">
        <f t="shared" si="11"/>
        <v>20.066537105999995</v>
      </c>
      <c r="H83" s="6" t="s">
        <v>11</v>
      </c>
      <c r="I83" s="6">
        <f>7/100</f>
        <v>7.0000000000000007E-2</v>
      </c>
      <c r="J83" s="6">
        <f>I83*G83</f>
        <v>1.4046575974199997</v>
      </c>
      <c r="K83" s="2" t="s">
        <v>32</v>
      </c>
      <c r="L83" s="2">
        <f>2.6/100</f>
        <v>2.6000000000000002E-2</v>
      </c>
      <c r="M83" s="2">
        <f>L83*G83</f>
        <v>0.52172996475599986</v>
      </c>
    </row>
    <row r="84" spans="1:13" x14ac:dyDescent="0.25">
      <c r="A84" s="4">
        <v>26.620999999999999</v>
      </c>
      <c r="B84" s="2" t="s">
        <v>19</v>
      </c>
      <c r="C84" s="6">
        <f t="shared" si="23"/>
        <v>0.84599999999999997</v>
      </c>
      <c r="D84" s="6">
        <f t="shared" si="4"/>
        <v>22.521365999999997</v>
      </c>
      <c r="E84" s="2" t="s">
        <v>17</v>
      </c>
      <c r="F84" s="6">
        <f t="shared" ref="F84:F90" si="36">89.1/100</f>
        <v>0.8909999999999999</v>
      </c>
      <c r="G84" s="6">
        <f t="shared" si="11"/>
        <v>20.066537105999995</v>
      </c>
      <c r="H84" s="6" t="s">
        <v>12</v>
      </c>
      <c r="I84" s="6">
        <f>21.5/100</f>
        <v>0.215</v>
      </c>
      <c r="J84" s="6">
        <f t="shared" ref="J84:J88" si="37">I84*G84</f>
        <v>4.3143054777899987</v>
      </c>
      <c r="K84" s="2" t="s">
        <v>33</v>
      </c>
      <c r="L84" s="2">
        <f>13.2/100</f>
        <v>0.13200000000000001</v>
      </c>
      <c r="M84" s="2">
        <f t="shared" ref="M84:M86" si="38">L84*G84</f>
        <v>2.6487828979919996</v>
      </c>
    </row>
    <row r="85" spans="1:13" x14ac:dyDescent="0.25">
      <c r="A85" s="4">
        <v>26.620999999999999</v>
      </c>
      <c r="B85" s="2" t="s">
        <v>19</v>
      </c>
      <c r="C85" s="6">
        <f t="shared" si="23"/>
        <v>0.84599999999999997</v>
      </c>
      <c r="D85" s="6">
        <f t="shared" si="4"/>
        <v>22.521365999999997</v>
      </c>
      <c r="E85" s="2" t="s">
        <v>17</v>
      </c>
      <c r="F85" s="6">
        <f t="shared" si="36"/>
        <v>0.8909999999999999</v>
      </c>
      <c r="G85" s="6">
        <f t="shared" si="11"/>
        <v>20.066537105999995</v>
      </c>
      <c r="H85" s="6" t="s">
        <v>7</v>
      </c>
      <c r="I85" s="6">
        <f>2.8/100</f>
        <v>2.7999999999999997E-2</v>
      </c>
      <c r="J85" s="6">
        <f t="shared" si="37"/>
        <v>0.56186303896799983</v>
      </c>
      <c r="K85" s="2" t="s">
        <v>34</v>
      </c>
      <c r="L85" s="2">
        <f>17.7/100</f>
        <v>0.17699999999999999</v>
      </c>
      <c r="M85" s="2">
        <f t="shared" si="38"/>
        <v>3.5517770677619991</v>
      </c>
    </row>
    <row r="86" spans="1:13" x14ac:dyDescent="0.25">
      <c r="A86" s="4">
        <v>26.620999999999999</v>
      </c>
      <c r="B86" s="2" t="s">
        <v>19</v>
      </c>
      <c r="C86" s="6">
        <f t="shared" si="23"/>
        <v>0.84599999999999997</v>
      </c>
      <c r="D86" s="6">
        <f t="shared" si="4"/>
        <v>22.521365999999997</v>
      </c>
      <c r="E86" s="2" t="s">
        <v>17</v>
      </c>
      <c r="F86" s="6">
        <f t="shared" si="36"/>
        <v>0.8909999999999999</v>
      </c>
      <c r="G86" s="6">
        <f t="shared" si="11"/>
        <v>20.066537105999995</v>
      </c>
      <c r="H86" s="6" t="s">
        <v>8</v>
      </c>
      <c r="I86" s="6">
        <f>48.2/100</f>
        <v>0.48200000000000004</v>
      </c>
      <c r="J86" s="6">
        <f t="shared" si="37"/>
        <v>9.6720708850919976</v>
      </c>
      <c r="K86" s="2" t="s">
        <v>35</v>
      </c>
      <c r="L86" s="2">
        <f>28.5/100</f>
        <v>0.28499999999999998</v>
      </c>
      <c r="M86" s="2">
        <f t="shared" si="38"/>
        <v>5.7189630752099978</v>
      </c>
    </row>
    <row r="87" spans="1:13" x14ac:dyDescent="0.25">
      <c r="A87" s="4">
        <v>26.620999999999999</v>
      </c>
      <c r="B87" s="2" t="s">
        <v>19</v>
      </c>
      <c r="C87" s="6">
        <f t="shared" si="23"/>
        <v>0.84599999999999997</v>
      </c>
      <c r="D87" s="6">
        <f t="shared" si="4"/>
        <v>22.521365999999997</v>
      </c>
      <c r="E87" s="2" t="s">
        <v>17</v>
      </c>
      <c r="F87" s="6">
        <f t="shared" si="36"/>
        <v>0.8909999999999999</v>
      </c>
      <c r="G87" s="6">
        <f t="shared" si="11"/>
        <v>20.066537105999995</v>
      </c>
      <c r="H87" s="6" t="s">
        <v>10</v>
      </c>
      <c r="I87" s="6">
        <f>3/100</f>
        <v>0.03</v>
      </c>
      <c r="J87" s="6">
        <f t="shared" si="37"/>
        <v>0.60199611317999979</v>
      </c>
      <c r="K87" s="2" t="s">
        <v>36</v>
      </c>
      <c r="L87" s="2">
        <f>22.8/100</f>
        <v>0.22800000000000001</v>
      </c>
      <c r="M87" s="2">
        <f>L86*G87</f>
        <v>5.7189630752099978</v>
      </c>
    </row>
    <row r="88" spans="1:13" x14ac:dyDescent="0.25">
      <c r="A88" s="4">
        <v>26.620999999999999</v>
      </c>
      <c r="B88" s="2" t="s">
        <v>19</v>
      </c>
      <c r="C88" s="6">
        <f t="shared" si="23"/>
        <v>0.84599999999999997</v>
      </c>
      <c r="D88" s="6">
        <f t="shared" si="4"/>
        <v>22.521365999999997</v>
      </c>
      <c r="E88" s="2" t="s">
        <v>17</v>
      </c>
      <c r="F88" s="6">
        <f t="shared" si="36"/>
        <v>0.8909999999999999</v>
      </c>
      <c r="G88" s="6">
        <f t="shared" si="11"/>
        <v>20.066537105999995</v>
      </c>
      <c r="H88" s="6" t="s">
        <v>9</v>
      </c>
      <c r="I88" s="6">
        <f>15.9/100</f>
        <v>0.159</v>
      </c>
      <c r="J88" s="6">
        <f t="shared" si="37"/>
        <v>3.1905793998539993</v>
      </c>
      <c r="K88" s="2" t="s">
        <v>37</v>
      </c>
      <c r="L88" s="2">
        <f>14.2/100</f>
        <v>0.14199999999999999</v>
      </c>
      <c r="M88" s="2">
        <f>L87*G88</f>
        <v>4.5751704601679988</v>
      </c>
    </row>
    <row r="89" spans="1:13" x14ac:dyDescent="0.25">
      <c r="A89" s="4">
        <v>26.620999999999999</v>
      </c>
      <c r="B89" s="2" t="s">
        <v>19</v>
      </c>
      <c r="C89" s="6">
        <f t="shared" si="23"/>
        <v>0.84599999999999997</v>
      </c>
      <c r="D89" s="6">
        <f t="shared" si="4"/>
        <v>22.521365999999997</v>
      </c>
      <c r="E89" s="2" t="s">
        <v>17</v>
      </c>
      <c r="F89" s="6">
        <f t="shared" si="36"/>
        <v>0.8909999999999999</v>
      </c>
      <c r="G89" s="6">
        <f t="shared" si="11"/>
        <v>20.066537105999995</v>
      </c>
      <c r="H89" s="6" t="s">
        <v>55</v>
      </c>
      <c r="I89" s="6">
        <f>1.7/100</f>
        <v>1.7000000000000001E-2</v>
      </c>
      <c r="J89" s="6"/>
      <c r="K89" s="2" t="s">
        <v>38</v>
      </c>
      <c r="L89" s="2">
        <f>0.3/100</f>
        <v>3.0000000000000001E-3</v>
      </c>
      <c r="M89" s="2">
        <f>L88*G89</f>
        <v>2.8494482690519991</v>
      </c>
    </row>
    <row r="90" spans="1:13" x14ac:dyDescent="0.25">
      <c r="A90" s="4">
        <v>26.620999999999999</v>
      </c>
      <c r="B90" s="2" t="s">
        <v>19</v>
      </c>
      <c r="C90" s="6">
        <f t="shared" si="23"/>
        <v>0.84599999999999997</v>
      </c>
      <c r="D90" s="6">
        <f t="shared" si="4"/>
        <v>22.521365999999997</v>
      </c>
      <c r="E90" s="2" t="s">
        <v>17</v>
      </c>
      <c r="F90" s="6">
        <f t="shared" si="36"/>
        <v>0.8909999999999999</v>
      </c>
      <c r="G90" s="6">
        <f t="shared" si="11"/>
        <v>20.066537105999995</v>
      </c>
      <c r="H90" s="6"/>
      <c r="I90" s="6"/>
      <c r="J90" s="6"/>
      <c r="K90" s="2" t="s">
        <v>39</v>
      </c>
      <c r="L90" s="2">
        <f>0.7/100</f>
        <v>6.9999999999999993E-3</v>
      </c>
      <c r="M90" s="2">
        <f>L89*G90</f>
        <v>6.0199611317999988E-2</v>
      </c>
    </row>
    <row r="91" spans="1:13" x14ac:dyDescent="0.25">
      <c r="A91" s="4">
        <v>26.620999999999999</v>
      </c>
      <c r="B91" s="2" t="s">
        <v>19</v>
      </c>
      <c r="C91" s="6">
        <f t="shared" si="23"/>
        <v>0.84599999999999997</v>
      </c>
      <c r="D91" s="6">
        <f t="shared" si="4"/>
        <v>22.521365999999997</v>
      </c>
      <c r="E91" s="2" t="s">
        <v>49</v>
      </c>
      <c r="F91" s="2">
        <f>91.3/100</f>
        <v>0.91299999999999992</v>
      </c>
      <c r="G91" s="6">
        <f t="shared" si="11"/>
        <v>20.562007157999997</v>
      </c>
      <c r="H91" s="6" t="s">
        <v>11</v>
      </c>
      <c r="I91" s="6">
        <f>23.3/100</f>
        <v>0.23300000000000001</v>
      </c>
      <c r="J91" s="6">
        <f>I91*G91</f>
        <v>4.7909476678139997</v>
      </c>
      <c r="K91" s="2" t="s">
        <v>32</v>
      </c>
      <c r="L91" s="2">
        <f>7.9/100</f>
        <v>7.9000000000000001E-2</v>
      </c>
      <c r="M91" s="2">
        <f>L91*G91</f>
        <v>1.6243985654819997</v>
      </c>
    </row>
    <row r="92" spans="1:13" x14ac:dyDescent="0.25">
      <c r="A92" s="4">
        <v>26.620999999999999</v>
      </c>
      <c r="B92" s="2" t="s">
        <v>19</v>
      </c>
      <c r="C92" s="6">
        <f t="shared" si="23"/>
        <v>0.84599999999999997</v>
      </c>
      <c r="D92" s="6">
        <f t="shared" ref="D92:D98" si="39">C92*A92</f>
        <v>22.521365999999997</v>
      </c>
      <c r="E92" s="2" t="s">
        <v>18</v>
      </c>
      <c r="F92" s="2">
        <f t="shared" ref="F92:F98" si="40">91.3/100</f>
        <v>0.91299999999999992</v>
      </c>
      <c r="G92" s="6">
        <f t="shared" si="11"/>
        <v>20.562007157999997</v>
      </c>
      <c r="H92" s="6" t="s">
        <v>12</v>
      </c>
      <c r="I92" s="6">
        <f>23.9/100</f>
        <v>0.23899999999999999</v>
      </c>
      <c r="J92" s="6">
        <f t="shared" ref="J92:J96" si="41">I92*G92</f>
        <v>4.9143197107619994</v>
      </c>
      <c r="K92" s="2" t="s">
        <v>33</v>
      </c>
      <c r="L92" s="2">
        <f>13.2/100</f>
        <v>0.13200000000000001</v>
      </c>
      <c r="M92" s="2">
        <f t="shared" ref="M92:M98" si="42">L92*G92</f>
        <v>2.7141849448559996</v>
      </c>
    </row>
    <row r="93" spans="1:13" x14ac:dyDescent="0.25">
      <c r="A93" s="4">
        <v>26.620999999999999</v>
      </c>
      <c r="B93" s="2" t="s">
        <v>19</v>
      </c>
      <c r="C93" s="6">
        <f t="shared" si="23"/>
        <v>0.84599999999999997</v>
      </c>
      <c r="D93" s="6">
        <f t="shared" si="39"/>
        <v>22.521365999999997</v>
      </c>
      <c r="E93" s="2" t="s">
        <v>18</v>
      </c>
      <c r="F93" s="2">
        <f t="shared" si="40"/>
        <v>0.91299999999999992</v>
      </c>
      <c r="G93" s="6">
        <f t="shared" si="11"/>
        <v>20.562007157999997</v>
      </c>
      <c r="H93" s="6" t="s">
        <v>7</v>
      </c>
      <c r="I93" s="6">
        <f>3.3/100</f>
        <v>3.3000000000000002E-2</v>
      </c>
      <c r="J93" s="6">
        <f t="shared" si="41"/>
        <v>0.6785462362139999</v>
      </c>
      <c r="K93" s="2" t="s">
        <v>34</v>
      </c>
      <c r="L93" s="2">
        <f>16.1/100</f>
        <v>0.161</v>
      </c>
      <c r="M93" s="2">
        <f t="shared" si="42"/>
        <v>3.3104831524379996</v>
      </c>
    </row>
    <row r="94" spans="1:13" x14ac:dyDescent="0.25">
      <c r="A94" s="4">
        <v>26.620999999999999</v>
      </c>
      <c r="B94" s="2" t="s">
        <v>19</v>
      </c>
      <c r="C94" s="6">
        <f t="shared" si="23"/>
        <v>0.84599999999999997</v>
      </c>
      <c r="D94" s="6">
        <f t="shared" si="39"/>
        <v>22.521365999999997</v>
      </c>
      <c r="E94" s="2" t="s">
        <v>18</v>
      </c>
      <c r="F94" s="2">
        <f t="shared" si="40"/>
        <v>0.91299999999999992</v>
      </c>
      <c r="G94" s="6">
        <f t="shared" si="11"/>
        <v>20.562007157999997</v>
      </c>
      <c r="H94" s="6" t="s">
        <v>8</v>
      </c>
      <c r="I94" s="6">
        <f>36.1/100</f>
        <v>0.36099999999999999</v>
      </c>
      <c r="J94" s="6">
        <f t="shared" si="41"/>
        <v>7.4228845840379982</v>
      </c>
      <c r="K94" s="2" t="s">
        <v>35</v>
      </c>
      <c r="L94" s="2">
        <f>23.7/100</f>
        <v>0.23699999999999999</v>
      </c>
      <c r="M94" s="2">
        <f t="shared" si="42"/>
        <v>4.8731956964459986</v>
      </c>
    </row>
    <row r="95" spans="1:13" x14ac:dyDescent="0.25">
      <c r="A95" s="4">
        <v>26.620999999999999</v>
      </c>
      <c r="B95" s="2" t="s">
        <v>19</v>
      </c>
      <c r="C95" s="6">
        <f t="shared" si="23"/>
        <v>0.84599999999999997</v>
      </c>
      <c r="D95" s="6">
        <f t="shared" si="39"/>
        <v>22.521365999999997</v>
      </c>
      <c r="E95" s="2" t="s">
        <v>18</v>
      </c>
      <c r="F95" s="2">
        <f t="shared" si="40"/>
        <v>0.91299999999999992</v>
      </c>
      <c r="G95" s="6">
        <f t="shared" si="11"/>
        <v>20.562007157999997</v>
      </c>
      <c r="H95" s="6" t="s">
        <v>10</v>
      </c>
      <c r="I95" s="6">
        <f>2.8/100</f>
        <v>2.7999999999999997E-2</v>
      </c>
      <c r="J95" s="6">
        <f t="shared" si="41"/>
        <v>0.57573620042399987</v>
      </c>
      <c r="K95" s="2" t="s">
        <v>36</v>
      </c>
      <c r="L95" s="2">
        <f>18.8/100</f>
        <v>0.188</v>
      </c>
      <c r="M95" s="2">
        <f t="shared" si="42"/>
        <v>3.8656573457039993</v>
      </c>
    </row>
    <row r="96" spans="1:13" x14ac:dyDescent="0.25">
      <c r="A96" s="4">
        <v>26.620999999999999</v>
      </c>
      <c r="B96" s="2" t="s">
        <v>19</v>
      </c>
      <c r="C96" s="6">
        <f t="shared" si="23"/>
        <v>0.84599999999999997</v>
      </c>
      <c r="D96" s="6">
        <f t="shared" si="39"/>
        <v>22.521365999999997</v>
      </c>
      <c r="E96" s="2" t="s">
        <v>18</v>
      </c>
      <c r="F96" s="2">
        <f t="shared" si="40"/>
        <v>0.91299999999999992</v>
      </c>
      <c r="G96" s="6">
        <f t="shared" si="11"/>
        <v>20.562007157999997</v>
      </c>
      <c r="H96" s="6" t="s">
        <v>9</v>
      </c>
      <c r="I96" s="6">
        <f>8.6/100</f>
        <v>8.5999999999999993E-2</v>
      </c>
      <c r="J96" s="6">
        <f t="shared" si="41"/>
        <v>1.7683326155879995</v>
      </c>
      <c r="K96" s="2" t="s">
        <v>37</v>
      </c>
      <c r="L96" s="2">
        <f>14.8/100</f>
        <v>0.14800000000000002</v>
      </c>
      <c r="M96" s="2">
        <f t="shared" si="42"/>
        <v>3.043177059384</v>
      </c>
    </row>
    <row r="97" spans="1:13" x14ac:dyDescent="0.25">
      <c r="A97" s="4">
        <v>26.620999999999999</v>
      </c>
      <c r="B97" s="2" t="s">
        <v>19</v>
      </c>
      <c r="C97" s="6">
        <f t="shared" si="23"/>
        <v>0.84599999999999997</v>
      </c>
      <c r="D97" s="6">
        <f t="shared" si="39"/>
        <v>22.521365999999997</v>
      </c>
      <c r="E97" s="2" t="s">
        <v>18</v>
      </c>
      <c r="F97" s="2">
        <f t="shared" si="40"/>
        <v>0.91299999999999992</v>
      </c>
      <c r="G97" s="6">
        <f t="shared" si="11"/>
        <v>20.562007157999997</v>
      </c>
      <c r="H97" s="6" t="s">
        <v>55</v>
      </c>
      <c r="I97" s="2">
        <f>2/100</f>
        <v>0.02</v>
      </c>
      <c r="J97" s="2"/>
      <c r="K97" s="2" t="s">
        <v>38</v>
      </c>
      <c r="L97" s="2">
        <f>3.2/100</f>
        <v>3.2000000000000001E-2</v>
      </c>
      <c r="M97" s="2">
        <f t="shared" si="42"/>
        <v>0.65798422905599996</v>
      </c>
    </row>
    <row r="98" spans="1:13" x14ac:dyDescent="0.25">
      <c r="A98" s="4">
        <v>26.620999999999999</v>
      </c>
      <c r="B98" s="2" t="s">
        <v>19</v>
      </c>
      <c r="C98" s="6">
        <f t="shared" si="23"/>
        <v>0.84599999999999997</v>
      </c>
      <c r="D98" s="6">
        <f t="shared" si="39"/>
        <v>22.521365999999997</v>
      </c>
      <c r="E98" s="2" t="s">
        <v>18</v>
      </c>
      <c r="F98" s="2">
        <f t="shared" si="40"/>
        <v>0.91299999999999992</v>
      </c>
      <c r="G98" s="6">
        <f t="shared" ref="G98" si="43">F98*D98</f>
        <v>20.562007157999997</v>
      </c>
      <c r="H98" s="2"/>
      <c r="I98" s="2"/>
      <c r="J98" s="2"/>
      <c r="K98" s="2" t="s">
        <v>39</v>
      </c>
      <c r="L98" s="2">
        <f>2.3/100</f>
        <v>2.3E-2</v>
      </c>
      <c r="M98" s="2">
        <f t="shared" si="42"/>
        <v>0.47292616463399989</v>
      </c>
    </row>
  </sheetData>
  <mergeCells count="1">
    <mergeCell ref="E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M98"/>
  <sheetViews>
    <sheetView topLeftCell="A13" zoomScale="99" zoomScaleNormal="99" workbookViewId="0">
      <selection activeCell="A3" sqref="A3:M98"/>
    </sheetView>
  </sheetViews>
  <sheetFormatPr defaultRowHeight="13.2" x14ac:dyDescent="0.25"/>
  <cols>
    <col min="5" max="5" width="35.44140625" customWidth="1"/>
    <col min="8" max="8" width="24.109375" customWidth="1"/>
    <col min="9" max="9" width="9.33203125"/>
    <col min="10" max="10" width="12.6640625" customWidth="1"/>
  </cols>
  <sheetData>
    <row r="1" spans="1:13" x14ac:dyDescent="0.25">
      <c r="A1" s="3"/>
      <c r="B1" s="3"/>
      <c r="C1" s="3"/>
      <c r="D1" s="3"/>
      <c r="E1" s="21" t="s">
        <v>94</v>
      </c>
      <c r="F1" s="21"/>
      <c r="G1" s="21"/>
      <c r="H1" s="21"/>
      <c r="I1" s="21"/>
      <c r="J1" s="21"/>
      <c r="K1" s="3"/>
      <c r="L1" s="3"/>
      <c r="M1" s="3"/>
    </row>
    <row r="2" spans="1:13" ht="198" x14ac:dyDescent="0.25">
      <c r="A2" s="1" t="s">
        <v>30</v>
      </c>
      <c r="B2" s="2" t="s">
        <v>1</v>
      </c>
      <c r="C2" s="1" t="s">
        <v>22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s">
        <v>31</v>
      </c>
      <c r="L2" s="1" t="s">
        <v>40</v>
      </c>
      <c r="M2" s="1" t="s">
        <v>41</v>
      </c>
    </row>
    <row r="3" spans="1:13" x14ac:dyDescent="0.25">
      <c r="A3" s="4">
        <v>26.771999999999998</v>
      </c>
      <c r="B3" s="4" t="s">
        <v>2</v>
      </c>
      <c r="C3" s="5">
        <f>15.5/100</f>
        <v>0.155</v>
      </c>
      <c r="D3" s="6">
        <f>C3*A3</f>
        <v>4.1496599999999999</v>
      </c>
      <c r="E3" s="6" t="s">
        <v>14</v>
      </c>
      <c r="F3" s="5">
        <v>0.16899999999999998</v>
      </c>
      <c r="G3" s="5">
        <f>D3*F3</f>
        <v>0.70129253999999996</v>
      </c>
      <c r="H3" s="6" t="s">
        <v>11</v>
      </c>
      <c r="I3" s="6">
        <f>11.3/100</f>
        <v>0.113</v>
      </c>
      <c r="J3" s="7">
        <f>I3*G3</f>
        <v>7.9246057019999996E-2</v>
      </c>
      <c r="K3" s="2" t="s">
        <v>32</v>
      </c>
      <c r="L3" s="2">
        <f>2.6/100</f>
        <v>2.6000000000000002E-2</v>
      </c>
      <c r="M3" s="2">
        <f>L3*G3</f>
        <v>1.8233606039999999E-2</v>
      </c>
    </row>
    <row r="4" spans="1:13" x14ac:dyDescent="0.25">
      <c r="A4" s="4">
        <v>26.771999999999998</v>
      </c>
      <c r="B4" s="4" t="s">
        <v>2</v>
      </c>
      <c r="C4" s="5">
        <f t="shared" ref="C4:C50" si="0">15.5/100</f>
        <v>0.155</v>
      </c>
      <c r="D4" s="6">
        <f>C4*A4</f>
        <v>4.1496599999999999</v>
      </c>
      <c r="E4" s="6" t="s">
        <v>43</v>
      </c>
      <c r="F4" s="5">
        <v>0.16899999999999998</v>
      </c>
      <c r="G4" s="5">
        <f>D4*F4</f>
        <v>0.70129253999999996</v>
      </c>
      <c r="H4" s="6" t="s">
        <v>12</v>
      </c>
      <c r="I4" s="6">
        <f>3.4/100</f>
        <v>3.4000000000000002E-2</v>
      </c>
      <c r="J4" s="8">
        <f t="shared" ref="J4:J9" si="1">G4*I4</f>
        <v>2.384394636E-2</v>
      </c>
      <c r="K4" s="2" t="s">
        <v>33</v>
      </c>
      <c r="L4" s="2">
        <f>8.2/100</f>
        <v>8.199999999999999E-2</v>
      </c>
      <c r="M4" s="2">
        <f t="shared" ref="M4:M10" si="2">L4*G4</f>
        <v>5.7505988279999989E-2</v>
      </c>
    </row>
    <row r="5" spans="1:13" x14ac:dyDescent="0.25">
      <c r="A5" s="4">
        <v>26.771999999999998</v>
      </c>
      <c r="B5" s="4" t="s">
        <v>2</v>
      </c>
      <c r="C5" s="5">
        <f t="shared" si="0"/>
        <v>0.155</v>
      </c>
      <c r="D5" s="6">
        <f t="shared" ref="D5:D91" si="3">C5*A5</f>
        <v>4.1496599999999999</v>
      </c>
      <c r="E5" s="6" t="s">
        <v>14</v>
      </c>
      <c r="F5" s="5">
        <v>0.16899999999999998</v>
      </c>
      <c r="G5" s="5">
        <f t="shared" ref="G5:G10" si="4">D5*F5</f>
        <v>0.70129253999999996</v>
      </c>
      <c r="H5" s="6" t="s">
        <v>7</v>
      </c>
      <c r="I5" s="14">
        <f>5.8/100</f>
        <v>5.7999999999999996E-2</v>
      </c>
      <c r="J5" s="8">
        <f t="shared" si="1"/>
        <v>4.0674967319999998E-2</v>
      </c>
      <c r="K5" s="2" t="s">
        <v>34</v>
      </c>
      <c r="L5" s="2">
        <f>13.4/100</f>
        <v>0.13400000000000001</v>
      </c>
      <c r="M5" s="2">
        <f t="shared" si="2"/>
        <v>9.3973200359999995E-2</v>
      </c>
    </row>
    <row r="6" spans="1:13" x14ac:dyDescent="0.25">
      <c r="A6" s="4">
        <v>26.771999999999998</v>
      </c>
      <c r="B6" s="4" t="s">
        <v>2</v>
      </c>
      <c r="C6" s="5">
        <f t="shared" si="0"/>
        <v>0.155</v>
      </c>
      <c r="D6" s="6">
        <f t="shared" si="3"/>
        <v>4.1496599999999999</v>
      </c>
      <c r="E6" s="6" t="s">
        <v>14</v>
      </c>
      <c r="F6" s="5">
        <v>0.16899999999999998</v>
      </c>
      <c r="G6" s="5">
        <f t="shared" si="4"/>
        <v>0.70129253999999996</v>
      </c>
      <c r="H6" s="6" t="s">
        <v>8</v>
      </c>
      <c r="I6" s="6">
        <f>27.7/100</f>
        <v>0.27699999999999997</v>
      </c>
      <c r="J6" s="8">
        <f t="shared" si="1"/>
        <v>0.19425803357999996</v>
      </c>
      <c r="K6" s="2" t="s">
        <v>35</v>
      </c>
      <c r="L6" s="2">
        <f>24.7/100</f>
        <v>0.247</v>
      </c>
      <c r="M6" s="2">
        <f t="shared" si="2"/>
        <v>0.17321925737999999</v>
      </c>
    </row>
    <row r="7" spans="1:13" x14ac:dyDescent="0.25">
      <c r="A7" s="4">
        <v>26.771999999999998</v>
      </c>
      <c r="B7" s="4" t="s">
        <v>2</v>
      </c>
      <c r="C7" s="5">
        <f t="shared" si="0"/>
        <v>0.155</v>
      </c>
      <c r="D7" s="6">
        <f t="shared" si="3"/>
        <v>4.1496599999999999</v>
      </c>
      <c r="E7" s="6" t="s">
        <v>14</v>
      </c>
      <c r="F7" s="5">
        <v>0.16899999999999998</v>
      </c>
      <c r="G7" s="5">
        <f t="shared" si="4"/>
        <v>0.70129253999999996</v>
      </c>
      <c r="H7" s="6" t="s">
        <v>10</v>
      </c>
      <c r="I7" s="6">
        <f>7.1/100</f>
        <v>7.0999999999999994E-2</v>
      </c>
      <c r="J7" s="8">
        <f t="shared" si="1"/>
        <v>4.9791770339999993E-2</v>
      </c>
      <c r="K7" s="2" t="s">
        <v>36</v>
      </c>
      <c r="L7" s="2">
        <f>22.8/100</f>
        <v>0.22800000000000001</v>
      </c>
      <c r="M7" s="2">
        <f t="shared" si="2"/>
        <v>0.15989469912000001</v>
      </c>
    </row>
    <row r="8" spans="1:13" x14ac:dyDescent="0.25">
      <c r="A8" s="4">
        <v>26.771999999999998</v>
      </c>
      <c r="B8" s="4" t="s">
        <v>2</v>
      </c>
      <c r="C8" s="5">
        <f t="shared" si="0"/>
        <v>0.155</v>
      </c>
      <c r="D8" s="6">
        <f>C8*A8</f>
        <v>4.1496599999999999</v>
      </c>
      <c r="E8" s="6" t="s">
        <v>14</v>
      </c>
      <c r="F8" s="5">
        <v>0.16899999999999998</v>
      </c>
      <c r="G8" s="5">
        <f t="shared" si="4"/>
        <v>0.70129253999999996</v>
      </c>
      <c r="H8" s="6" t="s">
        <v>9</v>
      </c>
      <c r="I8" s="6">
        <f>43.7/100</f>
        <v>0.43700000000000006</v>
      </c>
      <c r="J8" s="8">
        <f t="shared" si="1"/>
        <v>0.30646483998000001</v>
      </c>
      <c r="K8" s="2" t="s">
        <v>37</v>
      </c>
      <c r="L8" s="2">
        <f>25/100</f>
        <v>0.25</v>
      </c>
      <c r="M8" s="2">
        <f t="shared" si="2"/>
        <v>0.17532313499999999</v>
      </c>
    </row>
    <row r="9" spans="1:13" x14ac:dyDescent="0.25">
      <c r="A9" s="4">
        <v>26.771999999999998</v>
      </c>
      <c r="B9" s="4" t="s">
        <v>2</v>
      </c>
      <c r="C9" s="5">
        <f t="shared" si="0"/>
        <v>0.155</v>
      </c>
      <c r="D9" s="6">
        <f t="shared" si="3"/>
        <v>4.1496599999999999</v>
      </c>
      <c r="E9" s="6" t="s">
        <v>14</v>
      </c>
      <c r="F9" s="5">
        <v>0.16899999999999998</v>
      </c>
      <c r="G9" s="5">
        <f t="shared" si="4"/>
        <v>0.70129253999999996</v>
      </c>
      <c r="H9" s="6" t="s">
        <v>55</v>
      </c>
      <c r="I9" s="6">
        <f>0.09/100</f>
        <v>8.9999999999999998E-4</v>
      </c>
      <c r="J9" s="8">
        <f t="shared" si="1"/>
        <v>6.3116328599999996E-4</v>
      </c>
      <c r="K9" s="2" t="s">
        <v>38</v>
      </c>
      <c r="L9" s="2">
        <f>2.5/100</f>
        <v>2.5000000000000001E-2</v>
      </c>
      <c r="M9" s="2">
        <f t="shared" si="2"/>
        <v>1.75323135E-2</v>
      </c>
    </row>
    <row r="10" spans="1:13" x14ac:dyDescent="0.25">
      <c r="A10" s="4">
        <v>26.771999999999998</v>
      </c>
      <c r="B10" s="4" t="s">
        <v>2</v>
      </c>
      <c r="C10" s="5">
        <f t="shared" si="0"/>
        <v>0.155</v>
      </c>
      <c r="D10" s="6">
        <f t="shared" si="3"/>
        <v>4.1496599999999999</v>
      </c>
      <c r="E10" s="6" t="s">
        <v>14</v>
      </c>
      <c r="F10" s="5">
        <v>0.16899999999999998</v>
      </c>
      <c r="G10" s="5">
        <f t="shared" si="4"/>
        <v>0.70129253999999996</v>
      </c>
      <c r="H10" s="6"/>
      <c r="I10" s="6"/>
      <c r="J10" s="8"/>
      <c r="K10" s="2" t="s">
        <v>39</v>
      </c>
      <c r="L10" s="2">
        <f>0.8/100</f>
        <v>8.0000000000000002E-3</v>
      </c>
      <c r="M10" s="2">
        <f t="shared" si="2"/>
        <v>5.6103403199999997E-3</v>
      </c>
    </row>
    <row r="11" spans="1:13" x14ac:dyDescent="0.25">
      <c r="A11" s="4">
        <v>26.771999999999998</v>
      </c>
      <c r="B11" s="4" t="s">
        <v>2</v>
      </c>
      <c r="C11" s="5">
        <f t="shared" si="0"/>
        <v>0.155</v>
      </c>
      <c r="D11" s="6">
        <f t="shared" si="3"/>
        <v>4.1496599999999999</v>
      </c>
      <c r="E11" s="6" t="s">
        <v>44</v>
      </c>
      <c r="F11" s="8">
        <v>0.158</v>
      </c>
      <c r="G11" s="6">
        <f>F11*D11</f>
        <v>0.65564628000000003</v>
      </c>
      <c r="H11" s="6" t="s">
        <v>11</v>
      </c>
      <c r="I11" s="6">
        <f>0/100</f>
        <v>0</v>
      </c>
      <c r="J11" s="8">
        <f>I11*G11</f>
        <v>0</v>
      </c>
      <c r="K11" s="2" t="s">
        <v>32</v>
      </c>
      <c r="L11" s="2">
        <f>0/100</f>
        <v>0</v>
      </c>
      <c r="M11" s="2">
        <f>L11*G11</f>
        <v>0</v>
      </c>
    </row>
    <row r="12" spans="1:13" x14ac:dyDescent="0.25">
      <c r="A12" s="4">
        <v>26.771999999999998</v>
      </c>
      <c r="B12" s="4" t="s">
        <v>2</v>
      </c>
      <c r="C12" s="5">
        <f t="shared" si="0"/>
        <v>0.155</v>
      </c>
      <c r="D12" s="6">
        <f t="shared" si="3"/>
        <v>4.1496599999999999</v>
      </c>
      <c r="E12" s="6" t="s">
        <v>15</v>
      </c>
      <c r="F12" s="8">
        <v>0.158</v>
      </c>
      <c r="G12" s="6">
        <f t="shared" ref="G12:G18" si="5">F12*D12</f>
        <v>0.65564628000000003</v>
      </c>
      <c r="H12" s="6" t="s">
        <v>12</v>
      </c>
      <c r="I12" s="6">
        <f>1.3/100</f>
        <v>1.3000000000000001E-2</v>
      </c>
      <c r="J12" s="8">
        <f t="shared" ref="J12:J16" si="6">I12*G12</f>
        <v>8.5234016400000008E-3</v>
      </c>
      <c r="K12" s="2" t="s">
        <v>33</v>
      </c>
      <c r="L12" s="2">
        <f>6.7/100</f>
        <v>6.7000000000000004E-2</v>
      </c>
      <c r="M12" s="2">
        <f t="shared" ref="M12:M18" si="7">L12*G12</f>
        <v>4.3928300760000004E-2</v>
      </c>
    </row>
    <row r="13" spans="1:13" x14ac:dyDescent="0.25">
      <c r="A13" s="4">
        <v>26.771999999999998</v>
      </c>
      <c r="B13" s="4" t="s">
        <v>2</v>
      </c>
      <c r="C13" s="5">
        <f t="shared" si="0"/>
        <v>0.155</v>
      </c>
      <c r="D13" s="6">
        <f t="shared" si="3"/>
        <v>4.1496599999999999</v>
      </c>
      <c r="E13" s="6" t="s">
        <v>15</v>
      </c>
      <c r="F13" s="8">
        <v>0.158</v>
      </c>
      <c r="G13" s="6">
        <f t="shared" si="5"/>
        <v>0.65564628000000003</v>
      </c>
      <c r="H13" s="6" t="s">
        <v>7</v>
      </c>
      <c r="I13" s="6">
        <f>0/100</f>
        <v>0</v>
      </c>
      <c r="J13" s="8">
        <f t="shared" si="6"/>
        <v>0</v>
      </c>
      <c r="K13" s="2" t="s">
        <v>34</v>
      </c>
      <c r="L13" s="2">
        <f>21.7/100</f>
        <v>0.217</v>
      </c>
      <c r="M13" s="2">
        <f t="shared" si="7"/>
        <v>0.14227524276</v>
      </c>
    </row>
    <row r="14" spans="1:13" x14ac:dyDescent="0.25">
      <c r="A14" s="4">
        <v>26.771999999999998</v>
      </c>
      <c r="B14" s="4" t="s">
        <v>2</v>
      </c>
      <c r="C14" s="5">
        <f t="shared" si="0"/>
        <v>0.155</v>
      </c>
      <c r="D14" s="6">
        <f t="shared" si="3"/>
        <v>4.1496599999999999</v>
      </c>
      <c r="E14" s="6" t="s">
        <v>15</v>
      </c>
      <c r="F14" s="8">
        <v>0.158</v>
      </c>
      <c r="G14" s="6">
        <f t="shared" si="5"/>
        <v>0.65564628000000003</v>
      </c>
      <c r="H14" s="6" t="s">
        <v>8</v>
      </c>
      <c r="I14" s="6">
        <f>42.6/100</f>
        <v>0.42599999999999999</v>
      </c>
      <c r="J14" s="8">
        <f>I14*G14</f>
        <v>0.27930531528000002</v>
      </c>
      <c r="K14" s="2" t="s">
        <v>35</v>
      </c>
      <c r="L14" s="2">
        <f>20.2/100</f>
        <v>0.20199999999999999</v>
      </c>
      <c r="M14" s="2">
        <f t="shared" si="7"/>
        <v>0.13244054855999998</v>
      </c>
    </row>
    <row r="15" spans="1:13" x14ac:dyDescent="0.25">
      <c r="A15" s="4">
        <v>26.771999999999998</v>
      </c>
      <c r="B15" s="4" t="s">
        <v>2</v>
      </c>
      <c r="C15" s="5">
        <f t="shared" si="0"/>
        <v>0.155</v>
      </c>
      <c r="D15" s="6">
        <f t="shared" si="3"/>
        <v>4.1496599999999999</v>
      </c>
      <c r="E15" s="6" t="s">
        <v>15</v>
      </c>
      <c r="F15" s="8">
        <v>0.158</v>
      </c>
      <c r="G15" s="6">
        <f t="shared" si="5"/>
        <v>0.65564628000000003</v>
      </c>
      <c r="H15" s="6" t="s">
        <v>10</v>
      </c>
      <c r="I15" s="6">
        <f>13.3/100</f>
        <v>0.13300000000000001</v>
      </c>
      <c r="J15" s="8">
        <f t="shared" si="6"/>
        <v>8.7200955240000003E-2</v>
      </c>
      <c r="K15" s="2" t="s">
        <v>36</v>
      </c>
      <c r="L15" s="2">
        <f>20.4/100</f>
        <v>0.20399999999999999</v>
      </c>
      <c r="M15" s="2">
        <f t="shared" si="7"/>
        <v>0.13375184111999999</v>
      </c>
    </row>
    <row r="16" spans="1:13" x14ac:dyDescent="0.25">
      <c r="A16" s="4">
        <v>26.771999999999998</v>
      </c>
      <c r="B16" s="4" t="s">
        <v>2</v>
      </c>
      <c r="C16" s="5">
        <f t="shared" si="0"/>
        <v>0.155</v>
      </c>
      <c r="D16" s="6">
        <f t="shared" si="3"/>
        <v>4.1496599999999999</v>
      </c>
      <c r="E16" s="6" t="s">
        <v>15</v>
      </c>
      <c r="F16" s="8">
        <v>0.158</v>
      </c>
      <c r="G16" s="6">
        <f t="shared" si="5"/>
        <v>0.65564628000000003</v>
      </c>
      <c r="H16" s="6" t="s">
        <v>9</v>
      </c>
      <c r="I16" s="6">
        <f>41.8/100</f>
        <v>0.41799999999999998</v>
      </c>
      <c r="J16" s="8">
        <f t="shared" si="6"/>
        <v>0.27406014503999998</v>
      </c>
      <c r="K16" s="2" t="s">
        <v>37</v>
      </c>
      <c r="L16" s="2">
        <f>30/100</f>
        <v>0.3</v>
      </c>
      <c r="M16" s="2">
        <f t="shared" si="7"/>
        <v>0.19669388400000001</v>
      </c>
    </row>
    <row r="17" spans="1:13" x14ac:dyDescent="0.25">
      <c r="A17" s="4">
        <v>26.771999999999998</v>
      </c>
      <c r="B17" s="4" t="s">
        <v>2</v>
      </c>
      <c r="C17" s="5">
        <f t="shared" si="0"/>
        <v>0.155</v>
      </c>
      <c r="D17" s="6">
        <f t="shared" si="3"/>
        <v>4.1496599999999999</v>
      </c>
      <c r="E17" s="6" t="s">
        <v>15</v>
      </c>
      <c r="F17" s="8">
        <v>0.158</v>
      </c>
      <c r="G17" s="6">
        <f t="shared" si="5"/>
        <v>0.65564628000000003</v>
      </c>
      <c r="H17" s="6" t="s">
        <v>55</v>
      </c>
      <c r="I17" s="6">
        <f>0.09/100</f>
        <v>8.9999999999999998E-4</v>
      </c>
      <c r="J17" s="8">
        <f>I17*G17</f>
        <v>5.90081652E-4</v>
      </c>
      <c r="K17" s="2" t="s">
        <v>38</v>
      </c>
      <c r="L17" s="2">
        <f>1.1/100</f>
        <v>1.1000000000000001E-2</v>
      </c>
      <c r="M17" s="2">
        <f>L17*G17</f>
        <v>7.2121090800000009E-3</v>
      </c>
    </row>
    <row r="18" spans="1:13" x14ac:dyDescent="0.25">
      <c r="A18" s="4">
        <v>26.771999999999998</v>
      </c>
      <c r="B18" s="4" t="s">
        <v>2</v>
      </c>
      <c r="C18" s="5">
        <f t="shared" si="0"/>
        <v>0.155</v>
      </c>
      <c r="D18" s="6">
        <f t="shared" si="3"/>
        <v>4.1496599999999999</v>
      </c>
      <c r="E18" s="6" t="s">
        <v>15</v>
      </c>
      <c r="F18" s="8">
        <v>0.158</v>
      </c>
      <c r="G18" s="6">
        <f t="shared" si="5"/>
        <v>0.65564628000000003</v>
      </c>
      <c r="H18" s="6"/>
      <c r="I18" s="6"/>
      <c r="J18" s="8"/>
      <c r="K18" s="2" t="s">
        <v>39</v>
      </c>
      <c r="L18" s="2">
        <f>0/100</f>
        <v>0</v>
      </c>
      <c r="M18" s="2">
        <f t="shared" si="7"/>
        <v>0</v>
      </c>
    </row>
    <row r="19" spans="1:13" x14ac:dyDescent="0.25">
      <c r="A19" s="4">
        <v>26.771999999999998</v>
      </c>
      <c r="B19" s="4" t="s">
        <v>2</v>
      </c>
      <c r="C19" s="5">
        <f t="shared" si="0"/>
        <v>0.155</v>
      </c>
      <c r="D19" s="6">
        <f t="shared" si="3"/>
        <v>4.1496599999999999</v>
      </c>
      <c r="E19" s="6" t="s">
        <v>45</v>
      </c>
      <c r="F19" s="6">
        <v>0.14199999999999999</v>
      </c>
      <c r="G19" s="6">
        <f>F19*D19</f>
        <v>0.58925171999999992</v>
      </c>
      <c r="H19" s="6" t="s">
        <v>11</v>
      </c>
      <c r="I19" s="6">
        <f>8.2/100</f>
        <v>8.199999999999999E-2</v>
      </c>
      <c r="J19" s="6">
        <f>I19*G19</f>
        <v>4.8318641039999985E-2</v>
      </c>
      <c r="K19" s="2" t="s">
        <v>32</v>
      </c>
      <c r="L19" s="2">
        <f>2.7/100</f>
        <v>2.7000000000000003E-2</v>
      </c>
      <c r="M19" s="2">
        <f>L19*G19</f>
        <v>1.5909796439999999E-2</v>
      </c>
    </row>
    <row r="20" spans="1:13" x14ac:dyDescent="0.25">
      <c r="A20" s="4">
        <v>26.771999999999998</v>
      </c>
      <c r="B20" s="4" t="s">
        <v>2</v>
      </c>
      <c r="C20" s="5">
        <f t="shared" si="0"/>
        <v>0.155</v>
      </c>
      <c r="D20" s="6">
        <f t="shared" si="3"/>
        <v>4.1496599999999999</v>
      </c>
      <c r="E20" s="6" t="s">
        <v>16</v>
      </c>
      <c r="F20" s="6">
        <v>0.14199999999999999</v>
      </c>
      <c r="G20" s="6">
        <f t="shared" ref="G20:G97" si="8">F20*D20</f>
        <v>0.58925171999999992</v>
      </c>
      <c r="H20" s="6" t="s">
        <v>12</v>
      </c>
      <c r="I20" s="6">
        <f>4/100</f>
        <v>0.04</v>
      </c>
      <c r="J20" s="6">
        <f t="shared" ref="J20:J25" si="9">I20*G20</f>
        <v>2.3570068799999996E-2</v>
      </c>
      <c r="K20" s="2" t="s">
        <v>33</v>
      </c>
      <c r="L20" s="2">
        <f>9.3/100</f>
        <v>9.3000000000000013E-2</v>
      </c>
      <c r="M20" s="2">
        <f t="shared" ref="M20:M26" si="10">L20*G20</f>
        <v>5.4800409959999997E-2</v>
      </c>
    </row>
    <row r="21" spans="1:13" x14ac:dyDescent="0.25">
      <c r="A21" s="4">
        <v>26.771999999999998</v>
      </c>
      <c r="B21" s="4" t="s">
        <v>2</v>
      </c>
      <c r="C21" s="5">
        <f t="shared" si="0"/>
        <v>0.155</v>
      </c>
      <c r="D21" s="6">
        <f t="shared" si="3"/>
        <v>4.1496599999999999</v>
      </c>
      <c r="E21" s="6" t="s">
        <v>16</v>
      </c>
      <c r="F21" s="6">
        <v>0.14199999999999999</v>
      </c>
      <c r="G21" s="6">
        <f t="shared" si="8"/>
        <v>0.58925171999999992</v>
      </c>
      <c r="H21" s="6" t="s">
        <v>7</v>
      </c>
      <c r="I21" s="6">
        <f>3/100</f>
        <v>0.03</v>
      </c>
      <c r="J21" s="6">
        <f t="shared" si="9"/>
        <v>1.7677551599999997E-2</v>
      </c>
      <c r="K21" s="2" t="s">
        <v>34</v>
      </c>
      <c r="L21" s="2">
        <f>15.2/100</f>
        <v>0.152</v>
      </c>
      <c r="M21" s="2">
        <f t="shared" si="10"/>
        <v>8.9566261439999989E-2</v>
      </c>
    </row>
    <row r="22" spans="1:13" x14ac:dyDescent="0.25">
      <c r="A22" s="4">
        <v>26.771999999999998</v>
      </c>
      <c r="B22" s="4" t="s">
        <v>2</v>
      </c>
      <c r="C22" s="5">
        <f t="shared" si="0"/>
        <v>0.155</v>
      </c>
      <c r="D22" s="6">
        <f t="shared" si="3"/>
        <v>4.1496599999999999</v>
      </c>
      <c r="E22" s="6" t="s">
        <v>16</v>
      </c>
      <c r="F22" s="6">
        <v>0.14199999999999999</v>
      </c>
      <c r="G22" s="6">
        <f t="shared" si="8"/>
        <v>0.58925171999999992</v>
      </c>
      <c r="H22" s="6" t="s">
        <v>8</v>
      </c>
      <c r="I22" s="6">
        <f>21.9/100</f>
        <v>0.21899999999999997</v>
      </c>
      <c r="J22" s="6">
        <f t="shared" si="9"/>
        <v>0.12904612667999996</v>
      </c>
      <c r="K22" s="2" t="s">
        <v>35</v>
      </c>
      <c r="L22" s="2">
        <f>29/100</f>
        <v>0.28999999999999998</v>
      </c>
      <c r="M22" s="2">
        <f t="shared" si="10"/>
        <v>0.17088299879999996</v>
      </c>
    </row>
    <row r="23" spans="1:13" x14ac:dyDescent="0.25">
      <c r="A23" s="4">
        <v>26.771999999999998</v>
      </c>
      <c r="B23" s="4" t="s">
        <v>2</v>
      </c>
      <c r="C23" s="5">
        <f t="shared" si="0"/>
        <v>0.155</v>
      </c>
      <c r="D23" s="6">
        <f t="shared" si="3"/>
        <v>4.1496599999999999</v>
      </c>
      <c r="E23" s="6" t="s">
        <v>16</v>
      </c>
      <c r="F23" s="6">
        <v>0.14199999999999999</v>
      </c>
      <c r="G23" s="6">
        <f t="shared" si="8"/>
        <v>0.58925171999999992</v>
      </c>
      <c r="H23" s="6" t="s">
        <v>10</v>
      </c>
      <c r="I23" s="6">
        <f>7.6/100</f>
        <v>7.5999999999999998E-2</v>
      </c>
      <c r="J23" s="6">
        <f t="shared" si="9"/>
        <v>4.4783130719999995E-2</v>
      </c>
      <c r="K23" s="2" t="s">
        <v>36</v>
      </c>
      <c r="L23" s="2">
        <f>20.7/100</f>
        <v>0.20699999999999999</v>
      </c>
      <c r="M23" s="2">
        <f t="shared" si="10"/>
        <v>0.12197510603999998</v>
      </c>
    </row>
    <row r="24" spans="1:13" x14ac:dyDescent="0.25">
      <c r="A24" s="4">
        <v>26.771999999999998</v>
      </c>
      <c r="B24" s="4" t="s">
        <v>2</v>
      </c>
      <c r="C24" s="5">
        <f t="shared" si="0"/>
        <v>0.155</v>
      </c>
      <c r="D24" s="6">
        <f t="shared" si="3"/>
        <v>4.1496599999999999</v>
      </c>
      <c r="E24" s="6" t="s">
        <v>16</v>
      </c>
      <c r="F24" s="6">
        <v>0.14199999999999999</v>
      </c>
      <c r="G24" s="6">
        <f t="shared" si="8"/>
        <v>0.58925171999999992</v>
      </c>
      <c r="H24" s="6" t="s">
        <v>9</v>
      </c>
      <c r="I24" s="6">
        <f>53.6/100</f>
        <v>0.53600000000000003</v>
      </c>
      <c r="J24" s="6">
        <f t="shared" si="9"/>
        <v>0.31583892191999996</v>
      </c>
      <c r="K24" s="2" t="s">
        <v>37</v>
      </c>
      <c r="L24" s="2">
        <f>20.4/100</f>
        <v>0.20399999999999999</v>
      </c>
      <c r="M24" s="2">
        <f t="shared" si="10"/>
        <v>0.12020735087999998</v>
      </c>
    </row>
    <row r="25" spans="1:13" x14ac:dyDescent="0.25">
      <c r="A25" s="4">
        <v>26.771999999999998</v>
      </c>
      <c r="B25" s="4" t="s">
        <v>2</v>
      </c>
      <c r="C25" s="5">
        <f t="shared" si="0"/>
        <v>0.155</v>
      </c>
      <c r="D25" s="6">
        <f t="shared" si="3"/>
        <v>4.1496599999999999</v>
      </c>
      <c r="E25" s="6" t="s">
        <v>16</v>
      </c>
      <c r="F25" s="6">
        <v>0.14199999999999999</v>
      </c>
      <c r="G25" s="6">
        <f t="shared" si="8"/>
        <v>0.58925171999999992</v>
      </c>
      <c r="H25" s="6" t="s">
        <v>55</v>
      </c>
      <c r="I25" s="6">
        <f>1.7/100</f>
        <v>1.7000000000000001E-2</v>
      </c>
      <c r="J25" s="6">
        <f t="shared" si="9"/>
        <v>1.001727924E-2</v>
      </c>
      <c r="K25" s="2" t="s">
        <v>38</v>
      </c>
      <c r="L25" s="2">
        <f>2/100</f>
        <v>0.02</v>
      </c>
      <c r="M25" s="2">
        <f t="shared" si="10"/>
        <v>1.1785034399999998E-2</v>
      </c>
    </row>
    <row r="26" spans="1:13" x14ac:dyDescent="0.25">
      <c r="A26" s="4">
        <v>26.771999999999998</v>
      </c>
      <c r="B26" s="4" t="s">
        <v>2</v>
      </c>
      <c r="C26" s="5">
        <f t="shared" si="0"/>
        <v>0.155</v>
      </c>
      <c r="D26" s="6">
        <f t="shared" si="3"/>
        <v>4.1496599999999999</v>
      </c>
      <c r="E26" s="6" t="s">
        <v>16</v>
      </c>
      <c r="F26" s="6">
        <v>0.14199999999999999</v>
      </c>
      <c r="G26" s="6">
        <f t="shared" si="8"/>
        <v>0.58925171999999992</v>
      </c>
      <c r="H26" s="6"/>
      <c r="I26" s="6"/>
      <c r="J26" s="6"/>
      <c r="K26" s="2" t="s">
        <v>39</v>
      </c>
      <c r="L26" s="2">
        <f>0.7/100</f>
        <v>6.9999999999999993E-3</v>
      </c>
      <c r="M26" s="2">
        <f t="shared" si="10"/>
        <v>4.1247620399999987E-3</v>
      </c>
    </row>
    <row r="27" spans="1:13" x14ac:dyDescent="0.25">
      <c r="A27" s="4">
        <v>26.771999999999998</v>
      </c>
      <c r="B27" s="4" t="s">
        <v>2</v>
      </c>
      <c r="C27" s="5">
        <f t="shared" si="0"/>
        <v>0.155</v>
      </c>
      <c r="D27" s="6">
        <f t="shared" si="3"/>
        <v>4.1496599999999999</v>
      </c>
      <c r="E27" s="6" t="s">
        <v>46</v>
      </c>
      <c r="F27" s="8">
        <v>0.19399999999999998</v>
      </c>
      <c r="G27" s="6">
        <f t="shared" si="8"/>
        <v>0.8050340399999999</v>
      </c>
      <c r="H27" s="6" t="s">
        <v>11</v>
      </c>
      <c r="I27" s="8">
        <f>26.1/100</f>
        <v>0.26100000000000001</v>
      </c>
      <c r="J27" s="8">
        <f>I27*G27</f>
        <v>0.21011388443999998</v>
      </c>
      <c r="K27" s="2" t="s">
        <v>32</v>
      </c>
      <c r="L27" s="2">
        <f>3/100</f>
        <v>0.03</v>
      </c>
      <c r="M27" s="2">
        <f>L27*G27</f>
        <v>2.4151021199999997E-2</v>
      </c>
    </row>
    <row r="28" spans="1:13" x14ac:dyDescent="0.25">
      <c r="A28" s="4">
        <v>26.771999999999998</v>
      </c>
      <c r="B28" s="4" t="s">
        <v>2</v>
      </c>
      <c r="C28" s="5">
        <f t="shared" si="0"/>
        <v>0.155</v>
      </c>
      <c r="D28" s="6">
        <f t="shared" si="3"/>
        <v>4.1496599999999999</v>
      </c>
      <c r="E28" s="6" t="s">
        <v>13</v>
      </c>
      <c r="F28" s="8">
        <v>0.19399999999999998</v>
      </c>
      <c r="G28" s="6">
        <f t="shared" si="8"/>
        <v>0.8050340399999999</v>
      </c>
      <c r="H28" s="6" t="s">
        <v>12</v>
      </c>
      <c r="I28" s="8">
        <f>6.3/100</f>
        <v>6.3E-2</v>
      </c>
      <c r="J28" s="8">
        <f t="shared" ref="J28:J33" si="11">I28*G28</f>
        <v>5.0717144519999993E-2</v>
      </c>
      <c r="K28" s="2" t="s">
        <v>33</v>
      </c>
      <c r="L28" s="2">
        <f>8.6/100</f>
        <v>8.5999999999999993E-2</v>
      </c>
      <c r="M28" s="2">
        <f t="shared" ref="M28:M34" si="12">L28*G28</f>
        <v>6.9232927439999981E-2</v>
      </c>
    </row>
    <row r="29" spans="1:13" x14ac:dyDescent="0.25">
      <c r="A29" s="4">
        <v>26.771999999999998</v>
      </c>
      <c r="B29" s="4" t="s">
        <v>2</v>
      </c>
      <c r="C29" s="5">
        <f t="shared" si="0"/>
        <v>0.155</v>
      </c>
      <c r="D29" s="6">
        <f t="shared" si="3"/>
        <v>4.1496599999999999</v>
      </c>
      <c r="E29" s="6" t="s">
        <v>13</v>
      </c>
      <c r="F29" s="8">
        <v>0.19399999999999998</v>
      </c>
      <c r="G29" s="6">
        <f t="shared" si="8"/>
        <v>0.8050340399999999</v>
      </c>
      <c r="H29" s="6" t="s">
        <v>7</v>
      </c>
      <c r="I29" s="8">
        <f>10.1/100</f>
        <v>0.10099999999999999</v>
      </c>
      <c r="J29" s="8">
        <f t="shared" si="11"/>
        <v>8.1308438039999986E-2</v>
      </c>
      <c r="K29" s="2" t="s">
        <v>34</v>
      </c>
      <c r="L29" s="2">
        <f>11.7/100</f>
        <v>0.11699999999999999</v>
      </c>
      <c r="M29" s="2">
        <f t="shared" si="12"/>
        <v>9.4188982679999977E-2</v>
      </c>
    </row>
    <row r="30" spans="1:13" x14ac:dyDescent="0.25">
      <c r="A30" s="4">
        <v>26.771999999999998</v>
      </c>
      <c r="B30" s="4" t="s">
        <v>2</v>
      </c>
      <c r="C30" s="5">
        <f t="shared" si="0"/>
        <v>0.155</v>
      </c>
      <c r="D30" s="6">
        <f t="shared" si="3"/>
        <v>4.1496599999999999</v>
      </c>
      <c r="E30" s="6" t="s">
        <v>13</v>
      </c>
      <c r="F30" s="8">
        <v>0.19399999999999998</v>
      </c>
      <c r="G30" s="6">
        <f t="shared" si="8"/>
        <v>0.8050340399999999</v>
      </c>
      <c r="H30" s="6" t="s">
        <v>8</v>
      </c>
      <c r="I30" s="8">
        <f>31.3/100</f>
        <v>0.313</v>
      </c>
      <c r="J30" s="8">
        <f t="shared" si="11"/>
        <v>0.25197565451999998</v>
      </c>
      <c r="K30" s="2" t="s">
        <v>35</v>
      </c>
      <c r="L30" s="2">
        <f>28.5/100</f>
        <v>0.28499999999999998</v>
      </c>
      <c r="M30" s="2">
        <f t="shared" si="12"/>
        <v>0.22943470139999994</v>
      </c>
    </row>
    <row r="31" spans="1:13" x14ac:dyDescent="0.25">
      <c r="A31" s="4">
        <v>26.771999999999998</v>
      </c>
      <c r="B31" s="4" t="s">
        <v>2</v>
      </c>
      <c r="C31" s="5">
        <f t="shared" si="0"/>
        <v>0.155</v>
      </c>
      <c r="D31" s="6">
        <f t="shared" si="3"/>
        <v>4.1496599999999999</v>
      </c>
      <c r="E31" s="6" t="s">
        <v>13</v>
      </c>
      <c r="F31" s="8">
        <v>0.19399999999999998</v>
      </c>
      <c r="G31" s="6">
        <f t="shared" si="8"/>
        <v>0.8050340399999999</v>
      </c>
      <c r="H31" s="6" t="s">
        <v>10</v>
      </c>
      <c r="I31" s="8">
        <f>4.2/100</f>
        <v>4.2000000000000003E-2</v>
      </c>
      <c r="J31" s="8">
        <f t="shared" si="11"/>
        <v>3.3811429679999998E-2</v>
      </c>
      <c r="K31" s="2" t="s">
        <v>36</v>
      </c>
      <c r="L31" s="2">
        <f>26/100</f>
        <v>0.26</v>
      </c>
      <c r="M31" s="2">
        <f t="shared" si="12"/>
        <v>0.20930885039999997</v>
      </c>
    </row>
    <row r="32" spans="1:13" x14ac:dyDescent="0.25">
      <c r="A32" s="4">
        <v>26.771999999999998</v>
      </c>
      <c r="B32" s="4" t="s">
        <v>2</v>
      </c>
      <c r="C32" s="5">
        <f t="shared" si="0"/>
        <v>0.155</v>
      </c>
      <c r="D32" s="6">
        <f t="shared" si="3"/>
        <v>4.1496599999999999</v>
      </c>
      <c r="E32" s="6" t="s">
        <v>13</v>
      </c>
      <c r="F32" s="8">
        <v>0.19399999999999998</v>
      </c>
      <c r="G32" s="6">
        <f t="shared" si="8"/>
        <v>0.8050340399999999</v>
      </c>
      <c r="H32" s="6" t="s">
        <v>9</v>
      </c>
      <c r="I32" s="8">
        <f>20.8/100</f>
        <v>0.20800000000000002</v>
      </c>
      <c r="J32" s="8">
        <f t="shared" si="11"/>
        <v>0.16744708032</v>
      </c>
      <c r="K32" s="2" t="s">
        <v>37</v>
      </c>
      <c r="L32" s="2">
        <f>18.5/100</f>
        <v>0.185</v>
      </c>
      <c r="M32" s="2">
        <f t="shared" si="12"/>
        <v>0.14893129739999997</v>
      </c>
    </row>
    <row r="33" spans="1:13" x14ac:dyDescent="0.25">
      <c r="A33" s="4">
        <v>26.771999999999998</v>
      </c>
      <c r="B33" s="4" t="s">
        <v>2</v>
      </c>
      <c r="C33" s="5">
        <f t="shared" si="0"/>
        <v>0.155</v>
      </c>
      <c r="D33" s="6">
        <f t="shared" si="3"/>
        <v>4.1496599999999999</v>
      </c>
      <c r="E33" s="6" t="s">
        <v>13</v>
      </c>
      <c r="F33" s="8">
        <v>0.19399999999999998</v>
      </c>
      <c r="G33" s="6">
        <f t="shared" si="8"/>
        <v>0.8050340399999999</v>
      </c>
      <c r="H33" s="6" t="s">
        <v>55</v>
      </c>
      <c r="I33" s="8">
        <f>1.2/100</f>
        <v>1.2E-2</v>
      </c>
      <c r="J33" s="8">
        <f t="shared" si="11"/>
        <v>9.6604084799999986E-3</v>
      </c>
      <c r="K33" s="2" t="s">
        <v>38</v>
      </c>
      <c r="L33" s="2">
        <f>2.1/100</f>
        <v>2.1000000000000001E-2</v>
      </c>
      <c r="M33" s="2">
        <f t="shared" si="12"/>
        <v>1.6905714839999999E-2</v>
      </c>
    </row>
    <row r="34" spans="1:13" x14ac:dyDescent="0.25">
      <c r="A34" s="4">
        <v>26.771999999999998</v>
      </c>
      <c r="B34" s="4" t="s">
        <v>2</v>
      </c>
      <c r="C34" s="5">
        <f t="shared" si="0"/>
        <v>0.155</v>
      </c>
      <c r="D34" s="6">
        <f t="shared" si="3"/>
        <v>4.1496599999999999</v>
      </c>
      <c r="E34" s="6" t="s">
        <v>13</v>
      </c>
      <c r="F34" s="8">
        <v>0.19399999999999998</v>
      </c>
      <c r="G34" s="6">
        <f t="shared" si="8"/>
        <v>0.8050340399999999</v>
      </c>
      <c r="H34" s="6"/>
      <c r="I34" s="8"/>
      <c r="J34" s="8"/>
      <c r="K34" s="2" t="s">
        <v>39</v>
      </c>
      <c r="L34" s="2">
        <f>1.5/100</f>
        <v>1.4999999999999999E-2</v>
      </c>
      <c r="M34" s="2">
        <f t="shared" si="12"/>
        <v>1.2075510599999999E-2</v>
      </c>
    </row>
    <row r="35" spans="1:13" x14ac:dyDescent="0.25">
      <c r="A35" s="4">
        <v>26.771999999999998</v>
      </c>
      <c r="B35" s="4" t="s">
        <v>2</v>
      </c>
      <c r="C35" s="5">
        <f t="shared" si="0"/>
        <v>0.155</v>
      </c>
      <c r="D35" s="6">
        <f t="shared" si="3"/>
        <v>4.1496599999999999</v>
      </c>
      <c r="E35" s="8" t="s">
        <v>47</v>
      </c>
      <c r="F35" s="6">
        <v>0.10099999999999999</v>
      </c>
      <c r="G35" s="6">
        <f t="shared" si="8"/>
        <v>0.41911565999999995</v>
      </c>
      <c r="H35" s="6" t="s">
        <v>11</v>
      </c>
      <c r="I35" s="6">
        <f>0/100</f>
        <v>0</v>
      </c>
      <c r="J35" s="6">
        <f>I35*G35</f>
        <v>0</v>
      </c>
      <c r="K35" s="2" t="s">
        <v>32</v>
      </c>
      <c r="L35" s="2">
        <f>0/100</f>
        <v>0</v>
      </c>
      <c r="M35" s="2">
        <f>L35*G35</f>
        <v>0</v>
      </c>
    </row>
    <row r="36" spans="1:13" x14ac:dyDescent="0.25">
      <c r="A36" s="4">
        <v>26.771999999999998</v>
      </c>
      <c r="B36" s="4" t="s">
        <v>2</v>
      </c>
      <c r="C36" s="5">
        <f t="shared" si="0"/>
        <v>0.155</v>
      </c>
      <c r="D36" s="6">
        <f t="shared" si="3"/>
        <v>4.1496599999999999</v>
      </c>
      <c r="E36" s="8" t="s">
        <v>17</v>
      </c>
      <c r="F36" s="6">
        <v>0.10099999999999999</v>
      </c>
      <c r="G36" s="6">
        <f t="shared" si="8"/>
        <v>0.41911565999999995</v>
      </c>
      <c r="H36" s="6" t="s">
        <v>12</v>
      </c>
      <c r="I36" s="6">
        <f>4.4/100</f>
        <v>4.4000000000000004E-2</v>
      </c>
      <c r="J36" s="6">
        <f t="shared" ref="J36:J41" si="13">I36*G36</f>
        <v>1.8441089040000001E-2</v>
      </c>
      <c r="K36" s="2" t="s">
        <v>33</v>
      </c>
      <c r="L36" s="2">
        <f>0/100</f>
        <v>0</v>
      </c>
      <c r="M36" s="2">
        <f t="shared" ref="M36:M42" si="14">L36*G36</f>
        <v>0</v>
      </c>
    </row>
    <row r="37" spans="1:13" x14ac:dyDescent="0.25">
      <c r="A37" s="4">
        <v>26.771999999999998</v>
      </c>
      <c r="B37" s="4" t="s">
        <v>2</v>
      </c>
      <c r="C37" s="5">
        <f t="shared" si="0"/>
        <v>0.155</v>
      </c>
      <c r="D37" s="6">
        <f t="shared" si="3"/>
        <v>4.1496599999999999</v>
      </c>
      <c r="E37" s="8" t="s">
        <v>17</v>
      </c>
      <c r="F37" s="6">
        <v>0.10099999999999999</v>
      </c>
      <c r="G37" s="6">
        <f t="shared" si="8"/>
        <v>0.41911565999999995</v>
      </c>
      <c r="H37" s="6" t="s">
        <v>7</v>
      </c>
      <c r="I37" s="6">
        <f>0/100</f>
        <v>0</v>
      </c>
      <c r="J37" s="6">
        <f t="shared" si="13"/>
        <v>0</v>
      </c>
      <c r="K37" s="2" t="s">
        <v>34</v>
      </c>
      <c r="L37" s="2">
        <f>18.4/100</f>
        <v>0.184</v>
      </c>
      <c r="M37" s="2">
        <f t="shared" si="14"/>
        <v>7.7117281439999991E-2</v>
      </c>
    </row>
    <row r="38" spans="1:13" x14ac:dyDescent="0.25">
      <c r="A38" s="4">
        <v>26.771999999999998</v>
      </c>
      <c r="B38" s="4" t="s">
        <v>2</v>
      </c>
      <c r="C38" s="5">
        <f t="shared" si="0"/>
        <v>0.155</v>
      </c>
      <c r="D38" s="6">
        <f t="shared" si="3"/>
        <v>4.1496599999999999</v>
      </c>
      <c r="E38" s="8" t="s">
        <v>17</v>
      </c>
      <c r="F38" s="6">
        <v>0.10099999999999999</v>
      </c>
      <c r="G38" s="6">
        <f t="shared" si="8"/>
        <v>0.41911565999999995</v>
      </c>
      <c r="H38" s="6" t="s">
        <v>8</v>
      </c>
      <c r="I38" s="6">
        <f>52.4/100</f>
        <v>0.52400000000000002</v>
      </c>
      <c r="J38" s="6">
        <f t="shared" si="13"/>
        <v>0.21961660583999998</v>
      </c>
      <c r="K38" s="2" t="s">
        <v>35</v>
      </c>
      <c r="L38" s="2">
        <f>29.6/100</f>
        <v>0.29600000000000004</v>
      </c>
      <c r="M38" s="2">
        <f t="shared" si="14"/>
        <v>0.12405823536</v>
      </c>
    </row>
    <row r="39" spans="1:13" x14ac:dyDescent="0.25">
      <c r="A39" s="4">
        <v>26.771999999999998</v>
      </c>
      <c r="B39" s="4" t="s">
        <v>2</v>
      </c>
      <c r="C39" s="5">
        <f t="shared" si="0"/>
        <v>0.155</v>
      </c>
      <c r="D39" s="6">
        <f t="shared" si="3"/>
        <v>4.1496599999999999</v>
      </c>
      <c r="E39" s="8" t="s">
        <v>17</v>
      </c>
      <c r="F39" s="6">
        <v>0.10099999999999999</v>
      </c>
      <c r="G39" s="6">
        <f t="shared" si="8"/>
        <v>0.41911565999999995</v>
      </c>
      <c r="H39" s="6" t="s">
        <v>10</v>
      </c>
      <c r="I39">
        <f>0/100</f>
        <v>0</v>
      </c>
      <c r="J39" s="6">
        <f t="shared" si="13"/>
        <v>0</v>
      </c>
      <c r="K39" s="2" t="s">
        <v>36</v>
      </c>
      <c r="L39" s="2">
        <f>33.6/100</f>
        <v>0.33600000000000002</v>
      </c>
      <c r="M39" s="2">
        <f t="shared" si="14"/>
        <v>0.14082286176</v>
      </c>
    </row>
    <row r="40" spans="1:13" x14ac:dyDescent="0.25">
      <c r="A40" s="4">
        <v>26.771999999999998</v>
      </c>
      <c r="B40" s="4" t="s">
        <v>2</v>
      </c>
      <c r="C40" s="5">
        <f t="shared" si="0"/>
        <v>0.155</v>
      </c>
      <c r="D40" s="6">
        <f t="shared" si="3"/>
        <v>4.1496599999999999</v>
      </c>
      <c r="E40" s="8" t="s">
        <v>17</v>
      </c>
      <c r="F40" s="6">
        <v>0.10099999999999999</v>
      </c>
      <c r="G40" s="6">
        <f t="shared" si="8"/>
        <v>0.41911565999999995</v>
      </c>
      <c r="H40" s="6" t="s">
        <v>9</v>
      </c>
      <c r="I40" s="6">
        <f>41.8/100</f>
        <v>0.41799999999999998</v>
      </c>
      <c r="J40" s="6">
        <f t="shared" si="13"/>
        <v>0.17519034587999996</v>
      </c>
      <c r="K40" s="2" t="s">
        <v>37</v>
      </c>
      <c r="L40" s="2">
        <f>18.5/100</f>
        <v>0.185</v>
      </c>
      <c r="M40" s="2">
        <f t="shared" si="14"/>
        <v>7.7536397099999987E-2</v>
      </c>
    </row>
    <row r="41" spans="1:13" x14ac:dyDescent="0.25">
      <c r="A41" s="4">
        <v>26.771999999999998</v>
      </c>
      <c r="B41" s="4" t="s">
        <v>2</v>
      </c>
      <c r="C41" s="5">
        <f t="shared" si="0"/>
        <v>0.155</v>
      </c>
      <c r="D41" s="6">
        <f t="shared" si="3"/>
        <v>4.1496599999999999</v>
      </c>
      <c r="E41" s="8" t="s">
        <v>17</v>
      </c>
      <c r="F41" s="6">
        <v>0.10099999999999999</v>
      </c>
      <c r="G41" s="6">
        <f t="shared" si="8"/>
        <v>0.41911565999999995</v>
      </c>
      <c r="H41" s="6" t="s">
        <v>55</v>
      </c>
      <c r="I41" s="6">
        <v>1.0000000000000001E-5</v>
      </c>
      <c r="J41" s="8">
        <f t="shared" si="13"/>
        <v>4.1911565999999999E-6</v>
      </c>
      <c r="K41" s="2" t="s">
        <v>38</v>
      </c>
      <c r="L41" s="2">
        <f>0/100</f>
        <v>0</v>
      </c>
      <c r="M41" s="2">
        <f t="shared" si="14"/>
        <v>0</v>
      </c>
    </row>
    <row r="42" spans="1:13" x14ac:dyDescent="0.25">
      <c r="A42" s="4">
        <v>26.771999999999998</v>
      </c>
      <c r="B42" s="4" t="s">
        <v>2</v>
      </c>
      <c r="C42" s="5">
        <f t="shared" si="0"/>
        <v>0.155</v>
      </c>
      <c r="D42" s="6">
        <f t="shared" si="3"/>
        <v>4.1496599999999999</v>
      </c>
      <c r="E42" s="8" t="s">
        <v>17</v>
      </c>
      <c r="F42" s="6">
        <v>0.10099999999999999</v>
      </c>
      <c r="G42" s="6">
        <f t="shared" si="8"/>
        <v>0.41911565999999995</v>
      </c>
      <c r="H42" s="6"/>
      <c r="I42" s="6"/>
      <c r="J42" s="6"/>
      <c r="K42" s="2" t="s">
        <v>39</v>
      </c>
      <c r="L42" s="2">
        <f>0/100</f>
        <v>0</v>
      </c>
      <c r="M42" s="2">
        <f t="shared" si="14"/>
        <v>0</v>
      </c>
    </row>
    <row r="43" spans="1:13" x14ac:dyDescent="0.25">
      <c r="A43" s="4">
        <v>26.771999999999998</v>
      </c>
      <c r="B43" s="4" t="s">
        <v>2</v>
      </c>
      <c r="C43" s="5">
        <f t="shared" si="0"/>
        <v>0.155</v>
      </c>
      <c r="D43" s="6">
        <f t="shared" si="3"/>
        <v>4.1496599999999999</v>
      </c>
      <c r="E43" s="2" t="s">
        <v>18</v>
      </c>
      <c r="F43" s="6">
        <v>9.1999999999999998E-2</v>
      </c>
      <c r="G43" s="6">
        <f t="shared" si="8"/>
        <v>0.38176872000000001</v>
      </c>
      <c r="H43" s="6" t="s">
        <v>11</v>
      </c>
      <c r="I43" s="8">
        <f>45.6/100</f>
        <v>0.45600000000000002</v>
      </c>
      <c r="J43" s="6">
        <f>I43*G43</f>
        <v>0.17408653632000001</v>
      </c>
      <c r="K43" s="2" t="s">
        <v>32</v>
      </c>
      <c r="L43" s="2">
        <f>5.1/100</f>
        <v>5.0999999999999997E-2</v>
      </c>
      <c r="M43" s="2">
        <f>L43*G43</f>
        <v>1.9470204719999998E-2</v>
      </c>
    </row>
    <row r="44" spans="1:13" x14ac:dyDescent="0.25">
      <c r="A44" s="4">
        <v>26.771999999999998</v>
      </c>
      <c r="B44" s="4" t="s">
        <v>2</v>
      </c>
      <c r="C44" s="5">
        <f t="shared" si="0"/>
        <v>0.155</v>
      </c>
      <c r="D44" s="6">
        <f t="shared" si="3"/>
        <v>4.1496599999999999</v>
      </c>
      <c r="E44" s="2" t="s">
        <v>18</v>
      </c>
      <c r="F44" s="6">
        <v>9.1999999999999998E-2</v>
      </c>
      <c r="G44" s="6">
        <f t="shared" si="8"/>
        <v>0.38176872000000001</v>
      </c>
      <c r="H44" s="6" t="s">
        <v>12</v>
      </c>
      <c r="I44" s="8">
        <f>4/100</f>
        <v>0.04</v>
      </c>
      <c r="J44" s="6">
        <f t="shared" ref="J44:J49" si="15">I44*G44</f>
        <v>1.5270748800000001E-2</v>
      </c>
      <c r="K44" s="2" t="s">
        <v>33</v>
      </c>
      <c r="L44" s="2">
        <f>7.4/100</f>
        <v>7.400000000000001E-2</v>
      </c>
      <c r="M44" s="2">
        <f t="shared" ref="M44:M50" si="16">L44*G44</f>
        <v>2.8250885280000006E-2</v>
      </c>
    </row>
    <row r="45" spans="1:13" x14ac:dyDescent="0.25">
      <c r="A45" s="4">
        <v>26.771999999999998</v>
      </c>
      <c r="B45" s="4" t="s">
        <v>2</v>
      </c>
      <c r="C45" s="5">
        <f t="shared" si="0"/>
        <v>0.155</v>
      </c>
      <c r="D45" s="6">
        <f t="shared" si="3"/>
        <v>4.1496599999999999</v>
      </c>
      <c r="E45" s="2" t="s">
        <v>18</v>
      </c>
      <c r="F45" s="6">
        <v>9.1999999999999998E-2</v>
      </c>
      <c r="G45" s="6">
        <f t="shared" si="8"/>
        <v>0.38176872000000001</v>
      </c>
      <c r="H45" s="6" t="s">
        <v>7</v>
      </c>
      <c r="I45" s="8">
        <f>8/100</f>
        <v>0.08</v>
      </c>
      <c r="J45" s="6">
        <f t="shared" si="15"/>
        <v>3.0541497600000002E-2</v>
      </c>
      <c r="K45" s="2" t="s">
        <v>34</v>
      </c>
      <c r="L45" s="2">
        <f>13/100</f>
        <v>0.13</v>
      </c>
      <c r="M45" s="2">
        <f t="shared" si="16"/>
        <v>4.9629933600000002E-2</v>
      </c>
    </row>
    <row r="46" spans="1:13" x14ac:dyDescent="0.25">
      <c r="A46" s="4">
        <v>26.771999999999998</v>
      </c>
      <c r="B46" s="4" t="s">
        <v>2</v>
      </c>
      <c r="C46" s="5">
        <f t="shared" si="0"/>
        <v>0.155</v>
      </c>
      <c r="D46" s="6">
        <f t="shared" si="3"/>
        <v>4.1496599999999999</v>
      </c>
      <c r="E46" s="2" t="s">
        <v>18</v>
      </c>
      <c r="F46" s="6">
        <v>9.1999999999999998E-2</v>
      </c>
      <c r="G46" s="6">
        <f t="shared" si="8"/>
        <v>0.38176872000000001</v>
      </c>
      <c r="H46" s="6" t="s">
        <v>8</v>
      </c>
      <c r="I46" s="8">
        <f>18.2/100</f>
        <v>0.182</v>
      </c>
      <c r="J46" s="6">
        <f>I49*G46</f>
        <v>5.7265307999999999E-3</v>
      </c>
      <c r="K46" s="2" t="s">
        <v>35</v>
      </c>
      <c r="L46" s="2">
        <f>30.2/100</f>
        <v>0.30199999999999999</v>
      </c>
      <c r="M46" s="2">
        <f t="shared" si="16"/>
        <v>0.11529415344000001</v>
      </c>
    </row>
    <row r="47" spans="1:13" x14ac:dyDescent="0.25">
      <c r="A47" s="4">
        <v>26.771999999999998</v>
      </c>
      <c r="B47" s="4" t="s">
        <v>2</v>
      </c>
      <c r="C47" s="5">
        <f t="shared" si="0"/>
        <v>0.155</v>
      </c>
      <c r="D47" s="6">
        <f t="shared" si="3"/>
        <v>4.1496599999999999</v>
      </c>
      <c r="E47" s="2" t="s">
        <v>18</v>
      </c>
      <c r="F47" s="6">
        <v>9.1999999999999998E-2</v>
      </c>
      <c r="G47" s="6">
        <f t="shared" si="8"/>
        <v>0.38176872000000001</v>
      </c>
      <c r="H47" s="6" t="s">
        <v>10</v>
      </c>
      <c r="I47" s="8">
        <f>3.8/100</f>
        <v>3.7999999999999999E-2</v>
      </c>
      <c r="J47" s="6">
        <f>I46*G47</f>
        <v>6.9481907039999999E-2</v>
      </c>
      <c r="K47" s="2" t="s">
        <v>36</v>
      </c>
      <c r="L47" s="2">
        <f>25/100</f>
        <v>0.25</v>
      </c>
      <c r="M47" s="2">
        <f t="shared" si="16"/>
        <v>9.5442180000000001E-2</v>
      </c>
    </row>
    <row r="48" spans="1:13" x14ac:dyDescent="0.25">
      <c r="A48" s="4">
        <v>26.771999999999998</v>
      </c>
      <c r="B48" s="4" t="s">
        <v>2</v>
      </c>
      <c r="C48" s="5">
        <f t="shared" si="0"/>
        <v>0.155</v>
      </c>
      <c r="D48" s="6">
        <f t="shared" si="3"/>
        <v>4.1496599999999999</v>
      </c>
      <c r="E48" s="2" t="s">
        <v>48</v>
      </c>
      <c r="F48" s="6">
        <v>9.1999999999999998E-2</v>
      </c>
      <c r="G48" s="6">
        <f t="shared" si="8"/>
        <v>0.38176872000000001</v>
      </c>
      <c r="H48" s="6" t="s">
        <v>9</v>
      </c>
      <c r="I48" s="8">
        <f>19/100</f>
        <v>0.19</v>
      </c>
      <c r="J48" s="6">
        <f t="shared" si="15"/>
        <v>7.2536056799999998E-2</v>
      </c>
      <c r="K48" s="2" t="s">
        <v>37</v>
      </c>
      <c r="L48" s="2">
        <f>14.6/100</f>
        <v>0.14599999999999999</v>
      </c>
      <c r="M48" s="2">
        <f t="shared" si="16"/>
        <v>5.5738233119999994E-2</v>
      </c>
    </row>
    <row r="49" spans="1:13" x14ac:dyDescent="0.25">
      <c r="A49" s="4">
        <v>26.771999999999998</v>
      </c>
      <c r="B49" s="4" t="s">
        <v>2</v>
      </c>
      <c r="C49" s="5">
        <f t="shared" si="0"/>
        <v>0.155</v>
      </c>
      <c r="D49" s="6">
        <f t="shared" si="3"/>
        <v>4.1496599999999999</v>
      </c>
      <c r="E49" s="2" t="s">
        <v>18</v>
      </c>
      <c r="F49" s="6">
        <v>9.1999999999999998E-2</v>
      </c>
      <c r="G49" s="6">
        <f t="shared" si="8"/>
        <v>0.38176872000000001</v>
      </c>
      <c r="H49" s="6" t="s">
        <v>55</v>
      </c>
      <c r="I49" s="8">
        <f>1.5/100</f>
        <v>1.4999999999999999E-2</v>
      </c>
      <c r="J49" s="8">
        <f t="shared" si="15"/>
        <v>5.7265307999999999E-3</v>
      </c>
      <c r="K49" s="2" t="s">
        <v>38</v>
      </c>
      <c r="L49" s="2">
        <f>2.9/100</f>
        <v>2.8999999999999998E-2</v>
      </c>
      <c r="M49" s="2">
        <f t="shared" si="16"/>
        <v>1.107129288E-2</v>
      </c>
    </row>
    <row r="50" spans="1:13" x14ac:dyDescent="0.25">
      <c r="A50" s="4">
        <v>26.771999999999998</v>
      </c>
      <c r="B50" s="4" t="s">
        <v>2</v>
      </c>
      <c r="C50" s="5">
        <f t="shared" si="0"/>
        <v>0.155</v>
      </c>
      <c r="D50" s="6">
        <f t="shared" si="3"/>
        <v>4.1496599999999999</v>
      </c>
      <c r="E50" s="2" t="s">
        <v>18</v>
      </c>
      <c r="F50" s="6">
        <v>9.1999999999999998E-2</v>
      </c>
      <c r="G50" s="6">
        <f t="shared" si="8"/>
        <v>0.38176872000000001</v>
      </c>
      <c r="H50" s="6"/>
      <c r="I50" s="6"/>
      <c r="J50" s="6"/>
      <c r="K50" s="2" t="s">
        <v>39</v>
      </c>
      <c r="L50" s="2">
        <f>1.7/100</f>
        <v>1.7000000000000001E-2</v>
      </c>
      <c r="M50" s="2">
        <f t="shared" si="16"/>
        <v>6.4900682400000007E-3</v>
      </c>
    </row>
    <row r="51" spans="1:13" x14ac:dyDescent="0.25">
      <c r="A51" s="4">
        <v>26.771999999999998</v>
      </c>
      <c r="B51" s="2" t="s">
        <v>19</v>
      </c>
      <c r="C51" s="6">
        <f>84.5/100</f>
        <v>0.84499999999999997</v>
      </c>
      <c r="D51" s="6">
        <f t="shared" si="3"/>
        <v>22.622339999999998</v>
      </c>
      <c r="E51" s="6" t="s">
        <v>54</v>
      </c>
      <c r="F51" s="6">
        <v>0.83099999999999996</v>
      </c>
      <c r="G51" s="6">
        <f t="shared" si="8"/>
        <v>18.799164539999996</v>
      </c>
      <c r="H51" s="6" t="s">
        <v>11</v>
      </c>
      <c r="I51" s="6">
        <f>10.7/100</f>
        <v>0.107</v>
      </c>
      <c r="J51" s="6">
        <f>I51*G51</f>
        <v>2.0115106057799994</v>
      </c>
      <c r="K51" s="2" t="s">
        <v>32</v>
      </c>
      <c r="L51" s="2">
        <f>4.4/100</f>
        <v>4.4000000000000004E-2</v>
      </c>
      <c r="M51" s="2">
        <f>L51*G51</f>
        <v>0.82716323975999995</v>
      </c>
    </row>
    <row r="52" spans="1:13" x14ac:dyDescent="0.25">
      <c r="A52" s="4">
        <v>26.771999999999998</v>
      </c>
      <c r="B52" s="2" t="s">
        <v>19</v>
      </c>
      <c r="C52" s="6">
        <f t="shared" ref="C52:C98" si="17">84.5/100</f>
        <v>0.84499999999999997</v>
      </c>
      <c r="D52" s="6">
        <f t="shared" si="3"/>
        <v>22.622339999999998</v>
      </c>
      <c r="E52" s="6" t="s">
        <v>14</v>
      </c>
      <c r="F52" s="6">
        <v>0.83099999999999996</v>
      </c>
      <c r="G52" s="6">
        <f t="shared" si="8"/>
        <v>18.799164539999996</v>
      </c>
      <c r="H52" s="6" t="s">
        <v>12</v>
      </c>
      <c r="I52" s="6">
        <f>10/100</f>
        <v>0.1</v>
      </c>
      <c r="J52" s="6">
        <f t="shared" ref="J52:J55" si="18">I52*G52</f>
        <v>1.8799164539999997</v>
      </c>
      <c r="K52" s="2" t="s">
        <v>33</v>
      </c>
      <c r="L52" s="2">
        <f>9.1/100</f>
        <v>9.0999999999999998E-2</v>
      </c>
      <c r="M52" s="2">
        <f t="shared" ref="M52:M58" si="19">L52*G52</f>
        <v>1.7107239731399997</v>
      </c>
    </row>
    <row r="53" spans="1:13" x14ac:dyDescent="0.25">
      <c r="A53" s="4">
        <v>26.771999999999998</v>
      </c>
      <c r="B53" s="2" t="s">
        <v>19</v>
      </c>
      <c r="C53" s="6">
        <f t="shared" si="17"/>
        <v>0.84499999999999997</v>
      </c>
      <c r="D53" s="6">
        <f t="shared" si="3"/>
        <v>22.622339999999998</v>
      </c>
      <c r="E53" s="6" t="s">
        <v>14</v>
      </c>
      <c r="F53" s="6">
        <v>0.83099999999999996</v>
      </c>
      <c r="G53" s="6">
        <f t="shared" si="8"/>
        <v>18.799164539999996</v>
      </c>
      <c r="H53" s="6" t="s">
        <v>7</v>
      </c>
      <c r="I53" s="6">
        <f>15.8/100</f>
        <v>0.158</v>
      </c>
      <c r="J53" s="6">
        <f t="shared" si="18"/>
        <v>2.9702679973199992</v>
      </c>
      <c r="K53" s="2" t="s">
        <v>34</v>
      </c>
      <c r="L53" s="2">
        <f>16.2/100</f>
        <v>0.16200000000000001</v>
      </c>
      <c r="M53" s="2">
        <f t="shared" si="19"/>
        <v>3.0454646554799996</v>
      </c>
    </row>
    <row r="54" spans="1:13" x14ac:dyDescent="0.25">
      <c r="A54" s="4">
        <v>26.771999999999998</v>
      </c>
      <c r="B54" s="2" t="s">
        <v>19</v>
      </c>
      <c r="C54" s="6">
        <f t="shared" si="17"/>
        <v>0.84499999999999997</v>
      </c>
      <c r="D54" s="6">
        <f t="shared" si="3"/>
        <v>22.622339999999998</v>
      </c>
      <c r="E54" s="6" t="s">
        <v>14</v>
      </c>
      <c r="F54" s="6">
        <v>0.83099999999999996</v>
      </c>
      <c r="G54" s="6">
        <f t="shared" si="8"/>
        <v>18.799164539999996</v>
      </c>
      <c r="H54" s="6" t="s">
        <v>8</v>
      </c>
      <c r="I54" s="6">
        <f>35.3/100</f>
        <v>0.35299999999999998</v>
      </c>
      <c r="J54" s="6">
        <f t="shared" si="18"/>
        <v>6.6361050826199985</v>
      </c>
      <c r="K54" s="2" t="s">
        <v>35</v>
      </c>
      <c r="L54" s="2">
        <f>28.7/100</f>
        <v>0.28699999999999998</v>
      </c>
      <c r="M54" s="2">
        <f t="shared" si="19"/>
        <v>5.3953602229799982</v>
      </c>
    </row>
    <row r="55" spans="1:13" x14ac:dyDescent="0.25">
      <c r="A55" s="4">
        <v>26.771999999999998</v>
      </c>
      <c r="B55" s="2" t="s">
        <v>19</v>
      </c>
      <c r="C55" s="6">
        <f t="shared" si="17"/>
        <v>0.84499999999999997</v>
      </c>
      <c r="D55" s="6">
        <f t="shared" si="3"/>
        <v>22.622339999999998</v>
      </c>
      <c r="E55" s="6" t="s">
        <v>14</v>
      </c>
      <c r="F55" s="6">
        <v>0.83099999999999996</v>
      </c>
      <c r="G55" s="6">
        <f t="shared" si="8"/>
        <v>18.799164539999996</v>
      </c>
      <c r="H55" s="6" t="s">
        <v>10</v>
      </c>
      <c r="I55" s="6">
        <f>5/100</f>
        <v>0.05</v>
      </c>
      <c r="J55" s="6">
        <f t="shared" si="18"/>
        <v>0.93995822699999987</v>
      </c>
      <c r="K55" s="2" t="s">
        <v>36</v>
      </c>
      <c r="L55" s="2">
        <f>22.2/100</f>
        <v>0.222</v>
      </c>
      <c r="M55" s="2">
        <f t="shared" si="19"/>
        <v>4.1734145278799994</v>
      </c>
    </row>
    <row r="56" spans="1:13" x14ac:dyDescent="0.25">
      <c r="A56" s="4">
        <v>26.771999999999998</v>
      </c>
      <c r="B56" s="2" t="s">
        <v>19</v>
      </c>
      <c r="C56" s="6">
        <f t="shared" si="17"/>
        <v>0.84499999999999997</v>
      </c>
      <c r="D56" s="6">
        <f t="shared" si="3"/>
        <v>22.622339999999998</v>
      </c>
      <c r="E56" s="6" t="s">
        <v>14</v>
      </c>
      <c r="F56" s="6">
        <v>0.83099999999999996</v>
      </c>
      <c r="G56" s="6">
        <f t="shared" si="8"/>
        <v>18.799164539999996</v>
      </c>
      <c r="H56" s="6" t="s">
        <v>9</v>
      </c>
      <c r="I56" s="6">
        <f>21.7/100</f>
        <v>0.217</v>
      </c>
      <c r="J56" s="6">
        <f>I57*G56</f>
        <v>0.30078663263999994</v>
      </c>
      <c r="K56" s="2" t="s">
        <v>37</v>
      </c>
      <c r="L56" s="2">
        <f>15.2/100</f>
        <v>0.152</v>
      </c>
      <c r="M56" s="2">
        <f t="shared" si="19"/>
        <v>2.8574730100799992</v>
      </c>
    </row>
    <row r="57" spans="1:13" x14ac:dyDescent="0.25">
      <c r="A57" s="4">
        <v>26.771999999999998</v>
      </c>
      <c r="B57" s="2" t="s">
        <v>19</v>
      </c>
      <c r="C57" s="6">
        <f t="shared" si="17"/>
        <v>0.84499999999999997</v>
      </c>
      <c r="D57" s="6">
        <f t="shared" si="3"/>
        <v>22.622339999999998</v>
      </c>
      <c r="E57" s="6" t="s">
        <v>14</v>
      </c>
      <c r="F57" s="6">
        <v>0.83099999999999996</v>
      </c>
      <c r="G57" s="6">
        <f t="shared" si="8"/>
        <v>18.799164539999996</v>
      </c>
      <c r="H57" s="6" t="s">
        <v>55</v>
      </c>
      <c r="I57" s="6">
        <f>1.6/100</f>
        <v>1.6E-2</v>
      </c>
      <c r="J57" s="8">
        <f t="shared" ref="J57" si="20">I57*G57</f>
        <v>0.30078663263999994</v>
      </c>
      <c r="K57" s="2" t="s">
        <v>38</v>
      </c>
      <c r="L57" s="2">
        <f>2.8/100</f>
        <v>2.7999999999999997E-2</v>
      </c>
      <c r="M57" s="2">
        <f t="shared" si="19"/>
        <v>0.52637660711999978</v>
      </c>
    </row>
    <row r="58" spans="1:13" x14ac:dyDescent="0.25">
      <c r="A58" s="4">
        <v>26.771999999999998</v>
      </c>
      <c r="B58" s="2" t="s">
        <v>19</v>
      </c>
      <c r="C58" s="6">
        <f t="shared" si="17"/>
        <v>0.84499999999999997</v>
      </c>
      <c r="D58" s="6">
        <f t="shared" si="3"/>
        <v>22.622339999999998</v>
      </c>
      <c r="E58" s="6" t="s">
        <v>14</v>
      </c>
      <c r="F58" s="6">
        <v>0.83099999999999996</v>
      </c>
      <c r="G58" s="6">
        <f t="shared" si="8"/>
        <v>18.799164539999996</v>
      </c>
      <c r="H58" s="6"/>
      <c r="I58" s="6"/>
      <c r="J58" s="6"/>
      <c r="K58" s="2" t="s">
        <v>39</v>
      </c>
      <c r="L58" s="2">
        <f>1.4/100</f>
        <v>1.3999999999999999E-2</v>
      </c>
      <c r="M58" s="2">
        <f t="shared" si="19"/>
        <v>0.26318830355999989</v>
      </c>
    </row>
    <row r="59" spans="1:13" x14ac:dyDescent="0.25">
      <c r="A59" s="4">
        <v>26.771999999999998</v>
      </c>
      <c r="B59" s="2" t="s">
        <v>19</v>
      </c>
      <c r="C59" s="6">
        <f t="shared" si="17"/>
        <v>0.84499999999999997</v>
      </c>
      <c r="D59" s="6">
        <f t="shared" si="3"/>
        <v>22.622339999999998</v>
      </c>
      <c r="E59" s="6" t="s">
        <v>52</v>
      </c>
      <c r="F59" s="6">
        <v>0.84200000000000008</v>
      </c>
      <c r="G59" s="6">
        <f t="shared" si="8"/>
        <v>19.04801028</v>
      </c>
      <c r="H59" s="6" t="s">
        <v>11</v>
      </c>
      <c r="I59" s="6">
        <f>6.9/100</f>
        <v>6.9000000000000006E-2</v>
      </c>
      <c r="J59" s="6">
        <f>I59*G59</f>
        <v>1.31431270932</v>
      </c>
      <c r="K59" s="2" t="s">
        <v>32</v>
      </c>
      <c r="L59" s="2">
        <f>1.9/100</f>
        <v>1.9E-2</v>
      </c>
      <c r="M59" s="2">
        <f>L59*G59</f>
        <v>0.36191219531999996</v>
      </c>
    </row>
    <row r="60" spans="1:13" x14ac:dyDescent="0.25">
      <c r="A60" s="4">
        <v>26.771999999999998</v>
      </c>
      <c r="B60" s="2" t="s">
        <v>19</v>
      </c>
      <c r="C60" s="6">
        <f t="shared" si="17"/>
        <v>0.84499999999999997</v>
      </c>
      <c r="D60" s="6">
        <f t="shared" si="3"/>
        <v>22.622339999999998</v>
      </c>
      <c r="E60" s="6" t="s">
        <v>15</v>
      </c>
      <c r="F60" s="6">
        <v>0.84200000000000008</v>
      </c>
      <c r="G60" s="6">
        <f t="shared" si="8"/>
        <v>19.04801028</v>
      </c>
      <c r="H60" s="6" t="s">
        <v>12</v>
      </c>
      <c r="I60" s="6">
        <f>3/100</f>
        <v>0.03</v>
      </c>
      <c r="J60" s="6">
        <f t="shared" ref="J60:J65" si="21">I60*G60</f>
        <v>0.57144030839999993</v>
      </c>
      <c r="K60" s="2" t="s">
        <v>33</v>
      </c>
      <c r="L60" s="2">
        <f>4/100</f>
        <v>0.04</v>
      </c>
      <c r="M60" s="2">
        <f t="shared" ref="M60:M66" si="22">L60*G60</f>
        <v>0.76192041119999998</v>
      </c>
    </row>
    <row r="61" spans="1:13" x14ac:dyDescent="0.25">
      <c r="A61" s="4">
        <v>26.771999999999998</v>
      </c>
      <c r="B61" s="2" t="s">
        <v>19</v>
      </c>
      <c r="C61" s="6">
        <f t="shared" si="17"/>
        <v>0.84499999999999997</v>
      </c>
      <c r="D61" s="6">
        <f t="shared" si="3"/>
        <v>22.622339999999998</v>
      </c>
      <c r="E61" s="6" t="s">
        <v>15</v>
      </c>
      <c r="F61" s="6">
        <v>0.84200000000000008</v>
      </c>
      <c r="G61" s="6">
        <f t="shared" si="8"/>
        <v>19.04801028</v>
      </c>
      <c r="H61" s="6" t="s">
        <v>7</v>
      </c>
      <c r="I61" s="6">
        <f>17.7/100</f>
        <v>0.17699999999999999</v>
      </c>
      <c r="J61" s="6">
        <f t="shared" si="21"/>
        <v>3.3714978195599996</v>
      </c>
      <c r="K61" s="2" t="s">
        <v>34</v>
      </c>
      <c r="L61" s="2">
        <f>17.4/100</f>
        <v>0.17399999999999999</v>
      </c>
      <c r="M61" s="2">
        <f t="shared" si="22"/>
        <v>3.3143537887199996</v>
      </c>
    </row>
    <row r="62" spans="1:13" x14ac:dyDescent="0.25">
      <c r="A62" s="4">
        <v>26.771999999999998</v>
      </c>
      <c r="B62" s="2" t="s">
        <v>19</v>
      </c>
      <c r="C62" s="6">
        <f t="shared" si="17"/>
        <v>0.84499999999999997</v>
      </c>
      <c r="D62" s="6">
        <f t="shared" si="3"/>
        <v>22.622339999999998</v>
      </c>
      <c r="E62" s="6" t="s">
        <v>15</v>
      </c>
      <c r="F62" s="6">
        <v>0.84200000000000008</v>
      </c>
      <c r="G62" s="6">
        <f t="shared" si="8"/>
        <v>19.04801028</v>
      </c>
      <c r="H62" s="6" t="s">
        <v>8</v>
      </c>
      <c r="I62" s="6">
        <f>37.5/100</f>
        <v>0.375</v>
      </c>
      <c r="J62" s="6">
        <f t="shared" si="21"/>
        <v>7.1430038549999999</v>
      </c>
      <c r="K62" s="2" t="s">
        <v>35</v>
      </c>
      <c r="L62" s="2">
        <f>31.7/100</f>
        <v>0.317</v>
      </c>
      <c r="M62" s="2">
        <f t="shared" si="22"/>
        <v>6.0382192587599999</v>
      </c>
    </row>
    <row r="63" spans="1:13" x14ac:dyDescent="0.25">
      <c r="A63" s="4">
        <v>26.771999999999998</v>
      </c>
      <c r="B63" s="2" t="s">
        <v>19</v>
      </c>
      <c r="C63" s="6">
        <f t="shared" si="17"/>
        <v>0.84499999999999997</v>
      </c>
      <c r="D63" s="6">
        <f t="shared" si="3"/>
        <v>22.622339999999998</v>
      </c>
      <c r="E63" s="6" t="s">
        <v>15</v>
      </c>
      <c r="F63" s="6">
        <v>0.84200000000000008</v>
      </c>
      <c r="G63" s="6">
        <f t="shared" si="8"/>
        <v>19.04801028</v>
      </c>
      <c r="H63" s="6" t="s">
        <v>10</v>
      </c>
      <c r="I63" s="6">
        <f>9.3/100</f>
        <v>9.3000000000000013E-2</v>
      </c>
      <c r="J63" s="6">
        <f t="shared" si="21"/>
        <v>1.7714649560400002</v>
      </c>
      <c r="K63" s="2" t="s">
        <v>36</v>
      </c>
      <c r="L63" s="2">
        <f>23.4/100</f>
        <v>0.23399999999999999</v>
      </c>
      <c r="M63" s="2">
        <f t="shared" si="22"/>
        <v>4.4572344055199995</v>
      </c>
    </row>
    <row r="64" spans="1:13" x14ac:dyDescent="0.25">
      <c r="A64" s="4">
        <v>26.771999999999998</v>
      </c>
      <c r="B64" s="2" t="s">
        <v>19</v>
      </c>
      <c r="C64" s="6">
        <f t="shared" si="17"/>
        <v>0.84499999999999997</v>
      </c>
      <c r="D64" s="6">
        <f t="shared" si="3"/>
        <v>22.622339999999998</v>
      </c>
      <c r="E64" s="6" t="s">
        <v>15</v>
      </c>
      <c r="F64" s="6">
        <v>0.84200000000000008</v>
      </c>
      <c r="G64" s="6">
        <f t="shared" si="8"/>
        <v>19.04801028</v>
      </c>
      <c r="H64" s="6" t="s">
        <v>9</v>
      </c>
      <c r="I64" s="6">
        <f>25.7/100</f>
        <v>0.25700000000000001</v>
      </c>
      <c r="J64" s="6">
        <f t="shared" si="21"/>
        <v>4.8953386419600005</v>
      </c>
      <c r="K64" s="2" t="s">
        <v>37</v>
      </c>
      <c r="L64" s="2">
        <f>21.6/100</f>
        <v>0.21600000000000003</v>
      </c>
      <c r="M64" s="2">
        <f t="shared" si="22"/>
        <v>4.1143702204800006</v>
      </c>
    </row>
    <row r="65" spans="1:13" x14ac:dyDescent="0.25">
      <c r="A65" s="4">
        <v>26.771999999999998</v>
      </c>
      <c r="B65" s="2" t="s">
        <v>19</v>
      </c>
      <c r="C65" s="6">
        <f t="shared" si="17"/>
        <v>0.84499999999999997</v>
      </c>
      <c r="D65" s="6">
        <f t="shared" si="3"/>
        <v>22.622339999999998</v>
      </c>
      <c r="E65" s="6" t="s">
        <v>15</v>
      </c>
      <c r="F65" s="6">
        <v>0.84200000000000008</v>
      </c>
      <c r="G65" s="6">
        <f t="shared" si="8"/>
        <v>19.04801028</v>
      </c>
      <c r="H65" s="6" t="s">
        <v>55</v>
      </c>
      <c r="I65" s="6">
        <f>0/100</f>
        <v>0</v>
      </c>
      <c r="J65" s="8">
        <f t="shared" si="21"/>
        <v>0</v>
      </c>
      <c r="K65" s="2" t="s">
        <v>38</v>
      </c>
      <c r="L65" s="2">
        <f>0/100</f>
        <v>0</v>
      </c>
      <c r="M65" s="2">
        <f t="shared" si="22"/>
        <v>0</v>
      </c>
    </row>
    <row r="66" spans="1:13" x14ac:dyDescent="0.25">
      <c r="A66" s="4">
        <v>26.771999999999998</v>
      </c>
      <c r="B66" s="2" t="s">
        <v>19</v>
      </c>
      <c r="C66" s="6">
        <f t="shared" si="17"/>
        <v>0.84499999999999997</v>
      </c>
      <c r="D66" s="6">
        <f t="shared" si="3"/>
        <v>22.622339999999998</v>
      </c>
      <c r="E66" s="6" t="s">
        <v>15</v>
      </c>
      <c r="F66" s="6">
        <v>0.84200000000000008</v>
      </c>
      <c r="G66" s="6">
        <f t="shared" si="8"/>
        <v>19.04801028</v>
      </c>
      <c r="H66" s="6"/>
      <c r="I66" s="6"/>
      <c r="J66" s="6"/>
      <c r="K66" s="2" t="s">
        <v>39</v>
      </c>
      <c r="L66" s="2">
        <f>0/100</f>
        <v>0</v>
      </c>
      <c r="M66" s="2">
        <f t="shared" si="22"/>
        <v>0</v>
      </c>
    </row>
    <row r="67" spans="1:13" x14ac:dyDescent="0.25">
      <c r="A67" s="4">
        <v>26.771999999999998</v>
      </c>
      <c r="B67" s="2" t="s">
        <v>19</v>
      </c>
      <c r="C67" s="6">
        <f t="shared" si="17"/>
        <v>0.84499999999999997</v>
      </c>
      <c r="D67" s="6">
        <f t="shared" si="3"/>
        <v>22.622339999999998</v>
      </c>
      <c r="E67" s="6" t="s">
        <v>53</v>
      </c>
      <c r="F67" s="6">
        <v>0.85799999999999998</v>
      </c>
      <c r="G67" s="6">
        <f t="shared" si="8"/>
        <v>19.409967719999997</v>
      </c>
      <c r="H67" s="6" t="s">
        <v>11</v>
      </c>
      <c r="I67" s="6">
        <f>13.5/100</f>
        <v>0.13500000000000001</v>
      </c>
      <c r="J67" s="6">
        <f>I67*G67</f>
        <v>2.6203456421999998</v>
      </c>
      <c r="K67" s="2" t="s">
        <v>32</v>
      </c>
      <c r="L67" s="2">
        <f>4.5/100</f>
        <v>4.4999999999999998E-2</v>
      </c>
      <c r="M67" s="2">
        <f>L67*G67</f>
        <v>0.87344854739999989</v>
      </c>
    </row>
    <row r="68" spans="1:13" x14ac:dyDescent="0.25">
      <c r="A68" s="4">
        <v>26.771999999999998</v>
      </c>
      <c r="B68" s="2" t="s">
        <v>19</v>
      </c>
      <c r="C68" s="6">
        <f t="shared" si="17"/>
        <v>0.84499999999999997</v>
      </c>
      <c r="D68" s="6">
        <f t="shared" si="3"/>
        <v>22.622339999999998</v>
      </c>
      <c r="E68" s="6" t="s">
        <v>16</v>
      </c>
      <c r="F68" s="6">
        <v>0.85799999999999998</v>
      </c>
      <c r="G68" s="6">
        <f t="shared" si="8"/>
        <v>19.409967719999997</v>
      </c>
      <c r="H68" s="6" t="s">
        <v>12</v>
      </c>
      <c r="I68" s="6">
        <f>9.4/100</f>
        <v>9.4E-2</v>
      </c>
      <c r="J68" s="6">
        <f t="shared" ref="J68:J73" si="23">I68*G68</f>
        <v>1.8245369656799997</v>
      </c>
      <c r="K68" s="2" t="s">
        <v>33</v>
      </c>
      <c r="L68" s="2">
        <f>10.5/100</f>
        <v>0.105</v>
      </c>
      <c r="M68" s="2">
        <f t="shared" ref="M68:M74" si="24">L68*G68</f>
        <v>2.0380466105999995</v>
      </c>
    </row>
    <row r="69" spans="1:13" x14ac:dyDescent="0.25">
      <c r="A69" s="4">
        <v>26.771999999999998</v>
      </c>
      <c r="B69" s="2" t="s">
        <v>19</v>
      </c>
      <c r="C69" s="6">
        <f t="shared" si="17"/>
        <v>0.84499999999999997</v>
      </c>
      <c r="D69" s="6">
        <f t="shared" si="3"/>
        <v>22.622339999999998</v>
      </c>
      <c r="E69" s="6" t="s">
        <v>16</v>
      </c>
      <c r="F69" s="6">
        <v>0.85799999999999998</v>
      </c>
      <c r="G69" s="6">
        <f t="shared" si="8"/>
        <v>19.409967719999997</v>
      </c>
      <c r="H69" s="6" t="s">
        <v>7</v>
      </c>
      <c r="I69" s="6">
        <f>14.5/100</f>
        <v>0.14499999999999999</v>
      </c>
      <c r="J69" s="6">
        <f t="shared" si="23"/>
        <v>2.8144453193999994</v>
      </c>
      <c r="K69" s="2" t="s">
        <v>34</v>
      </c>
      <c r="L69" s="2">
        <f>17/100</f>
        <v>0.17</v>
      </c>
      <c r="M69" s="2">
        <f t="shared" si="24"/>
        <v>3.2996945123999999</v>
      </c>
    </row>
    <row r="70" spans="1:13" x14ac:dyDescent="0.25">
      <c r="A70" s="4">
        <v>26.771999999999998</v>
      </c>
      <c r="B70" s="2" t="s">
        <v>19</v>
      </c>
      <c r="C70" s="6">
        <f t="shared" si="17"/>
        <v>0.84499999999999997</v>
      </c>
      <c r="D70" s="6">
        <f t="shared" si="3"/>
        <v>22.622339999999998</v>
      </c>
      <c r="E70" s="6" t="s">
        <v>16</v>
      </c>
      <c r="F70" s="6">
        <v>0.85799999999999998</v>
      </c>
      <c r="G70" s="6">
        <f t="shared" si="8"/>
        <v>19.409967719999997</v>
      </c>
      <c r="H70" s="6" t="s">
        <v>8</v>
      </c>
      <c r="I70" s="6">
        <f>34.3/100</f>
        <v>0.34299999999999997</v>
      </c>
      <c r="J70" s="6">
        <f t="shared" si="23"/>
        <v>6.6576189279599989</v>
      </c>
      <c r="K70" s="2" t="s">
        <v>35</v>
      </c>
      <c r="L70" s="2">
        <f>28.2/100</f>
        <v>0.28199999999999997</v>
      </c>
      <c r="M70" s="2">
        <f t="shared" si="24"/>
        <v>5.4736108970399986</v>
      </c>
    </row>
    <row r="71" spans="1:13" x14ac:dyDescent="0.25">
      <c r="A71" s="4">
        <v>26.771999999999998</v>
      </c>
      <c r="B71" s="2" t="s">
        <v>19</v>
      </c>
      <c r="C71" s="6">
        <f t="shared" si="17"/>
        <v>0.84499999999999997</v>
      </c>
      <c r="D71" s="6">
        <f t="shared" si="3"/>
        <v>22.622339999999998</v>
      </c>
      <c r="E71" s="6" t="s">
        <v>16</v>
      </c>
      <c r="F71" s="6">
        <v>0.85799999999999998</v>
      </c>
      <c r="G71" s="6">
        <f t="shared" si="8"/>
        <v>19.409967719999997</v>
      </c>
      <c r="H71" s="6" t="s">
        <v>10</v>
      </c>
      <c r="I71" s="6">
        <f>4/100</f>
        <v>0.04</v>
      </c>
      <c r="J71" s="6">
        <f t="shared" si="23"/>
        <v>0.77639870879999995</v>
      </c>
      <c r="K71" s="2" t="s">
        <v>36</v>
      </c>
      <c r="L71" s="2">
        <f>22.3/100</f>
        <v>0.223</v>
      </c>
      <c r="M71" s="2">
        <f t="shared" si="24"/>
        <v>4.3284228015599995</v>
      </c>
    </row>
    <row r="72" spans="1:13" x14ac:dyDescent="0.25">
      <c r="A72" s="4">
        <v>26.771999999999998</v>
      </c>
      <c r="B72" s="2" t="s">
        <v>19</v>
      </c>
      <c r="C72" s="6">
        <f t="shared" si="17"/>
        <v>0.84499999999999997</v>
      </c>
      <c r="D72" s="6">
        <f t="shared" si="3"/>
        <v>22.622339999999998</v>
      </c>
      <c r="E72" s="6" t="s">
        <v>16</v>
      </c>
      <c r="F72" s="6">
        <v>0.85799999999999998</v>
      </c>
      <c r="G72" s="6">
        <f t="shared" si="8"/>
        <v>19.409967719999997</v>
      </c>
      <c r="H72" s="6" t="s">
        <v>9</v>
      </c>
      <c r="I72" s="6">
        <f>22.4/100</f>
        <v>0.22399999999999998</v>
      </c>
      <c r="J72" s="6">
        <f t="shared" si="23"/>
        <v>4.3478327692799992</v>
      </c>
      <c r="K72" s="2" t="s">
        <v>37</v>
      </c>
      <c r="L72" s="2">
        <f>14.3/100</f>
        <v>0.14300000000000002</v>
      </c>
      <c r="M72" s="2">
        <f t="shared" si="24"/>
        <v>2.77562538396</v>
      </c>
    </row>
    <row r="73" spans="1:13" x14ac:dyDescent="0.25">
      <c r="A73" s="4">
        <v>26.771999999999998</v>
      </c>
      <c r="B73" s="2" t="s">
        <v>19</v>
      </c>
      <c r="C73" s="6">
        <f t="shared" si="17"/>
        <v>0.84499999999999997</v>
      </c>
      <c r="D73" s="6">
        <f t="shared" si="3"/>
        <v>22.622339999999998</v>
      </c>
      <c r="E73" s="6" t="s">
        <v>16</v>
      </c>
      <c r="F73" s="6">
        <v>0.85799999999999998</v>
      </c>
      <c r="G73" s="6">
        <f t="shared" si="8"/>
        <v>19.409967719999997</v>
      </c>
      <c r="H73" s="6" t="s">
        <v>55</v>
      </c>
      <c r="I73" s="6">
        <f>1.9/100</f>
        <v>1.9E-2</v>
      </c>
      <c r="J73" s="8">
        <f t="shared" si="23"/>
        <v>0.36878938667999994</v>
      </c>
      <c r="K73" s="2" t="s">
        <v>38</v>
      </c>
      <c r="L73" s="2">
        <f>2.1/100</f>
        <v>2.1000000000000001E-2</v>
      </c>
      <c r="M73" s="2">
        <f t="shared" si="24"/>
        <v>0.40760932211999995</v>
      </c>
    </row>
    <row r="74" spans="1:13" x14ac:dyDescent="0.25">
      <c r="A74" s="4">
        <v>26.771999999999998</v>
      </c>
      <c r="B74" s="2" t="s">
        <v>19</v>
      </c>
      <c r="C74" s="6">
        <f t="shared" si="17"/>
        <v>0.84499999999999997</v>
      </c>
      <c r="D74" s="6">
        <f t="shared" si="3"/>
        <v>22.622339999999998</v>
      </c>
      <c r="E74" s="6" t="s">
        <v>16</v>
      </c>
      <c r="F74" s="6">
        <v>0.85799999999999998</v>
      </c>
      <c r="G74" s="6">
        <f t="shared" si="8"/>
        <v>19.409967719999997</v>
      </c>
      <c r="H74" s="6"/>
      <c r="I74" s="6"/>
      <c r="J74" s="6"/>
      <c r="K74" s="2" t="s">
        <v>39</v>
      </c>
      <c r="L74" s="2">
        <f>1.2/100</f>
        <v>1.2E-2</v>
      </c>
      <c r="M74" s="2">
        <f t="shared" si="24"/>
        <v>0.23291961263999997</v>
      </c>
    </row>
    <row r="75" spans="1:13" x14ac:dyDescent="0.25">
      <c r="A75" s="4">
        <v>26.771999999999998</v>
      </c>
      <c r="B75" s="2" t="s">
        <v>19</v>
      </c>
      <c r="C75" s="6">
        <f t="shared" si="17"/>
        <v>0.84499999999999997</v>
      </c>
      <c r="D75" s="6">
        <f t="shared" si="3"/>
        <v>22.622339999999998</v>
      </c>
      <c r="E75" s="2" t="s">
        <v>51</v>
      </c>
      <c r="F75" s="6">
        <v>0.80599999999999994</v>
      </c>
      <c r="G75" s="6">
        <f t="shared" si="8"/>
        <v>18.233606039999998</v>
      </c>
      <c r="H75" s="6" t="s">
        <v>11</v>
      </c>
      <c r="I75" s="6">
        <f>15.4/100</f>
        <v>0.154</v>
      </c>
      <c r="J75" s="8">
        <f>I75*G75</f>
        <v>2.8079753301599997</v>
      </c>
      <c r="K75" s="2" t="s">
        <v>32</v>
      </c>
      <c r="L75" s="2">
        <f>5.2/100</f>
        <v>5.2000000000000005E-2</v>
      </c>
      <c r="M75" s="2">
        <f>L75*G75</f>
        <v>0.94814751407999998</v>
      </c>
    </row>
    <row r="76" spans="1:13" x14ac:dyDescent="0.25">
      <c r="A76" s="4">
        <v>26.771999999999998</v>
      </c>
      <c r="B76" s="2" t="s">
        <v>19</v>
      </c>
      <c r="C76" s="6">
        <f t="shared" si="17"/>
        <v>0.84499999999999997</v>
      </c>
      <c r="D76" s="6">
        <f t="shared" si="3"/>
        <v>22.622339999999998</v>
      </c>
      <c r="E76" s="2" t="s">
        <v>13</v>
      </c>
      <c r="F76" s="6">
        <v>0.80599999999999994</v>
      </c>
      <c r="G76" s="6">
        <f t="shared" si="8"/>
        <v>18.233606039999998</v>
      </c>
      <c r="H76" s="6" t="s">
        <v>12</v>
      </c>
      <c r="I76" s="6">
        <f>11.7/100</f>
        <v>0.11699999999999999</v>
      </c>
      <c r="J76" s="8">
        <f t="shared" ref="J76:J81" si="25">I76*G76</f>
        <v>2.1333319066799996</v>
      </c>
      <c r="K76" s="2" t="s">
        <v>33</v>
      </c>
      <c r="L76" s="2">
        <f>11.1/100</f>
        <v>0.111</v>
      </c>
      <c r="M76" s="2">
        <f t="shared" ref="M76:M82" si="26">L76*G76</f>
        <v>2.0239302704399997</v>
      </c>
    </row>
    <row r="77" spans="1:13" x14ac:dyDescent="0.25">
      <c r="A77" s="4">
        <v>26.771999999999998</v>
      </c>
      <c r="B77" s="2" t="s">
        <v>19</v>
      </c>
      <c r="C77" s="6">
        <f t="shared" si="17"/>
        <v>0.84499999999999997</v>
      </c>
      <c r="D77" s="6">
        <f t="shared" si="3"/>
        <v>22.622339999999998</v>
      </c>
      <c r="E77" s="2" t="s">
        <v>13</v>
      </c>
      <c r="F77" s="6">
        <v>0.80599999999999994</v>
      </c>
      <c r="G77" s="6">
        <f t="shared" si="8"/>
        <v>18.233606039999998</v>
      </c>
      <c r="H77" s="6" t="s">
        <v>7</v>
      </c>
      <c r="I77" s="6">
        <f>17.7/100</f>
        <v>0.17699999999999999</v>
      </c>
      <c r="J77" s="8">
        <f t="shared" si="25"/>
        <v>3.2273482690799993</v>
      </c>
      <c r="K77" s="2" t="s">
        <v>34</v>
      </c>
      <c r="L77" s="2">
        <f>16.8/100</f>
        <v>0.16800000000000001</v>
      </c>
      <c r="M77" s="2">
        <f t="shared" si="26"/>
        <v>3.0632458147199997</v>
      </c>
    </row>
    <row r="78" spans="1:13" x14ac:dyDescent="0.25">
      <c r="A78" s="4">
        <v>26.771999999999998</v>
      </c>
      <c r="B78" s="2" t="s">
        <v>19</v>
      </c>
      <c r="C78" s="6">
        <f t="shared" si="17"/>
        <v>0.84499999999999997</v>
      </c>
      <c r="D78" s="6">
        <f t="shared" si="3"/>
        <v>22.622339999999998</v>
      </c>
      <c r="E78" s="2" t="s">
        <v>13</v>
      </c>
      <c r="F78" s="6">
        <v>0.80599999999999994</v>
      </c>
      <c r="G78" s="6">
        <f t="shared" si="8"/>
        <v>18.233606039999998</v>
      </c>
      <c r="H78" s="6" t="s">
        <v>8</v>
      </c>
      <c r="I78" s="6">
        <f>37.6/100</f>
        <v>0.376</v>
      </c>
      <c r="J78" s="8">
        <f t="shared" si="25"/>
        <v>6.8558358710399991</v>
      </c>
      <c r="K78" s="2" t="s">
        <v>35</v>
      </c>
      <c r="L78" s="2">
        <f>27.3/100</f>
        <v>0.27300000000000002</v>
      </c>
      <c r="M78" s="2">
        <f t="shared" si="26"/>
        <v>4.97777444892</v>
      </c>
    </row>
    <row r="79" spans="1:13" x14ac:dyDescent="0.25">
      <c r="A79" s="4">
        <v>26.771999999999998</v>
      </c>
      <c r="B79" s="2" t="s">
        <v>19</v>
      </c>
      <c r="C79" s="6">
        <f t="shared" si="17"/>
        <v>0.84499999999999997</v>
      </c>
      <c r="D79" s="6">
        <f t="shared" si="3"/>
        <v>22.622339999999998</v>
      </c>
      <c r="E79" s="2" t="s">
        <v>13</v>
      </c>
      <c r="F79" s="6">
        <v>0.80599999999999994</v>
      </c>
      <c r="G79" s="6">
        <f t="shared" si="8"/>
        <v>18.233606039999998</v>
      </c>
      <c r="H79" s="6" t="s">
        <v>10</v>
      </c>
      <c r="I79" s="6">
        <f>2.5/100</f>
        <v>2.5000000000000001E-2</v>
      </c>
      <c r="J79" s="8">
        <f t="shared" si="25"/>
        <v>0.45584015099999997</v>
      </c>
      <c r="K79" s="2" t="s">
        <v>36</v>
      </c>
      <c r="L79" s="2">
        <f>18.6/100</f>
        <v>0.18600000000000003</v>
      </c>
      <c r="M79" s="2">
        <f t="shared" si="26"/>
        <v>3.3914507234400002</v>
      </c>
    </row>
    <row r="80" spans="1:13" x14ac:dyDescent="0.25">
      <c r="A80" s="4">
        <v>26.771999999999998</v>
      </c>
      <c r="B80" s="2" t="s">
        <v>19</v>
      </c>
      <c r="C80" s="6">
        <f t="shared" si="17"/>
        <v>0.84499999999999997</v>
      </c>
      <c r="D80" s="6">
        <f t="shared" si="3"/>
        <v>22.622339999999998</v>
      </c>
      <c r="E80" s="2" t="s">
        <v>13</v>
      </c>
      <c r="F80" s="6">
        <v>0.80599999999999994</v>
      </c>
      <c r="G80" s="6">
        <f t="shared" si="8"/>
        <v>18.233606039999998</v>
      </c>
      <c r="H80" s="6" t="s">
        <v>9</v>
      </c>
      <c r="I80" s="6">
        <f>12.7/100</f>
        <v>0.127</v>
      </c>
      <c r="J80" s="8">
        <f t="shared" si="25"/>
        <v>2.3156679670799996</v>
      </c>
      <c r="K80" s="2" t="s">
        <v>37</v>
      </c>
      <c r="L80" s="2">
        <f>16.3/100</f>
        <v>0.16300000000000001</v>
      </c>
      <c r="M80" s="2">
        <f t="shared" si="26"/>
        <v>2.9720777845199997</v>
      </c>
    </row>
    <row r="81" spans="1:13" x14ac:dyDescent="0.25">
      <c r="A81" s="4">
        <v>26.771999999999998</v>
      </c>
      <c r="B81" s="2" t="s">
        <v>19</v>
      </c>
      <c r="C81" s="6">
        <f t="shared" si="17"/>
        <v>0.84499999999999997</v>
      </c>
      <c r="D81" s="6">
        <f t="shared" si="3"/>
        <v>22.622339999999998</v>
      </c>
      <c r="E81" s="2" t="s">
        <v>13</v>
      </c>
      <c r="F81" s="6">
        <v>0.80599999999999994</v>
      </c>
      <c r="G81" s="6">
        <f t="shared" si="8"/>
        <v>18.233606039999998</v>
      </c>
      <c r="H81" s="6" t="s">
        <v>55</v>
      </c>
      <c r="I81" s="6">
        <f>2.4/100</f>
        <v>2.4E-2</v>
      </c>
      <c r="J81" s="8">
        <f t="shared" si="25"/>
        <v>0.43760654495999995</v>
      </c>
      <c r="K81" s="2" t="s">
        <v>38</v>
      </c>
      <c r="L81" s="2">
        <f>2.8/100</f>
        <v>2.7999999999999997E-2</v>
      </c>
      <c r="M81" s="2">
        <f t="shared" si="26"/>
        <v>0.51054096911999991</v>
      </c>
    </row>
    <row r="82" spans="1:13" x14ac:dyDescent="0.25">
      <c r="A82" s="4">
        <v>26.771999999999998</v>
      </c>
      <c r="B82" s="2" t="s">
        <v>19</v>
      </c>
      <c r="C82" s="6">
        <f t="shared" si="17"/>
        <v>0.84499999999999997</v>
      </c>
      <c r="D82" s="6">
        <f t="shared" si="3"/>
        <v>22.622339999999998</v>
      </c>
      <c r="E82" s="2" t="s">
        <v>13</v>
      </c>
      <c r="F82" s="6">
        <v>0.80599999999999994</v>
      </c>
      <c r="G82" s="6">
        <f t="shared" si="8"/>
        <v>18.233606039999998</v>
      </c>
      <c r="H82" s="6"/>
      <c r="I82" s="6"/>
      <c r="J82" s="8"/>
      <c r="K82" s="2" t="s">
        <v>39</v>
      </c>
      <c r="L82" s="2">
        <f>1.7/100</f>
        <v>1.7000000000000001E-2</v>
      </c>
      <c r="M82" s="2">
        <f t="shared" si="26"/>
        <v>0.30997130268</v>
      </c>
    </row>
    <row r="83" spans="1:13" x14ac:dyDescent="0.25">
      <c r="A83" s="4">
        <v>26.771999999999998</v>
      </c>
      <c r="B83" s="2" t="s">
        <v>19</v>
      </c>
      <c r="C83" s="6">
        <f t="shared" si="17"/>
        <v>0.84499999999999997</v>
      </c>
      <c r="D83" s="6">
        <f t="shared" si="3"/>
        <v>22.622339999999998</v>
      </c>
      <c r="E83" s="2" t="s">
        <v>50</v>
      </c>
      <c r="F83" s="6">
        <v>0.89900000000000002</v>
      </c>
      <c r="G83" s="6">
        <f t="shared" si="8"/>
        <v>20.337483659999997</v>
      </c>
      <c r="H83" s="6" t="s">
        <v>11</v>
      </c>
      <c r="I83" s="6">
        <f>12/100</f>
        <v>0.12</v>
      </c>
      <c r="J83" s="6">
        <f>I83*G83</f>
        <v>2.4404980391999995</v>
      </c>
      <c r="K83" s="2" t="s">
        <v>32</v>
      </c>
      <c r="L83" s="2">
        <f>3.7/100</f>
        <v>3.7000000000000005E-2</v>
      </c>
      <c r="M83" s="2">
        <f>L83*G83</f>
        <v>0.75248689542000002</v>
      </c>
    </row>
    <row r="84" spans="1:13" x14ac:dyDescent="0.25">
      <c r="A84" s="4">
        <v>26.771999999999998</v>
      </c>
      <c r="B84" s="2" t="s">
        <v>19</v>
      </c>
      <c r="C84" s="6">
        <f t="shared" si="17"/>
        <v>0.84499999999999997</v>
      </c>
      <c r="D84" s="6">
        <f t="shared" si="3"/>
        <v>22.622339999999998</v>
      </c>
      <c r="E84" s="2" t="s">
        <v>17</v>
      </c>
      <c r="F84" s="6">
        <v>0.89900000000000002</v>
      </c>
      <c r="G84" s="6">
        <f t="shared" si="8"/>
        <v>20.337483659999997</v>
      </c>
      <c r="H84" s="6" t="s">
        <v>12</v>
      </c>
      <c r="I84" s="6">
        <f>12.9/100</f>
        <v>0.129</v>
      </c>
      <c r="J84" s="6">
        <f t="shared" ref="J84:J89" si="27">I84*G84</f>
        <v>2.6235353921399995</v>
      </c>
      <c r="K84" s="2" t="s">
        <v>33</v>
      </c>
      <c r="L84" s="2">
        <f>13.7/100</f>
        <v>0.13699999999999998</v>
      </c>
      <c r="M84" s="2">
        <f t="shared" ref="M84:M90" si="28">L84*G84</f>
        <v>2.786235261419999</v>
      </c>
    </row>
    <row r="85" spans="1:13" x14ac:dyDescent="0.25">
      <c r="A85" s="4">
        <v>26.771999999999998</v>
      </c>
      <c r="B85" s="2" t="s">
        <v>19</v>
      </c>
      <c r="C85" s="6">
        <f t="shared" si="17"/>
        <v>0.84499999999999997</v>
      </c>
      <c r="D85" s="6">
        <f t="shared" si="3"/>
        <v>22.622339999999998</v>
      </c>
      <c r="E85" s="2" t="s">
        <v>17</v>
      </c>
      <c r="F85" s="6">
        <v>0.89900000000000002</v>
      </c>
      <c r="G85" s="6">
        <f t="shared" si="8"/>
        <v>20.337483659999997</v>
      </c>
      <c r="H85" s="6" t="s">
        <v>7</v>
      </c>
      <c r="I85" s="6">
        <f>22.9/100</f>
        <v>0.22899999999999998</v>
      </c>
      <c r="J85" s="6">
        <f t="shared" si="27"/>
        <v>4.6572837581399993</v>
      </c>
      <c r="K85" s="2" t="s">
        <v>34</v>
      </c>
      <c r="L85" s="2">
        <f>19.5/100</f>
        <v>0.19500000000000001</v>
      </c>
      <c r="M85" s="2">
        <f t="shared" si="28"/>
        <v>3.9658093136999994</v>
      </c>
    </row>
    <row r="86" spans="1:13" x14ac:dyDescent="0.25">
      <c r="A86" s="4">
        <v>26.771999999999998</v>
      </c>
      <c r="B86" s="2" t="s">
        <v>19</v>
      </c>
      <c r="C86" s="6">
        <f t="shared" si="17"/>
        <v>0.84499999999999997</v>
      </c>
      <c r="D86" s="6">
        <f t="shared" si="3"/>
        <v>22.622339999999998</v>
      </c>
      <c r="E86" s="2" t="s">
        <v>17</v>
      </c>
      <c r="F86" s="6">
        <v>0.89900000000000002</v>
      </c>
      <c r="G86" s="6">
        <f t="shared" si="8"/>
        <v>20.337483659999997</v>
      </c>
      <c r="H86" s="6" t="s">
        <v>8</v>
      </c>
      <c r="I86" s="6">
        <f>35/100</f>
        <v>0.35</v>
      </c>
      <c r="J86" s="6">
        <f t="shared" si="27"/>
        <v>7.1181192809999985</v>
      </c>
      <c r="K86" s="2" t="s">
        <v>35</v>
      </c>
      <c r="L86" s="2">
        <f>29.8/100</f>
        <v>0.29799999999999999</v>
      </c>
      <c r="M86" s="2">
        <f t="shared" si="28"/>
        <v>6.0605701306799986</v>
      </c>
    </row>
    <row r="87" spans="1:13" x14ac:dyDescent="0.25">
      <c r="A87" s="4">
        <v>26.771999999999998</v>
      </c>
      <c r="B87" s="2" t="s">
        <v>19</v>
      </c>
      <c r="C87" s="6">
        <f t="shared" si="17"/>
        <v>0.84499999999999997</v>
      </c>
      <c r="D87" s="6">
        <f t="shared" si="3"/>
        <v>22.622339999999998</v>
      </c>
      <c r="E87" s="2" t="s">
        <v>17</v>
      </c>
      <c r="F87" s="6">
        <v>0.89900000000000002</v>
      </c>
      <c r="G87" s="6">
        <f t="shared" si="8"/>
        <v>20.337483659999997</v>
      </c>
      <c r="H87" s="6" t="s">
        <v>10</v>
      </c>
      <c r="I87" s="6">
        <f>1.7/100</f>
        <v>1.7000000000000001E-2</v>
      </c>
      <c r="J87" s="6">
        <f t="shared" si="27"/>
        <v>0.34573722221999997</v>
      </c>
      <c r="K87" s="2" t="s">
        <v>36</v>
      </c>
      <c r="L87" s="2">
        <f>21.5/100</f>
        <v>0.215</v>
      </c>
      <c r="M87" s="2">
        <f t="shared" si="28"/>
        <v>4.3725589868999988</v>
      </c>
    </row>
    <row r="88" spans="1:13" x14ac:dyDescent="0.25">
      <c r="A88" s="4">
        <v>26.771999999999998</v>
      </c>
      <c r="B88" s="2" t="s">
        <v>19</v>
      </c>
      <c r="C88" s="6">
        <f t="shared" si="17"/>
        <v>0.84499999999999997</v>
      </c>
      <c r="D88" s="6">
        <f t="shared" si="3"/>
        <v>22.622339999999998</v>
      </c>
      <c r="E88" s="2" t="s">
        <v>17</v>
      </c>
      <c r="F88" s="6">
        <v>0.89900000000000002</v>
      </c>
      <c r="G88" s="6">
        <f t="shared" si="8"/>
        <v>20.337483659999997</v>
      </c>
      <c r="H88" s="6" t="s">
        <v>9</v>
      </c>
      <c r="I88" s="6">
        <f>13.2/100</f>
        <v>0.13200000000000001</v>
      </c>
      <c r="J88" s="6">
        <f t="shared" si="27"/>
        <v>2.6845478431199998</v>
      </c>
      <c r="K88" s="2" t="s">
        <v>37</v>
      </c>
      <c r="L88" s="2">
        <f>8.7/100</f>
        <v>8.6999999999999994E-2</v>
      </c>
      <c r="M88" s="2">
        <f t="shared" si="28"/>
        <v>1.7693610784199996</v>
      </c>
    </row>
    <row r="89" spans="1:13" x14ac:dyDescent="0.25">
      <c r="A89" s="4">
        <v>26.771999999999998</v>
      </c>
      <c r="B89" s="2" t="s">
        <v>19</v>
      </c>
      <c r="C89" s="6">
        <f t="shared" si="17"/>
        <v>0.84499999999999997</v>
      </c>
      <c r="D89" s="6">
        <f t="shared" si="3"/>
        <v>22.622339999999998</v>
      </c>
      <c r="E89" s="2" t="s">
        <v>17</v>
      </c>
      <c r="F89" s="6">
        <v>0.89900000000000002</v>
      </c>
      <c r="G89" s="6">
        <f t="shared" si="8"/>
        <v>20.337483659999997</v>
      </c>
      <c r="H89" s="6" t="s">
        <v>55</v>
      </c>
      <c r="I89" s="6">
        <f>2.3/100</f>
        <v>2.3E-2</v>
      </c>
      <c r="J89" s="8">
        <f t="shared" si="27"/>
        <v>0.46776212417999991</v>
      </c>
      <c r="K89" s="2" t="s">
        <v>38</v>
      </c>
      <c r="L89" s="2">
        <f>1.8/100</f>
        <v>1.8000000000000002E-2</v>
      </c>
      <c r="M89" s="2">
        <f t="shared" si="28"/>
        <v>0.36607470587999996</v>
      </c>
    </row>
    <row r="90" spans="1:13" x14ac:dyDescent="0.25">
      <c r="A90" s="4">
        <v>26.771999999999998</v>
      </c>
      <c r="B90" s="2" t="s">
        <v>19</v>
      </c>
      <c r="C90" s="6">
        <f t="shared" si="17"/>
        <v>0.84499999999999997</v>
      </c>
      <c r="D90" s="6">
        <f t="shared" si="3"/>
        <v>22.622339999999998</v>
      </c>
      <c r="E90" s="2" t="s">
        <v>17</v>
      </c>
      <c r="F90" s="6">
        <v>0.89900000000000002</v>
      </c>
      <c r="G90" s="6">
        <f t="shared" si="8"/>
        <v>20.337483659999997</v>
      </c>
      <c r="H90" s="6"/>
      <c r="I90" s="6"/>
      <c r="J90" s="6"/>
      <c r="K90" s="2" t="s">
        <v>39</v>
      </c>
      <c r="L90" s="2">
        <f>1.3/100</f>
        <v>1.3000000000000001E-2</v>
      </c>
      <c r="M90" s="2">
        <f t="shared" si="28"/>
        <v>0.26438728757999996</v>
      </c>
    </row>
    <row r="91" spans="1:13" x14ac:dyDescent="0.25">
      <c r="A91" s="4">
        <v>26.771999999999998</v>
      </c>
      <c r="B91" s="2" t="s">
        <v>19</v>
      </c>
      <c r="C91" s="6">
        <f t="shared" si="17"/>
        <v>0.84499999999999997</v>
      </c>
      <c r="D91" s="6">
        <f t="shared" si="3"/>
        <v>22.622339999999998</v>
      </c>
      <c r="E91" s="2" t="s">
        <v>49</v>
      </c>
      <c r="F91" s="2">
        <v>0.90799999999999992</v>
      </c>
      <c r="G91" s="6">
        <f t="shared" si="8"/>
        <v>20.541084719999997</v>
      </c>
      <c r="H91" s="6" t="s">
        <v>11</v>
      </c>
      <c r="I91" s="6">
        <f>22/100</f>
        <v>0.22</v>
      </c>
      <c r="J91" s="6">
        <f>I91*G91</f>
        <v>4.5190386383999996</v>
      </c>
      <c r="K91" s="2" t="s">
        <v>32</v>
      </c>
      <c r="L91" s="2">
        <f>7.6/100</f>
        <v>7.5999999999999998E-2</v>
      </c>
      <c r="M91" s="2">
        <f>L91*G91</f>
        <v>1.5611224387199998</v>
      </c>
    </row>
    <row r="92" spans="1:13" x14ac:dyDescent="0.25">
      <c r="A92" s="4">
        <v>26.771999999999998</v>
      </c>
      <c r="B92" s="2" t="s">
        <v>19</v>
      </c>
      <c r="C92" s="6">
        <f t="shared" si="17"/>
        <v>0.84499999999999997</v>
      </c>
      <c r="D92" s="6">
        <f t="shared" ref="D92:D98" si="29">C92*A92</f>
        <v>22.622339999999998</v>
      </c>
      <c r="E92" s="2" t="s">
        <v>18</v>
      </c>
      <c r="F92" s="2">
        <v>0.90799999999999992</v>
      </c>
      <c r="G92" s="6">
        <f t="shared" si="8"/>
        <v>20.541084719999997</v>
      </c>
      <c r="H92" s="6" t="s">
        <v>12</v>
      </c>
      <c r="I92" s="6">
        <f>10.8/100</f>
        <v>0.10800000000000001</v>
      </c>
      <c r="J92" s="6">
        <f t="shared" ref="J92:J97" si="30">I92*G92</f>
        <v>2.2184371497599997</v>
      </c>
      <c r="K92" s="2" t="s">
        <v>33</v>
      </c>
      <c r="L92" s="2">
        <f>13.6/100</f>
        <v>0.13600000000000001</v>
      </c>
      <c r="M92" s="2">
        <f t="shared" ref="M92:M98" si="31">L92*G92</f>
        <v>2.7935875219199997</v>
      </c>
    </row>
    <row r="93" spans="1:13" x14ac:dyDescent="0.25">
      <c r="A93" s="4">
        <v>26.771999999999998</v>
      </c>
      <c r="B93" s="2" t="s">
        <v>19</v>
      </c>
      <c r="C93" s="6">
        <f t="shared" si="17"/>
        <v>0.84499999999999997</v>
      </c>
      <c r="D93" s="6">
        <f t="shared" si="29"/>
        <v>22.622339999999998</v>
      </c>
      <c r="E93" s="2" t="s">
        <v>18</v>
      </c>
      <c r="F93" s="2">
        <v>0.90799999999999992</v>
      </c>
      <c r="G93" s="6">
        <f t="shared" si="8"/>
        <v>20.541084719999997</v>
      </c>
      <c r="H93" s="6" t="s">
        <v>7</v>
      </c>
      <c r="I93" s="6">
        <f>17.1/100</f>
        <v>0.17100000000000001</v>
      </c>
      <c r="J93" s="6">
        <f t="shared" si="30"/>
        <v>3.5125254871199996</v>
      </c>
      <c r="K93" s="2" t="s">
        <v>34</v>
      </c>
      <c r="L93" s="2">
        <f>16.1/100</f>
        <v>0.161</v>
      </c>
      <c r="M93" s="2">
        <f t="shared" si="31"/>
        <v>3.3071146399199995</v>
      </c>
    </row>
    <row r="94" spans="1:13" x14ac:dyDescent="0.25">
      <c r="A94" s="4">
        <v>26.771999999999998</v>
      </c>
      <c r="B94" s="2" t="s">
        <v>19</v>
      </c>
      <c r="C94" s="6">
        <f t="shared" si="17"/>
        <v>0.84499999999999997</v>
      </c>
      <c r="D94" s="6">
        <f t="shared" si="29"/>
        <v>22.622339999999998</v>
      </c>
      <c r="E94" s="2" t="s">
        <v>18</v>
      </c>
      <c r="F94" s="2">
        <v>0.90799999999999992</v>
      </c>
      <c r="G94" s="6">
        <f t="shared" si="8"/>
        <v>20.541084719999997</v>
      </c>
      <c r="H94" s="6" t="s">
        <v>8</v>
      </c>
      <c r="I94" s="6">
        <f>37.1/100</f>
        <v>0.371</v>
      </c>
      <c r="J94" s="6">
        <f t="shared" si="30"/>
        <v>7.6207424311199992</v>
      </c>
      <c r="K94" s="2" t="s">
        <v>35</v>
      </c>
      <c r="L94" s="2">
        <f>25.2/100</f>
        <v>0.252</v>
      </c>
      <c r="M94" s="2">
        <f t="shared" si="31"/>
        <v>5.1763533494399994</v>
      </c>
    </row>
    <row r="95" spans="1:13" x14ac:dyDescent="0.25">
      <c r="A95" s="4">
        <v>26.771999999999998</v>
      </c>
      <c r="B95" s="2" t="s">
        <v>19</v>
      </c>
      <c r="C95" s="6">
        <f t="shared" si="17"/>
        <v>0.84499999999999997</v>
      </c>
      <c r="D95" s="6">
        <f t="shared" si="29"/>
        <v>22.622339999999998</v>
      </c>
      <c r="E95" s="2" t="s">
        <v>18</v>
      </c>
      <c r="F95" s="2">
        <v>0.90799999999999992</v>
      </c>
      <c r="G95" s="6">
        <f t="shared" si="8"/>
        <v>20.541084719999997</v>
      </c>
      <c r="H95" s="6" t="s">
        <v>10</v>
      </c>
      <c r="I95" s="6">
        <f>2.4/100</f>
        <v>2.4E-2</v>
      </c>
      <c r="J95" s="6">
        <f t="shared" si="30"/>
        <v>0.49298603327999996</v>
      </c>
      <c r="K95" s="2" t="s">
        <v>36</v>
      </c>
      <c r="L95" s="2">
        <f>19.2/100</f>
        <v>0.192</v>
      </c>
      <c r="M95" s="2">
        <f t="shared" si="31"/>
        <v>3.9438882662399997</v>
      </c>
    </row>
    <row r="96" spans="1:13" x14ac:dyDescent="0.25">
      <c r="A96" s="4">
        <v>26.771999999999998</v>
      </c>
      <c r="B96" s="2" t="s">
        <v>19</v>
      </c>
      <c r="C96" s="6">
        <f t="shared" si="17"/>
        <v>0.84499999999999997</v>
      </c>
      <c r="D96" s="6">
        <f t="shared" si="29"/>
        <v>22.622339999999998</v>
      </c>
      <c r="E96" s="2" t="s">
        <v>18</v>
      </c>
      <c r="F96" s="2">
        <v>0.90799999999999992</v>
      </c>
      <c r="G96" s="6">
        <f t="shared" si="8"/>
        <v>20.541084719999997</v>
      </c>
      <c r="H96" s="6" t="s">
        <v>9</v>
      </c>
      <c r="I96" s="6">
        <f>8.6/100</f>
        <v>8.5999999999999993E-2</v>
      </c>
      <c r="J96" s="6">
        <f t="shared" si="30"/>
        <v>1.7665332859199996</v>
      </c>
      <c r="K96" s="2" t="s">
        <v>37</v>
      </c>
      <c r="L96" s="2">
        <f>13/100</f>
        <v>0.13</v>
      </c>
      <c r="M96" s="2">
        <f t="shared" si="31"/>
        <v>2.6703410135999999</v>
      </c>
    </row>
    <row r="97" spans="1:13" x14ac:dyDescent="0.25">
      <c r="A97" s="4">
        <v>26.771999999999998</v>
      </c>
      <c r="B97" s="2" t="s">
        <v>19</v>
      </c>
      <c r="C97" s="6">
        <f t="shared" si="17"/>
        <v>0.84499999999999997</v>
      </c>
      <c r="D97" s="6">
        <f t="shared" si="29"/>
        <v>22.622339999999998</v>
      </c>
      <c r="E97" s="2" t="s">
        <v>18</v>
      </c>
      <c r="F97" s="2">
        <v>0.90799999999999992</v>
      </c>
      <c r="G97" s="6">
        <f t="shared" si="8"/>
        <v>20.541084719999997</v>
      </c>
      <c r="H97" s="6" t="s">
        <v>55</v>
      </c>
      <c r="I97" s="2">
        <f>1.9/100</f>
        <v>1.9E-2</v>
      </c>
      <c r="J97" s="6">
        <f t="shared" si="30"/>
        <v>0.39028060967999995</v>
      </c>
      <c r="K97" s="2" t="s">
        <v>38</v>
      </c>
      <c r="L97" s="2">
        <f>2.5/100</f>
        <v>2.5000000000000001E-2</v>
      </c>
      <c r="M97" s="2">
        <f t="shared" si="31"/>
        <v>0.51352711799999995</v>
      </c>
    </row>
    <row r="98" spans="1:13" x14ac:dyDescent="0.25">
      <c r="A98" s="4">
        <v>26.771999999999998</v>
      </c>
      <c r="B98" s="2" t="s">
        <v>19</v>
      </c>
      <c r="C98" s="6">
        <f t="shared" si="17"/>
        <v>0.84499999999999997</v>
      </c>
      <c r="D98" s="6">
        <f t="shared" si="29"/>
        <v>22.622339999999998</v>
      </c>
      <c r="E98" s="2" t="s">
        <v>18</v>
      </c>
      <c r="F98" s="2">
        <v>0.90799999999999992</v>
      </c>
      <c r="G98" s="6">
        <f t="shared" ref="G98" si="32">F98*D98</f>
        <v>20.541084719999997</v>
      </c>
      <c r="H98" s="2"/>
      <c r="I98" s="2"/>
      <c r="J98" s="2"/>
      <c r="K98" s="2" t="s">
        <v>39</v>
      </c>
      <c r="L98" s="2">
        <f>2.8/100</f>
        <v>2.7999999999999997E-2</v>
      </c>
      <c r="M98" s="2">
        <f t="shared" si="31"/>
        <v>0.57515037215999987</v>
      </c>
    </row>
  </sheetData>
  <mergeCells count="1">
    <mergeCell ref="E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4:M112"/>
  <sheetViews>
    <sheetView zoomScale="106" zoomScaleNormal="106" workbookViewId="0">
      <selection activeCell="A6" sqref="A6:M101"/>
    </sheetView>
  </sheetViews>
  <sheetFormatPr defaultRowHeight="13.2" x14ac:dyDescent="0.25"/>
  <cols>
    <col min="1" max="1" width="10.77734375" customWidth="1"/>
    <col min="5" max="5" width="22.6640625" customWidth="1"/>
  </cols>
  <sheetData>
    <row r="4" spans="1:13" x14ac:dyDescent="0.25">
      <c r="A4" s="3"/>
      <c r="B4" s="3"/>
      <c r="C4" s="3"/>
      <c r="D4" s="3"/>
      <c r="E4" s="21" t="s">
        <v>93</v>
      </c>
      <c r="F4" s="21"/>
      <c r="G4" s="21"/>
      <c r="H4" s="21"/>
      <c r="I4" s="21"/>
      <c r="J4" s="21"/>
      <c r="K4" s="3"/>
      <c r="L4" s="3"/>
      <c r="M4" s="3"/>
    </row>
    <row r="5" spans="1:13" ht="198" x14ac:dyDescent="0.25">
      <c r="A5" s="1" t="s">
        <v>30</v>
      </c>
      <c r="B5" s="2" t="s">
        <v>1</v>
      </c>
      <c r="C5" s="1" t="s">
        <v>22</v>
      </c>
      <c r="D5" s="1" t="s">
        <v>23</v>
      </c>
      <c r="E5" s="2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2" t="s">
        <v>31</v>
      </c>
      <c r="L5" s="1" t="s">
        <v>40</v>
      </c>
      <c r="M5" s="1" t="s">
        <v>41</v>
      </c>
    </row>
    <row r="6" spans="1:13" ht="26.4" x14ac:dyDescent="0.25">
      <c r="A6" s="4">
        <v>24.114999999999998</v>
      </c>
      <c r="B6" s="4" t="s">
        <v>2</v>
      </c>
      <c r="C6" s="5">
        <f>13.7/100</f>
        <v>0.13699999999999998</v>
      </c>
      <c r="D6" s="6">
        <f>C6*A6</f>
        <v>3.3037549999999993</v>
      </c>
      <c r="E6" s="6" t="s">
        <v>14</v>
      </c>
      <c r="F6" s="5">
        <f>16.2/100</f>
        <v>0.16200000000000001</v>
      </c>
      <c r="G6" s="5">
        <f>D6*F6</f>
        <v>0.53520830999999991</v>
      </c>
      <c r="H6" s="6" t="s">
        <v>11</v>
      </c>
      <c r="I6" s="6">
        <f>9/100</f>
        <v>0.09</v>
      </c>
      <c r="J6" s="7">
        <f>I6*G6</f>
        <v>4.8168747899999989E-2</v>
      </c>
      <c r="K6" s="2" t="s">
        <v>32</v>
      </c>
      <c r="L6" s="2">
        <f>1.8/100</f>
        <v>1.8000000000000002E-2</v>
      </c>
      <c r="M6" s="2">
        <f>L6*G6</f>
        <v>9.6337495799999999E-3</v>
      </c>
    </row>
    <row r="7" spans="1:13" x14ac:dyDescent="0.25">
      <c r="A7" s="4">
        <v>24.114999999999998</v>
      </c>
      <c r="B7" s="4" t="s">
        <v>2</v>
      </c>
      <c r="C7" s="5">
        <f t="shared" ref="C7:C53" si="0">13.7/100</f>
        <v>0.13699999999999998</v>
      </c>
      <c r="D7" s="6">
        <f>C7*A7</f>
        <v>3.3037549999999993</v>
      </c>
      <c r="E7" s="6" t="s">
        <v>43</v>
      </c>
      <c r="F7" s="5">
        <f t="shared" ref="F7:F13" si="1">16.2/100</f>
        <v>0.16200000000000001</v>
      </c>
      <c r="G7" s="5">
        <f>D7*F7</f>
        <v>0.53520830999999991</v>
      </c>
      <c r="H7" s="6" t="s">
        <v>12</v>
      </c>
      <c r="I7" s="6">
        <f>1.8/100</f>
        <v>1.8000000000000002E-2</v>
      </c>
      <c r="J7" s="8">
        <f t="shared" ref="J7:J12" si="2">G7*I7</f>
        <v>9.6337495799999999E-3</v>
      </c>
      <c r="K7" s="2" t="s">
        <v>33</v>
      </c>
      <c r="L7" s="2">
        <f>6/100</f>
        <v>0.06</v>
      </c>
      <c r="M7" s="2">
        <f t="shared" ref="M7:M13" si="3">L7*G7</f>
        <v>3.211249859999999E-2</v>
      </c>
    </row>
    <row r="8" spans="1:13" x14ac:dyDescent="0.25">
      <c r="A8" s="4">
        <v>24.114999999999998</v>
      </c>
      <c r="B8" s="4" t="s">
        <v>2</v>
      </c>
      <c r="C8" s="5">
        <f t="shared" si="0"/>
        <v>0.13699999999999998</v>
      </c>
      <c r="D8" s="6">
        <f t="shared" ref="D8:D94" si="4">C8*A8</f>
        <v>3.3037549999999993</v>
      </c>
      <c r="E8" s="6" t="s">
        <v>14</v>
      </c>
      <c r="F8" s="5">
        <f t="shared" si="1"/>
        <v>0.16200000000000001</v>
      </c>
      <c r="G8" s="5">
        <f t="shared" ref="G8:G13" si="5">D8*F8</f>
        <v>0.53520830999999991</v>
      </c>
      <c r="H8" s="6" t="s">
        <v>7</v>
      </c>
      <c r="I8" s="14">
        <f>4.8/100</f>
        <v>4.8000000000000001E-2</v>
      </c>
      <c r="J8" s="8">
        <f t="shared" si="2"/>
        <v>2.5689998879999995E-2</v>
      </c>
      <c r="K8" s="2" t="s">
        <v>34</v>
      </c>
      <c r="L8" s="2">
        <f>13.5/100</f>
        <v>0.13500000000000001</v>
      </c>
      <c r="M8" s="2">
        <f t="shared" si="3"/>
        <v>7.2253121849999991E-2</v>
      </c>
    </row>
    <row r="9" spans="1:13" x14ac:dyDescent="0.25">
      <c r="A9" s="4">
        <v>24.114999999999998</v>
      </c>
      <c r="B9" s="4" t="s">
        <v>2</v>
      </c>
      <c r="C9" s="5">
        <f t="shared" si="0"/>
        <v>0.13699999999999998</v>
      </c>
      <c r="D9" s="6">
        <f t="shared" si="4"/>
        <v>3.3037549999999993</v>
      </c>
      <c r="E9" s="6" t="s">
        <v>14</v>
      </c>
      <c r="F9" s="5">
        <f t="shared" si="1"/>
        <v>0.16200000000000001</v>
      </c>
      <c r="G9" s="5">
        <f t="shared" si="5"/>
        <v>0.53520830999999991</v>
      </c>
      <c r="H9" s="6" t="s">
        <v>8</v>
      </c>
      <c r="I9" s="6">
        <f>33.6/100</f>
        <v>0.33600000000000002</v>
      </c>
      <c r="J9" s="8">
        <f t="shared" si="2"/>
        <v>0.17982999215999998</v>
      </c>
      <c r="K9" s="2" t="s">
        <v>35</v>
      </c>
      <c r="L9" s="2">
        <f>26.7/100</f>
        <v>0.26700000000000002</v>
      </c>
      <c r="M9" s="2">
        <f t="shared" si="3"/>
        <v>0.14290061876999999</v>
      </c>
    </row>
    <row r="10" spans="1:13" x14ac:dyDescent="0.25">
      <c r="A10" s="4">
        <v>24.114999999999998</v>
      </c>
      <c r="B10" s="4" t="s">
        <v>2</v>
      </c>
      <c r="C10" s="5">
        <f t="shared" si="0"/>
        <v>0.13699999999999998</v>
      </c>
      <c r="D10" s="6">
        <f t="shared" si="4"/>
        <v>3.3037549999999993</v>
      </c>
      <c r="E10" s="6" t="s">
        <v>14</v>
      </c>
      <c r="F10" s="5">
        <f t="shared" si="1"/>
        <v>0.16200000000000001</v>
      </c>
      <c r="G10" s="5">
        <f t="shared" si="5"/>
        <v>0.53520830999999991</v>
      </c>
      <c r="H10" s="6" t="s">
        <v>10</v>
      </c>
      <c r="I10" s="6">
        <f>8.2/100</f>
        <v>8.199999999999999E-2</v>
      </c>
      <c r="J10" s="8">
        <f t="shared" si="2"/>
        <v>4.3887081419999988E-2</v>
      </c>
      <c r="K10" s="2" t="s">
        <v>36</v>
      </c>
      <c r="L10" s="2">
        <f>26.4/100</f>
        <v>0.26400000000000001</v>
      </c>
      <c r="M10" s="2">
        <f t="shared" si="3"/>
        <v>0.14129499383999999</v>
      </c>
    </row>
    <row r="11" spans="1:13" x14ac:dyDescent="0.25">
      <c r="A11" s="4">
        <v>24.114999999999998</v>
      </c>
      <c r="B11" s="4" t="s">
        <v>2</v>
      </c>
      <c r="C11" s="5">
        <f t="shared" si="0"/>
        <v>0.13699999999999998</v>
      </c>
      <c r="D11" s="6">
        <f>C11*A11</f>
        <v>3.3037549999999993</v>
      </c>
      <c r="E11" s="6" t="s">
        <v>14</v>
      </c>
      <c r="F11" s="5">
        <f t="shared" si="1"/>
        <v>0.16200000000000001</v>
      </c>
      <c r="G11" s="5">
        <f t="shared" si="5"/>
        <v>0.53520830999999991</v>
      </c>
      <c r="H11" s="6" t="s">
        <v>9</v>
      </c>
      <c r="I11" s="6">
        <f>42.4/100</f>
        <v>0.42399999999999999</v>
      </c>
      <c r="J11" s="8">
        <f t="shared" si="2"/>
        <v>0.22692832343999997</v>
      </c>
      <c r="K11" s="2" t="s">
        <v>37</v>
      </c>
      <c r="L11" s="2">
        <f>24/100</f>
        <v>0.24</v>
      </c>
      <c r="M11" s="2">
        <f t="shared" si="3"/>
        <v>0.12844999439999996</v>
      </c>
    </row>
    <row r="12" spans="1:13" x14ac:dyDescent="0.25">
      <c r="A12" s="4">
        <v>24.114999999999998</v>
      </c>
      <c r="B12" s="4" t="s">
        <v>2</v>
      </c>
      <c r="C12" s="5">
        <f t="shared" si="0"/>
        <v>0.13699999999999998</v>
      </c>
      <c r="D12" s="6">
        <f t="shared" si="4"/>
        <v>3.3037549999999993</v>
      </c>
      <c r="E12" s="6" t="s">
        <v>14</v>
      </c>
      <c r="F12" s="5">
        <f t="shared" si="1"/>
        <v>0.16200000000000001</v>
      </c>
      <c r="G12" s="5">
        <f t="shared" si="5"/>
        <v>0.53520830999999991</v>
      </c>
      <c r="H12" s="6" t="s">
        <v>55</v>
      </c>
      <c r="I12" s="6">
        <f>0.3/100</f>
        <v>3.0000000000000001E-3</v>
      </c>
      <c r="J12" s="8">
        <f t="shared" si="2"/>
        <v>1.6056249299999997E-3</v>
      </c>
      <c r="K12" s="2" t="s">
        <v>38</v>
      </c>
      <c r="L12" s="2">
        <f>1.1/100</f>
        <v>1.1000000000000001E-2</v>
      </c>
      <c r="M12" s="2">
        <f t="shared" si="3"/>
        <v>5.8872914099999995E-3</v>
      </c>
    </row>
    <row r="13" spans="1:13" x14ac:dyDescent="0.25">
      <c r="A13" s="4">
        <v>24.114999999999998</v>
      </c>
      <c r="B13" s="4" t="s">
        <v>2</v>
      </c>
      <c r="C13" s="5">
        <f t="shared" si="0"/>
        <v>0.13699999999999998</v>
      </c>
      <c r="D13" s="6">
        <f t="shared" si="4"/>
        <v>3.3037549999999993</v>
      </c>
      <c r="E13" s="6" t="s">
        <v>14</v>
      </c>
      <c r="F13" s="5">
        <f t="shared" si="1"/>
        <v>0.16200000000000001</v>
      </c>
      <c r="G13" s="5">
        <f t="shared" si="5"/>
        <v>0.53520830999999991</v>
      </c>
      <c r="H13" s="6"/>
      <c r="I13" s="6"/>
      <c r="J13" s="8"/>
      <c r="K13" s="2" t="s">
        <v>39</v>
      </c>
      <c r="L13" s="2">
        <f>0.6/100</f>
        <v>6.0000000000000001E-3</v>
      </c>
      <c r="M13" s="2">
        <f t="shared" si="3"/>
        <v>3.2112498599999994E-3</v>
      </c>
    </row>
    <row r="14" spans="1:13" x14ac:dyDescent="0.25">
      <c r="A14" s="4">
        <v>24.114999999999998</v>
      </c>
      <c r="B14" s="4" t="s">
        <v>2</v>
      </c>
      <c r="C14" s="5">
        <f t="shared" si="0"/>
        <v>0.13699999999999998</v>
      </c>
      <c r="D14" s="6">
        <f t="shared" si="4"/>
        <v>3.3037549999999993</v>
      </c>
      <c r="E14" s="6" t="s">
        <v>44</v>
      </c>
      <c r="F14" s="8">
        <f>22.4/100</f>
        <v>0.22399999999999998</v>
      </c>
      <c r="G14" s="6">
        <f>F14*D14</f>
        <v>0.74004111999999977</v>
      </c>
      <c r="H14" s="6" t="s">
        <v>11</v>
      </c>
      <c r="I14" s="6">
        <f>0/100</f>
        <v>0</v>
      </c>
      <c r="J14" s="8">
        <f>I14*G14</f>
        <v>0</v>
      </c>
      <c r="K14" s="2" t="s">
        <v>32</v>
      </c>
      <c r="L14" s="2">
        <f>0/100</f>
        <v>0</v>
      </c>
      <c r="M14" s="2">
        <f>L14*G14</f>
        <v>0</v>
      </c>
    </row>
    <row r="15" spans="1:13" x14ac:dyDescent="0.25">
      <c r="A15" s="4">
        <v>24.114999999999998</v>
      </c>
      <c r="B15" s="4" t="s">
        <v>2</v>
      </c>
      <c r="C15" s="5">
        <f t="shared" si="0"/>
        <v>0.13699999999999998</v>
      </c>
      <c r="D15" s="6">
        <f t="shared" si="4"/>
        <v>3.3037549999999993</v>
      </c>
      <c r="E15" s="6" t="s">
        <v>15</v>
      </c>
      <c r="F15" s="8">
        <f t="shared" ref="F15:F21" si="6">22.4/100</f>
        <v>0.22399999999999998</v>
      </c>
      <c r="G15" s="6">
        <f t="shared" ref="G15:G21" si="7">F15*D15</f>
        <v>0.74004111999999977</v>
      </c>
      <c r="H15" s="6" t="s">
        <v>12</v>
      </c>
      <c r="I15" s="6">
        <f>0/100</f>
        <v>0</v>
      </c>
      <c r="J15" s="8">
        <f t="shared" ref="J15:J19" si="8">I15*G15</f>
        <v>0</v>
      </c>
      <c r="K15" s="2" t="s">
        <v>33</v>
      </c>
      <c r="L15" s="2">
        <f>5.1/100</f>
        <v>5.0999999999999997E-2</v>
      </c>
      <c r="M15" s="2">
        <f t="shared" ref="M15:M21" si="9">L15*G15</f>
        <v>3.7742097119999984E-2</v>
      </c>
    </row>
    <row r="16" spans="1:13" x14ac:dyDescent="0.25">
      <c r="A16" s="4">
        <v>24.114999999999998</v>
      </c>
      <c r="B16" s="4" t="s">
        <v>2</v>
      </c>
      <c r="C16" s="5">
        <f t="shared" si="0"/>
        <v>0.13699999999999998</v>
      </c>
      <c r="D16" s="6">
        <f t="shared" si="4"/>
        <v>3.3037549999999993</v>
      </c>
      <c r="E16" s="6" t="s">
        <v>15</v>
      </c>
      <c r="F16" s="8">
        <f t="shared" si="6"/>
        <v>0.22399999999999998</v>
      </c>
      <c r="G16" s="6">
        <f t="shared" si="7"/>
        <v>0.74004111999999977</v>
      </c>
      <c r="H16" s="6" t="s">
        <v>7</v>
      </c>
      <c r="I16" s="6">
        <f>3.5/100</f>
        <v>3.5000000000000003E-2</v>
      </c>
      <c r="J16" s="8">
        <f t="shared" si="8"/>
        <v>2.5901439199999994E-2</v>
      </c>
      <c r="K16" s="2" t="s">
        <v>34</v>
      </c>
      <c r="L16" s="2">
        <f>7.3/100</f>
        <v>7.2999999999999995E-2</v>
      </c>
      <c r="M16" s="2">
        <f t="shared" si="9"/>
        <v>5.4023001759999981E-2</v>
      </c>
    </row>
    <row r="17" spans="1:13" x14ac:dyDescent="0.25">
      <c r="A17" s="4">
        <v>24.114999999999998</v>
      </c>
      <c r="B17" s="4" t="s">
        <v>2</v>
      </c>
      <c r="C17" s="5">
        <f t="shared" si="0"/>
        <v>0.13699999999999998</v>
      </c>
      <c r="D17" s="6">
        <f t="shared" si="4"/>
        <v>3.3037549999999993</v>
      </c>
      <c r="E17" s="6" t="s">
        <v>15</v>
      </c>
      <c r="F17" s="8">
        <f t="shared" si="6"/>
        <v>0.22399999999999998</v>
      </c>
      <c r="G17" s="6">
        <f t="shared" si="7"/>
        <v>0.74004111999999977</v>
      </c>
      <c r="H17" s="6" t="s">
        <v>8</v>
      </c>
      <c r="I17" s="6">
        <f>44.3/100</f>
        <v>0.44299999999999995</v>
      </c>
      <c r="J17" s="8">
        <f>I17*G17</f>
        <v>0.32783821615999986</v>
      </c>
      <c r="K17" s="2" t="s">
        <v>35</v>
      </c>
      <c r="L17" s="2">
        <f>46/100</f>
        <v>0.46</v>
      </c>
      <c r="M17" s="2">
        <f t="shared" si="9"/>
        <v>0.34041891519999989</v>
      </c>
    </row>
    <row r="18" spans="1:13" x14ac:dyDescent="0.25">
      <c r="A18" s="4">
        <v>24.114999999999998</v>
      </c>
      <c r="B18" s="4" t="s">
        <v>2</v>
      </c>
      <c r="C18" s="5">
        <f t="shared" si="0"/>
        <v>0.13699999999999998</v>
      </c>
      <c r="D18" s="6">
        <f t="shared" si="4"/>
        <v>3.3037549999999993</v>
      </c>
      <c r="E18" s="6" t="s">
        <v>15</v>
      </c>
      <c r="F18" s="8">
        <f t="shared" si="6"/>
        <v>0.22399999999999998</v>
      </c>
      <c r="G18" s="6">
        <f t="shared" si="7"/>
        <v>0.74004111999999977</v>
      </c>
      <c r="H18" s="6" t="s">
        <v>10</v>
      </c>
      <c r="I18" s="6">
        <f>10.4/100</f>
        <v>0.10400000000000001</v>
      </c>
      <c r="J18" s="8">
        <f t="shared" si="8"/>
        <v>7.6964276479999982E-2</v>
      </c>
      <c r="K18" s="2" t="s">
        <v>36</v>
      </c>
      <c r="L18" s="2">
        <f>19.2/100</f>
        <v>0.192</v>
      </c>
      <c r="M18" s="2">
        <f t="shared" si="9"/>
        <v>0.14208789503999997</v>
      </c>
    </row>
    <row r="19" spans="1:13" x14ac:dyDescent="0.25">
      <c r="A19" s="4">
        <v>24.114999999999998</v>
      </c>
      <c r="B19" s="4" t="s">
        <v>2</v>
      </c>
      <c r="C19" s="5">
        <f t="shared" si="0"/>
        <v>0.13699999999999998</v>
      </c>
      <c r="D19" s="6">
        <f t="shared" si="4"/>
        <v>3.3037549999999993</v>
      </c>
      <c r="E19" s="6" t="s">
        <v>15</v>
      </c>
      <c r="F19" s="8">
        <f t="shared" si="6"/>
        <v>0.22399999999999998</v>
      </c>
      <c r="G19" s="6">
        <f t="shared" si="7"/>
        <v>0.74004111999999977</v>
      </c>
      <c r="H19" s="6" t="s">
        <v>9</v>
      </c>
      <c r="I19" s="6">
        <f>41.8/100</f>
        <v>0.41799999999999998</v>
      </c>
      <c r="J19" s="8">
        <f t="shared" si="8"/>
        <v>0.30933718815999989</v>
      </c>
      <c r="K19" s="2" t="s">
        <v>37</v>
      </c>
      <c r="L19" s="2">
        <f>22.3/100</f>
        <v>0.223</v>
      </c>
      <c r="M19" s="2">
        <f t="shared" si="9"/>
        <v>0.16502916975999996</v>
      </c>
    </row>
    <row r="20" spans="1:13" x14ac:dyDescent="0.25">
      <c r="A20" s="4">
        <v>24.114999999999998</v>
      </c>
      <c r="B20" s="4" t="s">
        <v>2</v>
      </c>
      <c r="C20" s="5">
        <f t="shared" si="0"/>
        <v>0.13699999999999998</v>
      </c>
      <c r="D20" s="6">
        <f t="shared" si="4"/>
        <v>3.3037549999999993</v>
      </c>
      <c r="E20" s="6" t="s">
        <v>15</v>
      </c>
      <c r="F20" s="8">
        <f t="shared" si="6"/>
        <v>0.22399999999999998</v>
      </c>
      <c r="G20" s="6">
        <f t="shared" si="7"/>
        <v>0.74004111999999977</v>
      </c>
      <c r="H20" s="6" t="s">
        <v>55</v>
      </c>
      <c r="I20" s="6">
        <f>0/100</f>
        <v>0</v>
      </c>
      <c r="J20" s="8">
        <f>I20*G20</f>
        <v>0</v>
      </c>
      <c r="K20" s="2" t="s">
        <v>38</v>
      </c>
      <c r="L20" s="2">
        <f>0/100</f>
        <v>0</v>
      </c>
      <c r="M20" s="2">
        <f>L20*G20</f>
        <v>0</v>
      </c>
    </row>
    <row r="21" spans="1:13" x14ac:dyDescent="0.25">
      <c r="A21" s="4">
        <v>24.114999999999998</v>
      </c>
      <c r="B21" s="4" t="s">
        <v>2</v>
      </c>
      <c r="C21" s="5">
        <f t="shared" si="0"/>
        <v>0.13699999999999998</v>
      </c>
      <c r="D21" s="6">
        <f t="shared" si="4"/>
        <v>3.3037549999999993</v>
      </c>
      <c r="E21" s="6" t="s">
        <v>15</v>
      </c>
      <c r="F21" s="8">
        <f t="shared" si="6"/>
        <v>0.22399999999999998</v>
      </c>
      <c r="G21" s="6">
        <f t="shared" si="7"/>
        <v>0.74004111999999977</v>
      </c>
      <c r="H21" s="6"/>
      <c r="I21" s="6"/>
      <c r="J21" s="8"/>
      <c r="K21" s="2" t="s">
        <v>39</v>
      </c>
      <c r="L21" s="2">
        <f>0/100</f>
        <v>0</v>
      </c>
      <c r="M21" s="2">
        <f t="shared" si="9"/>
        <v>0</v>
      </c>
    </row>
    <row r="22" spans="1:13" x14ac:dyDescent="0.25">
      <c r="A22" s="4">
        <v>24.114999999999998</v>
      </c>
      <c r="B22" s="4" t="s">
        <v>2</v>
      </c>
      <c r="C22" s="5">
        <f t="shared" si="0"/>
        <v>0.13699999999999998</v>
      </c>
      <c r="D22" s="6">
        <f t="shared" si="4"/>
        <v>3.3037549999999993</v>
      </c>
      <c r="E22" s="6" t="s">
        <v>45</v>
      </c>
      <c r="F22" s="6">
        <f>15.5/100</f>
        <v>0.155</v>
      </c>
      <c r="G22" s="6">
        <f>F22*D22</f>
        <v>0.51208202499999989</v>
      </c>
      <c r="H22" s="6" t="s">
        <v>11</v>
      </c>
      <c r="I22" s="6">
        <f>6.5/100</f>
        <v>6.5000000000000002E-2</v>
      </c>
      <c r="J22" s="6">
        <f>I22*G22</f>
        <v>3.3285331624999991E-2</v>
      </c>
      <c r="K22" s="2" t="s">
        <v>32</v>
      </c>
      <c r="L22" s="2">
        <f>1/100</f>
        <v>0.01</v>
      </c>
      <c r="M22" s="2">
        <f>L22*G22</f>
        <v>5.1208202499999989E-3</v>
      </c>
    </row>
    <row r="23" spans="1:13" x14ac:dyDescent="0.25">
      <c r="A23" s="4">
        <v>24.114999999999998</v>
      </c>
      <c r="B23" s="4" t="s">
        <v>2</v>
      </c>
      <c r="C23" s="5">
        <f t="shared" si="0"/>
        <v>0.13699999999999998</v>
      </c>
      <c r="D23" s="6">
        <f t="shared" si="4"/>
        <v>3.3037549999999993</v>
      </c>
      <c r="E23" s="6" t="s">
        <v>16</v>
      </c>
      <c r="F23" s="6">
        <f t="shared" ref="F23:F29" si="10">15.5/100</f>
        <v>0.155</v>
      </c>
      <c r="G23" s="6">
        <f t="shared" ref="G23:G100" si="11">F23*D23</f>
        <v>0.51208202499999989</v>
      </c>
      <c r="H23" s="6" t="s">
        <v>12</v>
      </c>
      <c r="I23" s="6">
        <f>3.5/100</f>
        <v>3.5000000000000003E-2</v>
      </c>
      <c r="J23" s="6">
        <f t="shared" ref="J23:J28" si="12">I23*G23</f>
        <v>1.7922870874999997E-2</v>
      </c>
      <c r="K23" s="2" t="s">
        <v>33</v>
      </c>
      <c r="L23" s="2">
        <f>11.2/100</f>
        <v>0.11199999999999999</v>
      </c>
      <c r="M23" s="2">
        <f t="shared" ref="M23:M29" si="13">L23*G23</f>
        <v>5.7353186799999983E-2</v>
      </c>
    </row>
    <row r="24" spans="1:13" x14ac:dyDescent="0.25">
      <c r="A24" s="4">
        <v>24.114999999999998</v>
      </c>
      <c r="B24" s="4" t="s">
        <v>2</v>
      </c>
      <c r="C24" s="5">
        <f t="shared" si="0"/>
        <v>0.13699999999999998</v>
      </c>
      <c r="D24" s="6">
        <f t="shared" si="4"/>
        <v>3.3037549999999993</v>
      </c>
      <c r="E24" s="6" t="s">
        <v>16</v>
      </c>
      <c r="F24" s="6">
        <f t="shared" si="10"/>
        <v>0.155</v>
      </c>
      <c r="G24" s="6">
        <f t="shared" si="11"/>
        <v>0.51208202499999989</v>
      </c>
      <c r="H24" s="6" t="s">
        <v>7</v>
      </c>
      <c r="I24" s="6">
        <f>5.3/100</f>
        <v>5.2999999999999999E-2</v>
      </c>
      <c r="J24" s="6">
        <f t="shared" si="12"/>
        <v>2.7140347324999994E-2</v>
      </c>
      <c r="K24" s="2" t="s">
        <v>34</v>
      </c>
      <c r="L24" s="2">
        <f>12/100</f>
        <v>0.12</v>
      </c>
      <c r="M24" s="2">
        <f t="shared" si="13"/>
        <v>6.1449842999999983E-2</v>
      </c>
    </row>
    <row r="25" spans="1:13" x14ac:dyDescent="0.25">
      <c r="A25" s="4">
        <v>24.114999999999998</v>
      </c>
      <c r="B25" s="4" t="s">
        <v>2</v>
      </c>
      <c r="C25" s="5">
        <f t="shared" si="0"/>
        <v>0.13699999999999998</v>
      </c>
      <c r="D25" s="6">
        <f t="shared" si="4"/>
        <v>3.3037549999999993</v>
      </c>
      <c r="E25" s="6" t="s">
        <v>16</v>
      </c>
      <c r="F25" s="6">
        <f t="shared" si="10"/>
        <v>0.155</v>
      </c>
      <c r="G25" s="6">
        <f t="shared" si="11"/>
        <v>0.51208202499999989</v>
      </c>
      <c r="H25" s="6" t="s">
        <v>8</v>
      </c>
      <c r="I25" s="6">
        <f>31/100</f>
        <v>0.31</v>
      </c>
      <c r="J25" s="6">
        <f t="shared" si="12"/>
        <v>0.15874542774999997</v>
      </c>
      <c r="K25" s="2" t="s">
        <v>35</v>
      </c>
      <c r="L25" s="2">
        <f>25/100</f>
        <v>0.25</v>
      </c>
      <c r="M25" s="2">
        <f t="shared" si="13"/>
        <v>0.12802050624999997</v>
      </c>
    </row>
    <row r="26" spans="1:13" x14ac:dyDescent="0.25">
      <c r="A26" s="4">
        <v>24.114999999999998</v>
      </c>
      <c r="B26" s="4" t="s">
        <v>2</v>
      </c>
      <c r="C26" s="5">
        <f t="shared" si="0"/>
        <v>0.13699999999999998</v>
      </c>
      <c r="D26" s="6">
        <f t="shared" si="4"/>
        <v>3.3037549999999993</v>
      </c>
      <c r="E26" s="6" t="s">
        <v>16</v>
      </c>
      <c r="F26" s="6">
        <f t="shared" si="10"/>
        <v>0.155</v>
      </c>
      <c r="G26" s="6">
        <f t="shared" si="11"/>
        <v>0.51208202499999989</v>
      </c>
      <c r="H26" s="6" t="s">
        <v>10</v>
      </c>
      <c r="I26" s="6">
        <f>10.7/100</f>
        <v>0.107</v>
      </c>
      <c r="J26" s="6">
        <f t="shared" si="12"/>
        <v>5.4792776674999988E-2</v>
      </c>
      <c r="K26" s="2" t="s">
        <v>36</v>
      </c>
      <c r="L26" s="2">
        <f>25.9/100</f>
        <v>0.25900000000000001</v>
      </c>
      <c r="M26" s="2">
        <f t="shared" si="13"/>
        <v>0.13262924447499996</v>
      </c>
    </row>
    <row r="27" spans="1:13" x14ac:dyDescent="0.25">
      <c r="A27" s="4">
        <v>24.114999999999998</v>
      </c>
      <c r="B27" s="4" t="s">
        <v>2</v>
      </c>
      <c r="C27" s="5">
        <f t="shared" si="0"/>
        <v>0.13699999999999998</v>
      </c>
      <c r="D27" s="6">
        <f t="shared" si="4"/>
        <v>3.3037549999999993</v>
      </c>
      <c r="E27" s="6" t="s">
        <v>16</v>
      </c>
      <c r="F27" s="6">
        <f t="shared" si="10"/>
        <v>0.155</v>
      </c>
      <c r="G27" s="6">
        <f t="shared" si="11"/>
        <v>0.51208202499999989</v>
      </c>
      <c r="H27" s="6" t="s">
        <v>9</v>
      </c>
      <c r="I27" s="6">
        <f>41.6/100</f>
        <v>0.41600000000000004</v>
      </c>
      <c r="J27" s="6">
        <f t="shared" si="12"/>
        <v>0.21302612239999996</v>
      </c>
      <c r="K27" s="2" t="s">
        <v>37</v>
      </c>
      <c r="L27" s="2">
        <f>22.8/100</f>
        <v>0.22800000000000001</v>
      </c>
      <c r="M27" s="2">
        <f t="shared" si="13"/>
        <v>0.11675470169999998</v>
      </c>
    </row>
    <row r="28" spans="1:13" x14ac:dyDescent="0.25">
      <c r="A28" s="4">
        <v>24.114999999999998</v>
      </c>
      <c r="B28" s="4" t="s">
        <v>2</v>
      </c>
      <c r="C28" s="5">
        <f t="shared" si="0"/>
        <v>0.13699999999999998</v>
      </c>
      <c r="D28" s="6">
        <f t="shared" si="4"/>
        <v>3.3037549999999993</v>
      </c>
      <c r="E28" s="6" t="s">
        <v>16</v>
      </c>
      <c r="F28" s="6">
        <f t="shared" si="10"/>
        <v>0.155</v>
      </c>
      <c r="G28" s="6">
        <f t="shared" si="11"/>
        <v>0.51208202499999989</v>
      </c>
      <c r="H28" s="6" t="s">
        <v>55</v>
      </c>
      <c r="I28" s="6">
        <f>1.3/100</f>
        <v>1.3000000000000001E-2</v>
      </c>
      <c r="J28" s="6">
        <f t="shared" si="12"/>
        <v>6.6570663249999988E-3</v>
      </c>
      <c r="K28" s="2" t="s">
        <v>38</v>
      </c>
      <c r="L28" s="2">
        <f>1.7/100</f>
        <v>1.7000000000000001E-2</v>
      </c>
      <c r="M28" s="2">
        <f t="shared" si="13"/>
        <v>8.7053944249999987E-3</v>
      </c>
    </row>
    <row r="29" spans="1:13" x14ac:dyDescent="0.25">
      <c r="A29" s="4">
        <v>24.114999999999998</v>
      </c>
      <c r="B29" s="4" t="s">
        <v>2</v>
      </c>
      <c r="C29" s="5">
        <f t="shared" si="0"/>
        <v>0.13699999999999998</v>
      </c>
      <c r="D29" s="6">
        <f t="shared" si="4"/>
        <v>3.3037549999999993</v>
      </c>
      <c r="E29" s="6" t="s">
        <v>16</v>
      </c>
      <c r="F29" s="6">
        <f t="shared" si="10"/>
        <v>0.155</v>
      </c>
      <c r="G29" s="6">
        <f t="shared" si="11"/>
        <v>0.51208202499999989</v>
      </c>
      <c r="H29" s="6"/>
      <c r="I29" s="6"/>
      <c r="J29" s="6"/>
      <c r="K29" s="2" t="s">
        <v>39</v>
      </c>
      <c r="L29" s="2">
        <f>0.4/100</f>
        <v>4.0000000000000001E-3</v>
      </c>
      <c r="M29" s="2">
        <f t="shared" si="13"/>
        <v>2.0483280999999995E-3</v>
      </c>
    </row>
    <row r="30" spans="1:13" x14ac:dyDescent="0.25">
      <c r="A30" s="4">
        <v>24.114999999999998</v>
      </c>
      <c r="B30" s="4" t="s">
        <v>2</v>
      </c>
      <c r="C30" s="5">
        <f t="shared" si="0"/>
        <v>0.13699999999999998</v>
      </c>
      <c r="D30" s="6">
        <f t="shared" si="4"/>
        <v>3.3037549999999993</v>
      </c>
      <c r="E30" s="6" t="s">
        <v>46</v>
      </c>
      <c r="F30" s="8">
        <f>14.4/100</f>
        <v>0.14400000000000002</v>
      </c>
      <c r="G30" s="6">
        <f t="shared" si="11"/>
        <v>0.47574071999999995</v>
      </c>
      <c r="H30" s="6" t="s">
        <v>11</v>
      </c>
      <c r="I30" s="8">
        <f>20.5/100</f>
        <v>0.20499999999999999</v>
      </c>
      <c r="J30" s="8">
        <f>I30*G30</f>
        <v>9.752684759999998E-2</v>
      </c>
      <c r="K30" s="2" t="s">
        <v>32</v>
      </c>
      <c r="L30" s="2">
        <f>1/100</f>
        <v>0.01</v>
      </c>
      <c r="M30" s="2">
        <f>L30*G30</f>
        <v>4.7574072E-3</v>
      </c>
    </row>
    <row r="31" spans="1:13" x14ac:dyDescent="0.25">
      <c r="A31" s="4">
        <v>24.114999999999998</v>
      </c>
      <c r="B31" s="4" t="s">
        <v>2</v>
      </c>
      <c r="C31" s="5">
        <f t="shared" si="0"/>
        <v>0.13699999999999998</v>
      </c>
      <c r="D31" s="6">
        <f t="shared" si="4"/>
        <v>3.3037549999999993</v>
      </c>
      <c r="E31" s="6" t="s">
        <v>13</v>
      </c>
      <c r="F31" s="8">
        <f t="shared" ref="F31:F37" si="14">14.4/100</f>
        <v>0.14400000000000002</v>
      </c>
      <c r="G31" s="6">
        <f t="shared" si="11"/>
        <v>0.47574071999999995</v>
      </c>
      <c r="H31" s="6" t="s">
        <v>12</v>
      </c>
      <c r="I31" s="8">
        <f>2.9/100</f>
        <v>2.8999999999999998E-2</v>
      </c>
      <c r="J31" s="8">
        <f t="shared" ref="J31:J36" si="15">I31*G31</f>
        <v>1.3796480879999998E-2</v>
      </c>
      <c r="K31" s="2" t="s">
        <v>33</v>
      </c>
      <c r="L31" s="2">
        <f>5.8/100</f>
        <v>5.7999999999999996E-2</v>
      </c>
      <c r="M31" s="2">
        <f t="shared" ref="M31:M33" si="16">L31*G31</f>
        <v>2.7592961759999996E-2</v>
      </c>
    </row>
    <row r="32" spans="1:13" x14ac:dyDescent="0.25">
      <c r="A32" s="4">
        <v>24.114999999999998</v>
      </c>
      <c r="B32" s="4" t="s">
        <v>2</v>
      </c>
      <c r="C32" s="5">
        <f t="shared" si="0"/>
        <v>0.13699999999999998</v>
      </c>
      <c r="D32" s="6">
        <f t="shared" si="4"/>
        <v>3.3037549999999993</v>
      </c>
      <c r="E32" s="6" t="s">
        <v>13</v>
      </c>
      <c r="F32" s="8">
        <f t="shared" si="14"/>
        <v>0.14400000000000002</v>
      </c>
      <c r="G32" s="6">
        <f t="shared" si="11"/>
        <v>0.47574071999999995</v>
      </c>
      <c r="H32" s="6" t="s">
        <v>7</v>
      </c>
      <c r="I32" s="8">
        <f>7.3/100</f>
        <v>7.2999999999999995E-2</v>
      </c>
      <c r="J32" s="8">
        <f t="shared" si="15"/>
        <v>3.4729072559999997E-2</v>
      </c>
      <c r="K32" s="2" t="s">
        <v>34</v>
      </c>
      <c r="L32" s="2">
        <f>13.6/100</f>
        <v>0.13600000000000001</v>
      </c>
      <c r="M32" s="2">
        <f t="shared" si="16"/>
        <v>6.4700737920000001E-2</v>
      </c>
    </row>
    <row r="33" spans="1:13" x14ac:dyDescent="0.25">
      <c r="A33" s="4">
        <v>24.114999999999998</v>
      </c>
      <c r="B33" s="4" t="s">
        <v>2</v>
      </c>
      <c r="C33" s="5">
        <f t="shared" si="0"/>
        <v>0.13699999999999998</v>
      </c>
      <c r="D33" s="6">
        <f t="shared" si="4"/>
        <v>3.3037549999999993</v>
      </c>
      <c r="E33" s="6" t="s">
        <v>13</v>
      </c>
      <c r="F33" s="8">
        <f t="shared" si="14"/>
        <v>0.14400000000000002</v>
      </c>
      <c r="G33" s="6">
        <f t="shared" si="11"/>
        <v>0.47574071999999995</v>
      </c>
      <c r="H33" s="6" t="s">
        <v>8</v>
      </c>
      <c r="I33" s="8">
        <f>36.3/100</f>
        <v>0.36299999999999999</v>
      </c>
      <c r="J33" s="8">
        <f t="shared" si="15"/>
        <v>0.17269388135999997</v>
      </c>
      <c r="K33" s="2" t="s">
        <v>35</v>
      </c>
      <c r="L33" s="2">
        <f>25.8/100</f>
        <v>0.25800000000000001</v>
      </c>
      <c r="M33" s="2">
        <f t="shared" si="16"/>
        <v>0.12274110576</v>
      </c>
    </row>
    <row r="34" spans="1:13" x14ac:dyDescent="0.25">
      <c r="A34" s="4">
        <v>24.114999999999998</v>
      </c>
      <c r="B34" s="4" t="s">
        <v>2</v>
      </c>
      <c r="C34" s="5">
        <f t="shared" si="0"/>
        <v>0.13699999999999998</v>
      </c>
      <c r="D34" s="6">
        <f t="shared" si="4"/>
        <v>3.3037549999999993</v>
      </c>
      <c r="E34" s="6" t="s">
        <v>13</v>
      </c>
      <c r="F34" s="8">
        <f t="shared" si="14"/>
        <v>0.14400000000000002</v>
      </c>
      <c r="G34" s="6">
        <f t="shared" si="11"/>
        <v>0.47574071999999995</v>
      </c>
      <c r="H34" s="6" t="s">
        <v>10</v>
      </c>
      <c r="I34" s="8">
        <f>7.5/100</f>
        <v>7.4999999999999997E-2</v>
      </c>
      <c r="J34" s="8">
        <f t="shared" si="15"/>
        <v>3.5680553999999996E-2</v>
      </c>
      <c r="K34" s="2" t="s">
        <v>36</v>
      </c>
      <c r="L34" s="2">
        <f>30.1/100</f>
        <v>0.30099999999999999</v>
      </c>
      <c r="M34" s="2" t="e">
        <f>#REF!*G34</f>
        <v>#REF!</v>
      </c>
    </row>
    <row r="35" spans="1:13" x14ac:dyDescent="0.25">
      <c r="A35" s="4">
        <v>24.114999999999998</v>
      </c>
      <c r="B35" s="4" t="s">
        <v>2</v>
      </c>
      <c r="C35" s="5">
        <f t="shared" si="0"/>
        <v>0.13699999999999998</v>
      </c>
      <c r="D35" s="6">
        <f t="shared" si="4"/>
        <v>3.3037549999999993</v>
      </c>
      <c r="E35" s="6" t="s">
        <v>13</v>
      </c>
      <c r="F35" s="8">
        <f t="shared" si="14"/>
        <v>0.14400000000000002</v>
      </c>
      <c r="G35" s="6">
        <f t="shared" si="11"/>
        <v>0.47574071999999995</v>
      </c>
      <c r="H35" s="6" t="s">
        <v>9</v>
      </c>
      <c r="I35" s="8">
        <f>23.8/100</f>
        <v>0.23800000000000002</v>
      </c>
      <c r="J35" s="8">
        <f t="shared" si="15"/>
        <v>0.11322629135999999</v>
      </c>
      <c r="K35" s="2" t="s">
        <v>37</v>
      </c>
      <c r="L35" s="2">
        <f>22.1/100</f>
        <v>0.221</v>
      </c>
      <c r="M35" s="2">
        <f>L34*G35</f>
        <v>0.14319795671999999</v>
      </c>
    </row>
    <row r="36" spans="1:13" x14ac:dyDescent="0.25">
      <c r="A36" s="4">
        <v>24.114999999999998</v>
      </c>
      <c r="B36" s="4" t="s">
        <v>2</v>
      </c>
      <c r="C36" s="5">
        <f t="shared" si="0"/>
        <v>0.13699999999999998</v>
      </c>
      <c r="D36" s="6">
        <f t="shared" si="4"/>
        <v>3.3037549999999993</v>
      </c>
      <c r="E36" s="6" t="s">
        <v>13</v>
      </c>
      <c r="F36" s="8">
        <f t="shared" si="14"/>
        <v>0.14400000000000002</v>
      </c>
      <c r="G36" s="6">
        <f t="shared" si="11"/>
        <v>0.47574071999999995</v>
      </c>
      <c r="H36" s="6" t="s">
        <v>55</v>
      </c>
      <c r="I36" s="8">
        <f>1.7/100</f>
        <v>1.7000000000000001E-2</v>
      </c>
      <c r="J36" s="6">
        <f t="shared" si="15"/>
        <v>8.0875922400000001E-3</v>
      </c>
      <c r="K36" s="2" t="s">
        <v>38</v>
      </c>
      <c r="L36" s="2">
        <f>0.8/100</f>
        <v>8.0000000000000002E-3</v>
      </c>
      <c r="M36" s="2">
        <f>L35*G36</f>
        <v>0.10513869911999998</v>
      </c>
    </row>
    <row r="37" spans="1:13" x14ac:dyDescent="0.25">
      <c r="A37" s="4">
        <v>24.114999999999998</v>
      </c>
      <c r="B37" s="4" t="s">
        <v>2</v>
      </c>
      <c r="C37" s="5">
        <f t="shared" si="0"/>
        <v>0.13699999999999998</v>
      </c>
      <c r="D37" s="6">
        <f t="shared" si="4"/>
        <v>3.3037549999999993</v>
      </c>
      <c r="E37" s="6" t="s">
        <v>13</v>
      </c>
      <c r="F37" s="8">
        <f t="shared" si="14"/>
        <v>0.14400000000000002</v>
      </c>
      <c r="G37" s="6">
        <f t="shared" si="11"/>
        <v>0.47574071999999995</v>
      </c>
      <c r="H37" s="6"/>
      <c r="I37" s="8"/>
      <c r="J37" s="8"/>
      <c r="K37" s="2" t="s">
        <v>39</v>
      </c>
      <c r="L37" s="2">
        <f>0.8/100</f>
        <v>8.0000000000000002E-3</v>
      </c>
      <c r="M37" s="2">
        <f>L36*G37</f>
        <v>3.8059257599999995E-3</v>
      </c>
    </row>
    <row r="38" spans="1:13" x14ac:dyDescent="0.25">
      <c r="A38" s="4">
        <v>24.114999999999998</v>
      </c>
      <c r="B38" s="4" t="s">
        <v>2</v>
      </c>
      <c r="C38" s="5">
        <f t="shared" si="0"/>
        <v>0.13699999999999998</v>
      </c>
      <c r="D38" s="6">
        <f t="shared" si="4"/>
        <v>3.3037549999999993</v>
      </c>
      <c r="E38" s="8" t="s">
        <v>47</v>
      </c>
      <c r="F38" s="6">
        <f>16.9/100</f>
        <v>0.16899999999999998</v>
      </c>
      <c r="G38" s="6">
        <f t="shared" si="11"/>
        <v>0.55833459499999982</v>
      </c>
      <c r="H38" s="6" t="s">
        <v>11</v>
      </c>
      <c r="I38" s="6">
        <f>0/100</f>
        <v>0</v>
      </c>
      <c r="J38" s="6">
        <f>I38*G38</f>
        <v>0</v>
      </c>
      <c r="K38" s="2" t="s">
        <v>32</v>
      </c>
      <c r="L38" s="2">
        <f>0/100</f>
        <v>0</v>
      </c>
      <c r="M38" s="2">
        <f>L38*G38</f>
        <v>0</v>
      </c>
    </row>
    <row r="39" spans="1:13" x14ac:dyDescent="0.25">
      <c r="A39" s="4">
        <v>24.114999999999998</v>
      </c>
      <c r="B39" s="4" t="s">
        <v>2</v>
      </c>
      <c r="C39" s="5">
        <f t="shared" si="0"/>
        <v>0.13699999999999998</v>
      </c>
      <c r="D39" s="6">
        <f t="shared" si="4"/>
        <v>3.3037549999999993</v>
      </c>
      <c r="E39" s="8" t="s">
        <v>17</v>
      </c>
      <c r="F39" s="6">
        <f t="shared" ref="F39:F45" si="17">16.9/100</f>
        <v>0.16899999999999998</v>
      </c>
      <c r="G39" s="6">
        <f t="shared" si="11"/>
        <v>0.55833459499999982</v>
      </c>
      <c r="H39" s="6" t="s">
        <v>12</v>
      </c>
      <c r="I39" s="6">
        <f>4.7/100</f>
        <v>4.7E-2</v>
      </c>
      <c r="J39" s="6">
        <f t="shared" ref="J39:J43" si="18">I39*G39</f>
        <v>2.624172596499999E-2</v>
      </c>
      <c r="K39" s="2" t="s">
        <v>33</v>
      </c>
      <c r="L39" s="2">
        <f>5.2/100</f>
        <v>5.2000000000000005E-2</v>
      </c>
      <c r="M39" s="2">
        <f t="shared" ref="M39:M45" si="19">L39*G39</f>
        <v>2.9033398939999993E-2</v>
      </c>
    </row>
    <row r="40" spans="1:13" x14ac:dyDescent="0.25">
      <c r="A40" s="4">
        <v>24.114999999999998</v>
      </c>
      <c r="B40" s="4" t="s">
        <v>2</v>
      </c>
      <c r="C40" s="5">
        <f t="shared" si="0"/>
        <v>0.13699999999999998</v>
      </c>
      <c r="D40" s="6">
        <f t="shared" si="4"/>
        <v>3.3037549999999993</v>
      </c>
      <c r="E40" s="8" t="s">
        <v>17</v>
      </c>
      <c r="F40" s="6">
        <f t="shared" si="17"/>
        <v>0.16899999999999998</v>
      </c>
      <c r="G40" s="6">
        <f t="shared" si="11"/>
        <v>0.55833459499999982</v>
      </c>
      <c r="H40" s="6" t="s">
        <v>7</v>
      </c>
      <c r="I40" s="6">
        <f>2.5/100</f>
        <v>2.5000000000000001E-2</v>
      </c>
      <c r="J40" s="6">
        <f t="shared" si="18"/>
        <v>1.3958364874999997E-2</v>
      </c>
      <c r="K40" s="2" t="s">
        <v>34</v>
      </c>
      <c r="L40" s="2">
        <f>12.4/100</f>
        <v>0.124</v>
      </c>
      <c r="M40" s="2">
        <f t="shared" si="19"/>
        <v>6.9233489779999977E-2</v>
      </c>
    </row>
    <row r="41" spans="1:13" x14ac:dyDescent="0.25">
      <c r="A41" s="4">
        <v>24.114999999999998</v>
      </c>
      <c r="B41" s="4" t="s">
        <v>2</v>
      </c>
      <c r="C41" s="5">
        <f t="shared" si="0"/>
        <v>0.13699999999999998</v>
      </c>
      <c r="D41" s="6">
        <f t="shared" si="4"/>
        <v>3.3037549999999993</v>
      </c>
      <c r="E41" s="8" t="s">
        <v>17</v>
      </c>
      <c r="F41" s="6">
        <f t="shared" si="17"/>
        <v>0.16899999999999998</v>
      </c>
      <c r="G41" s="6">
        <f t="shared" si="11"/>
        <v>0.55833459499999982</v>
      </c>
      <c r="H41" s="6" t="s">
        <v>8</v>
      </c>
      <c r="I41" s="6">
        <f>51.9/100</f>
        <v>0.51900000000000002</v>
      </c>
      <c r="J41" s="6">
        <f t="shared" si="18"/>
        <v>0.28977565480499989</v>
      </c>
      <c r="K41" s="2" t="s">
        <v>35</v>
      </c>
      <c r="L41" s="2">
        <f>40.4/100</f>
        <v>0.40399999999999997</v>
      </c>
      <c r="M41" s="2">
        <f t="shared" si="19"/>
        <v>0.2255671763799999</v>
      </c>
    </row>
    <row r="42" spans="1:13" x14ac:dyDescent="0.25">
      <c r="A42" s="4">
        <v>24.114999999999998</v>
      </c>
      <c r="B42" s="4" t="s">
        <v>2</v>
      </c>
      <c r="C42" s="5">
        <f t="shared" si="0"/>
        <v>0.13699999999999998</v>
      </c>
      <c r="D42" s="6">
        <f t="shared" si="4"/>
        <v>3.3037549999999993</v>
      </c>
      <c r="E42" s="8" t="s">
        <v>17</v>
      </c>
      <c r="F42" s="6">
        <f t="shared" si="17"/>
        <v>0.16899999999999998</v>
      </c>
      <c r="G42" s="6">
        <f t="shared" si="11"/>
        <v>0.55833459499999982</v>
      </c>
      <c r="H42" s="6" t="s">
        <v>10</v>
      </c>
      <c r="I42" s="6">
        <f>17.9/100</f>
        <v>0.17899999999999999</v>
      </c>
      <c r="J42" s="6">
        <f t="shared" si="18"/>
        <v>9.9941892504999963E-2</v>
      </c>
      <c r="K42" s="2" t="s">
        <v>36</v>
      </c>
      <c r="L42" s="2">
        <f>22.1/100</f>
        <v>0.221</v>
      </c>
      <c r="M42" s="2">
        <f t="shared" si="19"/>
        <v>0.12339194549499996</v>
      </c>
    </row>
    <row r="43" spans="1:13" x14ac:dyDescent="0.25">
      <c r="A43" s="4">
        <v>24.114999999999998</v>
      </c>
      <c r="B43" s="4" t="s">
        <v>2</v>
      </c>
      <c r="C43" s="5">
        <f t="shared" si="0"/>
        <v>0.13699999999999998</v>
      </c>
      <c r="D43" s="6">
        <f t="shared" si="4"/>
        <v>3.3037549999999993</v>
      </c>
      <c r="E43" s="8" t="s">
        <v>17</v>
      </c>
      <c r="F43" s="6">
        <f t="shared" si="17"/>
        <v>0.16899999999999998</v>
      </c>
      <c r="G43" s="6">
        <f t="shared" si="11"/>
        <v>0.55833459499999982</v>
      </c>
      <c r="H43" s="6" t="s">
        <v>9</v>
      </c>
      <c r="I43" s="6">
        <f>23/100</f>
        <v>0.23</v>
      </c>
      <c r="J43" s="6">
        <f t="shared" si="18"/>
        <v>0.12841695684999996</v>
      </c>
      <c r="K43" s="2" t="s">
        <v>37</v>
      </c>
      <c r="L43" s="2">
        <f>17/100</f>
        <v>0.17</v>
      </c>
      <c r="M43" s="2">
        <f t="shared" si="19"/>
        <v>9.4916881149999979E-2</v>
      </c>
    </row>
    <row r="44" spans="1:13" x14ac:dyDescent="0.25">
      <c r="A44" s="4">
        <v>24.114999999999998</v>
      </c>
      <c r="B44" s="4" t="s">
        <v>2</v>
      </c>
      <c r="C44" s="5">
        <f t="shared" si="0"/>
        <v>0.13699999999999998</v>
      </c>
      <c r="D44" s="6">
        <f t="shared" si="4"/>
        <v>3.3037549999999993</v>
      </c>
      <c r="E44" s="8" t="s">
        <v>17</v>
      </c>
      <c r="F44" s="6">
        <f t="shared" si="17"/>
        <v>0.16899999999999998</v>
      </c>
      <c r="G44" s="6">
        <f t="shared" si="11"/>
        <v>0.55833459499999982</v>
      </c>
      <c r="H44" s="6" t="s">
        <v>55</v>
      </c>
      <c r="I44" s="6">
        <f>0/100</f>
        <v>0</v>
      </c>
      <c r="J44" s="6">
        <f>I44*G44</f>
        <v>0</v>
      </c>
      <c r="K44" s="2" t="s">
        <v>38</v>
      </c>
      <c r="L44" s="2">
        <f>0/100</f>
        <v>0</v>
      </c>
      <c r="M44" s="2">
        <f t="shared" si="19"/>
        <v>0</v>
      </c>
    </row>
    <row r="45" spans="1:13" x14ac:dyDescent="0.25">
      <c r="A45" s="4">
        <v>24.114999999999998</v>
      </c>
      <c r="B45" s="4" t="s">
        <v>2</v>
      </c>
      <c r="C45" s="5">
        <f t="shared" si="0"/>
        <v>0.13699999999999998</v>
      </c>
      <c r="D45" s="6">
        <f t="shared" si="4"/>
        <v>3.3037549999999993</v>
      </c>
      <c r="E45" s="8" t="s">
        <v>17</v>
      </c>
      <c r="F45" s="6">
        <f t="shared" si="17"/>
        <v>0.16899999999999998</v>
      </c>
      <c r="G45" s="6">
        <f t="shared" si="11"/>
        <v>0.55833459499999982</v>
      </c>
      <c r="H45" s="6"/>
      <c r="I45" s="6"/>
      <c r="J45" s="6"/>
      <c r="K45" s="2" t="s">
        <v>39</v>
      </c>
      <c r="L45" s="2">
        <f>2.8/100</f>
        <v>2.7999999999999997E-2</v>
      </c>
      <c r="M45" s="2">
        <f t="shared" si="19"/>
        <v>1.5633368659999994E-2</v>
      </c>
    </row>
    <row r="46" spans="1:13" x14ac:dyDescent="0.25">
      <c r="A46" s="4">
        <v>24.114999999999998</v>
      </c>
      <c r="B46" s="4" t="s">
        <v>2</v>
      </c>
      <c r="C46" s="5">
        <f t="shared" si="0"/>
        <v>0.13699999999999998</v>
      </c>
      <c r="D46" s="6">
        <f t="shared" si="4"/>
        <v>3.3037549999999993</v>
      </c>
      <c r="E46" s="2" t="s">
        <v>18</v>
      </c>
      <c r="F46" s="6">
        <f>7.4/100</f>
        <v>7.400000000000001E-2</v>
      </c>
      <c r="G46" s="6">
        <f t="shared" si="11"/>
        <v>0.24447786999999999</v>
      </c>
      <c r="H46" s="6" t="s">
        <v>11</v>
      </c>
      <c r="I46" s="8">
        <f>34.8/100</f>
        <v>0.34799999999999998</v>
      </c>
      <c r="J46" s="6">
        <f>I46*G46</f>
        <v>8.507829875999999E-2</v>
      </c>
      <c r="K46" s="2" t="s">
        <v>32</v>
      </c>
      <c r="L46" s="2">
        <f>1.5/100</f>
        <v>1.4999999999999999E-2</v>
      </c>
      <c r="M46" s="2">
        <f>L46*G46</f>
        <v>3.6671680499999995E-3</v>
      </c>
    </row>
    <row r="47" spans="1:13" x14ac:dyDescent="0.25">
      <c r="A47" s="4">
        <v>24.114999999999998</v>
      </c>
      <c r="B47" s="4" t="s">
        <v>2</v>
      </c>
      <c r="C47" s="5">
        <f t="shared" si="0"/>
        <v>0.13699999999999998</v>
      </c>
      <c r="D47" s="6">
        <f t="shared" si="4"/>
        <v>3.3037549999999993</v>
      </c>
      <c r="E47" s="2" t="s">
        <v>18</v>
      </c>
      <c r="F47" s="6">
        <f t="shared" ref="F47:F53" si="20">7.4/100</f>
        <v>7.400000000000001E-2</v>
      </c>
      <c r="G47" s="6">
        <f t="shared" si="11"/>
        <v>0.24447786999999999</v>
      </c>
      <c r="H47" s="6" t="s">
        <v>12</v>
      </c>
      <c r="I47" s="8">
        <f>2.4/100</f>
        <v>2.4E-2</v>
      </c>
      <c r="J47" s="6">
        <f t="shared" ref="J47:J52" si="21">I47*G47</f>
        <v>5.8674688799999998E-3</v>
      </c>
      <c r="K47" s="2" t="s">
        <v>33</v>
      </c>
      <c r="L47" s="2">
        <f>11.2/100</f>
        <v>0.11199999999999999</v>
      </c>
      <c r="M47" s="2">
        <f t="shared" ref="M47:M53" si="22">L47*G47</f>
        <v>2.7381521439999997E-2</v>
      </c>
    </row>
    <row r="48" spans="1:13" x14ac:dyDescent="0.25">
      <c r="A48" s="4">
        <v>24.114999999999998</v>
      </c>
      <c r="B48" s="4" t="s">
        <v>2</v>
      </c>
      <c r="C48" s="5">
        <f t="shared" si="0"/>
        <v>0.13699999999999998</v>
      </c>
      <c r="D48" s="6">
        <f t="shared" si="4"/>
        <v>3.3037549999999993</v>
      </c>
      <c r="E48" s="2" t="s">
        <v>18</v>
      </c>
      <c r="F48" s="6">
        <f t="shared" si="20"/>
        <v>7.400000000000001E-2</v>
      </c>
      <c r="G48" s="6">
        <f t="shared" si="11"/>
        <v>0.24447786999999999</v>
      </c>
      <c r="H48" s="6" t="s">
        <v>7</v>
      </c>
      <c r="I48" s="8">
        <f>2.7/100</f>
        <v>2.7000000000000003E-2</v>
      </c>
      <c r="J48" s="6">
        <f t="shared" si="21"/>
        <v>6.6009024900000003E-3</v>
      </c>
      <c r="K48" s="2" t="s">
        <v>34</v>
      </c>
      <c r="L48" s="2">
        <f>10.4/100</f>
        <v>0.10400000000000001</v>
      </c>
      <c r="M48" s="2">
        <f t="shared" si="22"/>
        <v>2.5425698480000002E-2</v>
      </c>
    </row>
    <row r="49" spans="1:13" x14ac:dyDescent="0.25">
      <c r="A49" s="4">
        <v>24.114999999999998</v>
      </c>
      <c r="B49" s="4" t="s">
        <v>2</v>
      </c>
      <c r="C49" s="5">
        <f t="shared" si="0"/>
        <v>0.13699999999999998</v>
      </c>
      <c r="D49" s="6">
        <f t="shared" si="4"/>
        <v>3.3037549999999993</v>
      </c>
      <c r="E49" s="2" t="s">
        <v>18</v>
      </c>
      <c r="F49" s="6">
        <f t="shared" si="20"/>
        <v>7.400000000000001E-2</v>
      </c>
      <c r="G49" s="6">
        <f t="shared" si="11"/>
        <v>0.24447786999999999</v>
      </c>
      <c r="H49" s="6" t="s">
        <v>8</v>
      </c>
      <c r="I49" s="8">
        <f>25.5/100</f>
        <v>0.255</v>
      </c>
      <c r="J49" s="6">
        <f>I52*G49</f>
        <v>0</v>
      </c>
      <c r="K49" s="2" t="s">
        <v>35</v>
      </c>
      <c r="L49" s="2">
        <f>34.7/100</f>
        <v>0.34700000000000003</v>
      </c>
      <c r="M49" s="2">
        <f t="shared" si="22"/>
        <v>8.4833820890000008E-2</v>
      </c>
    </row>
    <row r="50" spans="1:13" x14ac:dyDescent="0.25">
      <c r="A50" s="4">
        <v>24.114999999999998</v>
      </c>
      <c r="B50" s="4" t="s">
        <v>2</v>
      </c>
      <c r="C50" s="5">
        <f t="shared" si="0"/>
        <v>0.13699999999999998</v>
      </c>
      <c r="D50" s="6">
        <f t="shared" si="4"/>
        <v>3.3037549999999993</v>
      </c>
      <c r="E50" s="2" t="s">
        <v>18</v>
      </c>
      <c r="F50" s="6">
        <f t="shared" si="20"/>
        <v>7.400000000000001E-2</v>
      </c>
      <c r="G50" s="6">
        <f t="shared" si="11"/>
        <v>0.24447786999999999</v>
      </c>
      <c r="H50" s="6" t="s">
        <v>10</v>
      </c>
      <c r="I50" s="8">
        <f>8.2/100</f>
        <v>8.199999999999999E-2</v>
      </c>
      <c r="J50" s="6">
        <f>I49*G50</f>
        <v>6.2341856849999995E-2</v>
      </c>
      <c r="K50" s="2" t="s">
        <v>36</v>
      </c>
      <c r="L50" s="2">
        <f>24/100</f>
        <v>0.24</v>
      </c>
      <c r="M50" s="2">
        <f t="shared" si="22"/>
        <v>5.8674688799999992E-2</v>
      </c>
    </row>
    <row r="51" spans="1:13" x14ac:dyDescent="0.25">
      <c r="A51" s="4">
        <v>24.114999999999998</v>
      </c>
      <c r="B51" s="4" t="s">
        <v>2</v>
      </c>
      <c r="C51" s="5">
        <f t="shared" si="0"/>
        <v>0.13699999999999998</v>
      </c>
      <c r="D51" s="6">
        <f t="shared" si="4"/>
        <v>3.3037549999999993</v>
      </c>
      <c r="E51" s="2" t="s">
        <v>48</v>
      </c>
      <c r="F51" s="6">
        <f t="shared" si="20"/>
        <v>7.400000000000001E-2</v>
      </c>
      <c r="G51" s="6">
        <f t="shared" si="11"/>
        <v>0.24447786999999999</v>
      </c>
      <c r="H51" s="6" t="s">
        <v>9</v>
      </c>
      <c r="I51" s="8">
        <f>26.4/100</f>
        <v>0.26400000000000001</v>
      </c>
      <c r="J51" s="6">
        <f t="shared" si="21"/>
        <v>6.4542157680000004E-2</v>
      </c>
      <c r="K51" s="2" t="s">
        <v>37</v>
      </c>
      <c r="L51" s="2">
        <f>14.6/100</f>
        <v>0.14599999999999999</v>
      </c>
      <c r="M51" s="2">
        <f t="shared" si="22"/>
        <v>3.5693769019999995E-2</v>
      </c>
    </row>
    <row r="52" spans="1:13" x14ac:dyDescent="0.25">
      <c r="A52" s="4">
        <v>24.114999999999998</v>
      </c>
      <c r="B52" s="4" t="s">
        <v>2</v>
      </c>
      <c r="C52" s="5">
        <f t="shared" si="0"/>
        <v>0.13699999999999998</v>
      </c>
      <c r="D52" s="6">
        <f t="shared" si="4"/>
        <v>3.3037549999999993</v>
      </c>
      <c r="E52" s="2" t="s">
        <v>18</v>
      </c>
      <c r="F52" s="6">
        <f t="shared" si="20"/>
        <v>7.400000000000001E-2</v>
      </c>
      <c r="G52" s="6">
        <f t="shared" si="11"/>
        <v>0.24447786999999999</v>
      </c>
      <c r="H52" s="6" t="s">
        <v>55</v>
      </c>
      <c r="I52" s="8">
        <f>0/100</f>
        <v>0</v>
      </c>
      <c r="J52" s="6">
        <f t="shared" si="21"/>
        <v>0</v>
      </c>
      <c r="K52" s="2" t="s">
        <v>38</v>
      </c>
      <c r="L52" s="2">
        <f>2.2/100</f>
        <v>2.2000000000000002E-2</v>
      </c>
      <c r="M52" s="2">
        <f t="shared" si="22"/>
        <v>5.37851314E-3</v>
      </c>
    </row>
    <row r="53" spans="1:13" x14ac:dyDescent="0.25">
      <c r="A53" s="4">
        <v>24.114999999999998</v>
      </c>
      <c r="B53" s="4" t="s">
        <v>2</v>
      </c>
      <c r="C53" s="5">
        <f t="shared" si="0"/>
        <v>0.13699999999999998</v>
      </c>
      <c r="D53" s="6">
        <f t="shared" si="4"/>
        <v>3.3037549999999993</v>
      </c>
      <c r="E53" s="2" t="s">
        <v>18</v>
      </c>
      <c r="F53" s="6">
        <f t="shared" si="20"/>
        <v>7.400000000000001E-2</v>
      </c>
      <c r="G53" s="6">
        <f t="shared" si="11"/>
        <v>0.24447786999999999</v>
      </c>
      <c r="H53" s="6"/>
      <c r="I53" s="6"/>
      <c r="J53" s="6"/>
      <c r="K53" s="2" t="s">
        <v>39</v>
      </c>
      <c r="L53" s="2">
        <f>1.3/100</f>
        <v>1.3000000000000001E-2</v>
      </c>
      <c r="M53" s="2">
        <f t="shared" si="22"/>
        <v>3.1782123100000002E-3</v>
      </c>
    </row>
    <row r="54" spans="1:13" x14ac:dyDescent="0.25">
      <c r="A54" s="4">
        <v>24.114999999999998</v>
      </c>
      <c r="B54" s="2" t="s">
        <v>19</v>
      </c>
      <c r="C54" s="6">
        <f>86.3/100</f>
        <v>0.86299999999999999</v>
      </c>
      <c r="D54" s="6">
        <f t="shared" si="4"/>
        <v>20.811245</v>
      </c>
      <c r="E54" s="6" t="s">
        <v>54</v>
      </c>
      <c r="F54" s="6">
        <f>83.8/100</f>
        <v>0.83799999999999997</v>
      </c>
      <c r="G54" s="6">
        <f t="shared" si="11"/>
        <v>17.439823309999998</v>
      </c>
      <c r="H54" s="6" t="s">
        <v>11</v>
      </c>
      <c r="I54" s="6">
        <f>11.1/100</f>
        <v>0.111</v>
      </c>
      <c r="J54" s="6">
        <f>I54*G54</f>
        <v>1.9358203874099997</v>
      </c>
      <c r="K54" s="2" t="s">
        <v>32</v>
      </c>
      <c r="L54" s="2">
        <f>3.1/100</f>
        <v>3.1E-2</v>
      </c>
      <c r="M54" s="2">
        <f>L54*G54</f>
        <v>0.54063452260999989</v>
      </c>
    </row>
    <row r="55" spans="1:13" x14ac:dyDescent="0.25">
      <c r="A55" s="4">
        <v>24.114999999999998</v>
      </c>
      <c r="B55" s="2" t="s">
        <v>19</v>
      </c>
      <c r="C55" s="6">
        <f t="shared" ref="C55:C101" si="23">86.3/100</f>
        <v>0.86299999999999999</v>
      </c>
      <c r="D55" s="6">
        <f t="shared" si="4"/>
        <v>20.811245</v>
      </c>
      <c r="E55" s="6" t="s">
        <v>14</v>
      </c>
      <c r="F55" s="6">
        <f t="shared" ref="F55:F60" si="24">83.8/100</f>
        <v>0.83799999999999997</v>
      </c>
      <c r="G55" s="6">
        <f t="shared" si="11"/>
        <v>17.439823309999998</v>
      </c>
      <c r="H55" s="6" t="s">
        <v>12</v>
      </c>
      <c r="I55" s="6">
        <f>7.2/100</f>
        <v>7.2000000000000008E-2</v>
      </c>
      <c r="J55" s="6">
        <f t="shared" ref="J55:J58" si="25">I55*G55</f>
        <v>1.25566727832</v>
      </c>
      <c r="K55" s="2" t="s">
        <v>33</v>
      </c>
      <c r="L55" s="2">
        <f>10.5/100</f>
        <v>0.105</v>
      </c>
      <c r="M55" s="2">
        <f t="shared" ref="M55:M61" si="26">L55*G55</f>
        <v>1.8311814475499997</v>
      </c>
    </row>
    <row r="56" spans="1:13" x14ac:dyDescent="0.25">
      <c r="A56" s="4">
        <v>24.114999999999998</v>
      </c>
      <c r="B56" s="2" t="s">
        <v>19</v>
      </c>
      <c r="C56" s="6">
        <f t="shared" si="23"/>
        <v>0.86299999999999999</v>
      </c>
      <c r="D56" s="6">
        <f t="shared" si="4"/>
        <v>20.811245</v>
      </c>
      <c r="E56" s="6" t="s">
        <v>14</v>
      </c>
      <c r="F56" s="6">
        <f t="shared" si="24"/>
        <v>0.83799999999999997</v>
      </c>
      <c r="G56" s="6">
        <f t="shared" si="11"/>
        <v>17.439823309999998</v>
      </c>
      <c r="H56" s="6" t="s">
        <v>7</v>
      </c>
      <c r="I56" s="14">
        <f>15.8/100</f>
        <v>0.158</v>
      </c>
      <c r="J56" s="6">
        <f t="shared" si="25"/>
        <v>2.7554920829799996</v>
      </c>
      <c r="K56" s="2" t="s">
        <v>34</v>
      </c>
      <c r="L56" s="2">
        <f>17.3/100</f>
        <v>0.17300000000000001</v>
      </c>
      <c r="M56" s="2">
        <f t="shared" si="26"/>
        <v>3.0170894326299997</v>
      </c>
    </row>
    <row r="57" spans="1:13" x14ac:dyDescent="0.25">
      <c r="A57" s="4">
        <v>24.114999999999998</v>
      </c>
      <c r="B57" s="2" t="s">
        <v>19</v>
      </c>
      <c r="C57" s="6">
        <f t="shared" si="23"/>
        <v>0.86299999999999999</v>
      </c>
      <c r="D57" s="6">
        <f t="shared" si="4"/>
        <v>20.811245</v>
      </c>
      <c r="E57" s="6" t="s">
        <v>14</v>
      </c>
      <c r="F57" s="6">
        <f t="shared" si="24"/>
        <v>0.83799999999999997</v>
      </c>
      <c r="G57" s="6">
        <f t="shared" si="11"/>
        <v>17.439823309999998</v>
      </c>
      <c r="H57" s="6" t="s">
        <v>8</v>
      </c>
      <c r="I57" s="6">
        <f>35.3/100</f>
        <v>0.35299999999999998</v>
      </c>
      <c r="J57" s="6">
        <f t="shared" si="25"/>
        <v>6.1562576284299988</v>
      </c>
      <c r="K57" s="2" t="s">
        <v>35</v>
      </c>
      <c r="L57" s="2">
        <f>27.3/100</f>
        <v>0.27300000000000002</v>
      </c>
      <c r="M57" s="2">
        <f t="shared" si="26"/>
        <v>4.7610717636299995</v>
      </c>
    </row>
    <row r="58" spans="1:13" x14ac:dyDescent="0.25">
      <c r="A58" s="4">
        <v>24.114999999999998</v>
      </c>
      <c r="B58" s="2" t="s">
        <v>19</v>
      </c>
      <c r="C58" s="6">
        <f t="shared" si="23"/>
        <v>0.86299999999999999</v>
      </c>
      <c r="D58" s="6">
        <f t="shared" si="4"/>
        <v>20.811245</v>
      </c>
      <c r="E58" s="6" t="s">
        <v>14</v>
      </c>
      <c r="F58" s="6">
        <f t="shared" si="24"/>
        <v>0.83799999999999997</v>
      </c>
      <c r="G58" s="6">
        <f t="shared" si="11"/>
        <v>17.439823309999998</v>
      </c>
      <c r="H58" s="6" t="s">
        <v>10</v>
      </c>
      <c r="I58" s="6">
        <f>4.1/100</f>
        <v>4.0999999999999995E-2</v>
      </c>
      <c r="J58" s="6">
        <f t="shared" si="25"/>
        <v>0.7150327557099998</v>
      </c>
      <c r="K58" s="2" t="s">
        <v>36</v>
      </c>
      <c r="L58" s="2">
        <f>23/100</f>
        <v>0.23</v>
      </c>
      <c r="M58" s="2">
        <f t="shared" si="26"/>
        <v>4.0111593612999998</v>
      </c>
    </row>
    <row r="59" spans="1:13" x14ac:dyDescent="0.25">
      <c r="A59" s="4">
        <v>24.114999999999998</v>
      </c>
      <c r="B59" s="2" t="s">
        <v>19</v>
      </c>
      <c r="C59" s="6">
        <f t="shared" si="23"/>
        <v>0.86299999999999999</v>
      </c>
      <c r="D59" s="6">
        <f t="shared" si="4"/>
        <v>20.811245</v>
      </c>
      <c r="E59" s="6" t="s">
        <v>14</v>
      </c>
      <c r="F59" s="6">
        <f t="shared" si="24"/>
        <v>0.83799999999999997</v>
      </c>
      <c r="G59" s="6">
        <f t="shared" si="11"/>
        <v>17.439823309999998</v>
      </c>
      <c r="H59" s="6" t="s">
        <v>9</v>
      </c>
      <c r="I59" s="6">
        <f>24.2/100</f>
        <v>0.24199999999999999</v>
      </c>
      <c r="J59" s="6">
        <f>I60*G59</f>
        <v>0.40111593612999996</v>
      </c>
      <c r="K59" s="2" t="s">
        <v>37</v>
      </c>
      <c r="L59" s="2">
        <f>15.6/100</f>
        <v>0.156</v>
      </c>
      <c r="M59" s="2">
        <f t="shared" si="26"/>
        <v>2.7206124363599997</v>
      </c>
    </row>
    <row r="60" spans="1:13" x14ac:dyDescent="0.25">
      <c r="A60" s="4">
        <v>24.114999999999998</v>
      </c>
      <c r="B60" s="2" t="s">
        <v>19</v>
      </c>
      <c r="C60" s="6">
        <f t="shared" si="23"/>
        <v>0.86299999999999999</v>
      </c>
      <c r="D60" s="6">
        <f t="shared" si="4"/>
        <v>20.811245</v>
      </c>
      <c r="E60" s="6" t="s">
        <v>14</v>
      </c>
      <c r="F60" s="6">
        <f t="shared" si="24"/>
        <v>0.83799999999999997</v>
      </c>
      <c r="G60" s="6">
        <f t="shared" si="11"/>
        <v>17.439823309999998</v>
      </c>
      <c r="H60" s="6" t="s">
        <v>55</v>
      </c>
      <c r="I60" s="6">
        <f>2.3/100</f>
        <v>2.3E-2</v>
      </c>
      <c r="J60" s="6">
        <f t="shared" ref="J60" si="27">I60*G60</f>
        <v>0.40111593612999996</v>
      </c>
      <c r="K60" s="2" t="s">
        <v>38</v>
      </c>
      <c r="L60" s="2">
        <f>2.2/100</f>
        <v>2.2000000000000002E-2</v>
      </c>
      <c r="M60" s="2">
        <f t="shared" si="26"/>
        <v>0.38367611281999997</v>
      </c>
    </row>
    <row r="61" spans="1:13" x14ac:dyDescent="0.25">
      <c r="A61" s="4">
        <v>24.114999999999998</v>
      </c>
      <c r="B61" s="2" t="s">
        <v>19</v>
      </c>
      <c r="C61" s="6">
        <f t="shared" si="23"/>
        <v>0.86299999999999999</v>
      </c>
      <c r="D61" s="6">
        <f t="shared" si="4"/>
        <v>20.811245</v>
      </c>
      <c r="E61" s="6" t="s">
        <v>14</v>
      </c>
      <c r="F61" s="6">
        <f>83.8/100</f>
        <v>0.83799999999999997</v>
      </c>
      <c r="G61" s="6">
        <f t="shared" si="11"/>
        <v>17.439823309999998</v>
      </c>
      <c r="H61" s="6"/>
      <c r="I61" s="6"/>
      <c r="J61" s="6"/>
      <c r="K61" s="2" t="s">
        <v>39</v>
      </c>
      <c r="L61" s="2">
        <f>0.9/100</f>
        <v>9.0000000000000011E-3</v>
      </c>
      <c r="M61" s="2">
        <f t="shared" si="26"/>
        <v>0.15695840979</v>
      </c>
    </row>
    <row r="62" spans="1:13" x14ac:dyDescent="0.25">
      <c r="A62" s="4">
        <v>24.114999999999998</v>
      </c>
      <c r="B62" s="2" t="s">
        <v>19</v>
      </c>
      <c r="C62" s="6">
        <f t="shared" si="23"/>
        <v>0.86299999999999999</v>
      </c>
      <c r="D62" s="6">
        <f t="shared" si="4"/>
        <v>20.811245</v>
      </c>
      <c r="E62" s="6" t="s">
        <v>52</v>
      </c>
      <c r="F62" s="6">
        <f>77.6/100</f>
        <v>0.77599999999999991</v>
      </c>
      <c r="G62" s="6">
        <f t="shared" si="11"/>
        <v>16.149526119999997</v>
      </c>
      <c r="H62" s="6" t="s">
        <v>11</v>
      </c>
      <c r="I62" s="6">
        <f>14.9/100</f>
        <v>0.14899999999999999</v>
      </c>
      <c r="J62" s="6">
        <f>I62*G62</f>
        <v>2.4062793918799996</v>
      </c>
      <c r="K62" s="2" t="s">
        <v>32</v>
      </c>
      <c r="L62" s="2">
        <f>1.1/100</f>
        <v>1.1000000000000001E-2</v>
      </c>
      <c r="M62" s="2">
        <f>L62*G62</f>
        <v>0.17764478732</v>
      </c>
    </row>
    <row r="63" spans="1:13" x14ac:dyDescent="0.25">
      <c r="A63" s="4">
        <v>24.114999999999998</v>
      </c>
      <c r="B63" s="2" t="s">
        <v>19</v>
      </c>
      <c r="C63" s="6">
        <f t="shared" si="23"/>
        <v>0.86299999999999999</v>
      </c>
      <c r="D63" s="6">
        <f t="shared" si="4"/>
        <v>20.811245</v>
      </c>
      <c r="E63" s="6" t="s">
        <v>15</v>
      </c>
      <c r="F63" s="6">
        <f t="shared" ref="F63:F69" si="28">77.6/100</f>
        <v>0.77599999999999991</v>
      </c>
      <c r="G63" s="6">
        <f t="shared" si="11"/>
        <v>16.149526119999997</v>
      </c>
      <c r="H63" s="6" t="s">
        <v>12</v>
      </c>
      <c r="I63" s="6">
        <f>3.9/100</f>
        <v>3.9E-2</v>
      </c>
      <c r="J63" s="6">
        <f t="shared" ref="J63:J68" si="29">I63*G63</f>
        <v>0.62983151867999987</v>
      </c>
      <c r="K63" s="2" t="s">
        <v>33</v>
      </c>
      <c r="L63" s="2">
        <f>6.1/100</f>
        <v>6.0999999999999999E-2</v>
      </c>
      <c r="M63" s="2">
        <f t="shared" ref="M63:M69" si="30">L63*G63</f>
        <v>0.98512109331999986</v>
      </c>
    </row>
    <row r="64" spans="1:13" x14ac:dyDescent="0.25">
      <c r="A64" s="4">
        <v>24.114999999999998</v>
      </c>
      <c r="B64" s="2" t="s">
        <v>19</v>
      </c>
      <c r="C64" s="6">
        <f t="shared" si="23"/>
        <v>0.86299999999999999</v>
      </c>
      <c r="D64" s="6">
        <f t="shared" si="4"/>
        <v>20.811245</v>
      </c>
      <c r="E64" s="6" t="s">
        <v>15</v>
      </c>
      <c r="F64" s="6">
        <f t="shared" si="28"/>
        <v>0.77599999999999991</v>
      </c>
      <c r="G64" s="6">
        <f t="shared" si="11"/>
        <v>16.149526119999997</v>
      </c>
      <c r="H64" s="6" t="s">
        <v>7</v>
      </c>
      <c r="I64" s="6">
        <f>15.8/100</f>
        <v>0.158</v>
      </c>
      <c r="J64" s="6">
        <f t="shared" si="29"/>
        <v>2.5516251269599994</v>
      </c>
      <c r="K64" s="2" t="s">
        <v>34</v>
      </c>
      <c r="L64" s="2">
        <f>20.5/100</f>
        <v>0.20499999999999999</v>
      </c>
      <c r="M64" s="2">
        <f t="shared" si="30"/>
        <v>3.3106528545999994</v>
      </c>
    </row>
    <row r="65" spans="1:13" x14ac:dyDescent="0.25">
      <c r="A65" s="4">
        <v>24.114999999999998</v>
      </c>
      <c r="B65" s="2" t="s">
        <v>19</v>
      </c>
      <c r="C65" s="6">
        <f t="shared" si="23"/>
        <v>0.86299999999999999</v>
      </c>
      <c r="D65" s="6">
        <f t="shared" si="4"/>
        <v>20.811245</v>
      </c>
      <c r="E65" s="6" t="s">
        <v>15</v>
      </c>
      <c r="F65" s="6">
        <f t="shared" si="28"/>
        <v>0.77599999999999991</v>
      </c>
      <c r="G65" s="6">
        <f t="shared" si="11"/>
        <v>16.149526119999997</v>
      </c>
      <c r="H65" s="6" t="s">
        <v>8</v>
      </c>
      <c r="I65" s="6">
        <f>32.5/100</f>
        <v>0.32500000000000001</v>
      </c>
      <c r="J65" s="6">
        <f t="shared" si="29"/>
        <v>5.2485959889999991</v>
      </c>
      <c r="K65" s="2" t="s">
        <v>35</v>
      </c>
      <c r="L65" s="2">
        <f>27.4/100</f>
        <v>0.27399999999999997</v>
      </c>
      <c r="M65" s="2">
        <f t="shared" si="30"/>
        <v>4.4249701568799988</v>
      </c>
    </row>
    <row r="66" spans="1:13" x14ac:dyDescent="0.25">
      <c r="A66" s="4">
        <v>24.114999999999998</v>
      </c>
      <c r="B66" s="2" t="s">
        <v>19</v>
      </c>
      <c r="C66" s="6">
        <f t="shared" si="23"/>
        <v>0.86299999999999999</v>
      </c>
      <c r="D66" s="6">
        <f t="shared" si="4"/>
        <v>20.811245</v>
      </c>
      <c r="E66" s="6" t="s">
        <v>15</v>
      </c>
      <c r="F66" s="6">
        <f t="shared" si="28"/>
        <v>0.77599999999999991</v>
      </c>
      <c r="G66" s="6">
        <f t="shared" si="11"/>
        <v>16.149526119999997</v>
      </c>
      <c r="H66" s="6" t="s">
        <v>10</v>
      </c>
      <c r="I66" s="6">
        <f>3.7/100</f>
        <v>3.7000000000000005E-2</v>
      </c>
      <c r="J66" s="6">
        <f t="shared" si="29"/>
        <v>0.59753246644000002</v>
      </c>
      <c r="K66" s="2" t="s">
        <v>36</v>
      </c>
      <c r="L66" s="2">
        <f>26.1/100</f>
        <v>0.26100000000000001</v>
      </c>
      <c r="M66" s="2">
        <f t="shared" si="30"/>
        <v>4.2150263173199995</v>
      </c>
    </row>
    <row r="67" spans="1:13" x14ac:dyDescent="0.25">
      <c r="A67" s="4">
        <v>24.114999999999998</v>
      </c>
      <c r="B67" s="2" t="s">
        <v>19</v>
      </c>
      <c r="C67" s="6">
        <f t="shared" si="23"/>
        <v>0.86299999999999999</v>
      </c>
      <c r="D67" s="6">
        <f t="shared" si="4"/>
        <v>20.811245</v>
      </c>
      <c r="E67" s="6" t="s">
        <v>15</v>
      </c>
      <c r="F67" s="6">
        <f t="shared" si="28"/>
        <v>0.77599999999999991</v>
      </c>
      <c r="G67" s="6">
        <f t="shared" si="11"/>
        <v>16.149526119999997</v>
      </c>
      <c r="H67" s="6" t="s">
        <v>9</v>
      </c>
      <c r="I67" s="6">
        <f>27.7/100</f>
        <v>0.27699999999999997</v>
      </c>
      <c r="J67" s="6">
        <f t="shared" si="29"/>
        <v>4.4734187352399983</v>
      </c>
      <c r="K67" s="2" t="s">
        <v>37</v>
      </c>
      <c r="L67" s="2">
        <f>17.6/100</f>
        <v>0.17600000000000002</v>
      </c>
      <c r="M67" s="2">
        <f t="shared" si="30"/>
        <v>2.84231659712</v>
      </c>
    </row>
    <row r="68" spans="1:13" x14ac:dyDescent="0.25">
      <c r="A68" s="4">
        <v>24.114999999999998</v>
      </c>
      <c r="B68" s="2" t="s">
        <v>19</v>
      </c>
      <c r="C68" s="6">
        <f t="shared" si="23"/>
        <v>0.86299999999999999</v>
      </c>
      <c r="D68" s="6">
        <f t="shared" si="4"/>
        <v>20.811245</v>
      </c>
      <c r="E68" s="6" t="s">
        <v>15</v>
      </c>
      <c r="F68" s="6">
        <f t="shared" si="28"/>
        <v>0.77599999999999991</v>
      </c>
      <c r="G68" s="6">
        <f t="shared" si="11"/>
        <v>16.149526119999997</v>
      </c>
      <c r="H68" s="6" t="s">
        <v>55</v>
      </c>
      <c r="I68" s="6">
        <f>1.5/100</f>
        <v>1.4999999999999999E-2</v>
      </c>
      <c r="J68" s="6">
        <f t="shared" si="29"/>
        <v>0.24224289179999994</v>
      </c>
      <c r="K68" s="2" t="s">
        <v>38</v>
      </c>
      <c r="L68" s="2">
        <f>1.2/100</f>
        <v>1.2E-2</v>
      </c>
      <c r="M68" s="2">
        <f t="shared" si="30"/>
        <v>0.19379431343999998</v>
      </c>
    </row>
    <row r="69" spans="1:13" x14ac:dyDescent="0.25">
      <c r="A69" s="4">
        <v>24.114999999999998</v>
      </c>
      <c r="B69" s="2" t="s">
        <v>19</v>
      </c>
      <c r="C69" s="6">
        <f t="shared" si="23"/>
        <v>0.86299999999999999</v>
      </c>
      <c r="D69" s="6">
        <f t="shared" si="4"/>
        <v>20.811245</v>
      </c>
      <c r="E69" s="6" t="s">
        <v>15</v>
      </c>
      <c r="F69" s="6">
        <f t="shared" si="28"/>
        <v>0.77599999999999991</v>
      </c>
      <c r="G69" s="6">
        <f t="shared" si="11"/>
        <v>16.149526119999997</v>
      </c>
      <c r="H69" s="6"/>
      <c r="I69" s="6"/>
      <c r="J69" s="6"/>
      <c r="K69" s="2" t="s">
        <v>39</v>
      </c>
      <c r="L69" s="2">
        <f>0/100</f>
        <v>0</v>
      </c>
      <c r="M69" s="2">
        <f t="shared" si="30"/>
        <v>0</v>
      </c>
    </row>
    <row r="70" spans="1:13" x14ac:dyDescent="0.25">
      <c r="A70" s="4">
        <v>24.114999999999998</v>
      </c>
      <c r="B70" s="2" t="s">
        <v>19</v>
      </c>
      <c r="C70" s="6">
        <f t="shared" si="23"/>
        <v>0.86299999999999999</v>
      </c>
      <c r="D70" s="6">
        <f t="shared" si="4"/>
        <v>20.811245</v>
      </c>
      <c r="E70" s="6" t="s">
        <v>53</v>
      </c>
      <c r="F70" s="6">
        <f>84.5/100</f>
        <v>0.84499999999999997</v>
      </c>
      <c r="G70" s="6">
        <f t="shared" si="11"/>
        <v>17.585502025</v>
      </c>
      <c r="H70" s="6" t="s">
        <v>11</v>
      </c>
      <c r="I70" s="6">
        <f>12/100</f>
        <v>0.12</v>
      </c>
      <c r="J70" s="6">
        <f>I70*G70</f>
        <v>2.1102602429999999</v>
      </c>
      <c r="K70" s="2" t="s">
        <v>32</v>
      </c>
      <c r="L70" s="2">
        <f>5/100</f>
        <v>0.05</v>
      </c>
      <c r="M70" s="2">
        <f>L70*G70</f>
        <v>0.87927510125000008</v>
      </c>
    </row>
    <row r="71" spans="1:13" x14ac:dyDescent="0.25">
      <c r="A71" s="4">
        <v>24.114999999999998</v>
      </c>
      <c r="B71" s="2" t="s">
        <v>19</v>
      </c>
      <c r="C71" s="6">
        <f t="shared" si="23"/>
        <v>0.86299999999999999</v>
      </c>
      <c r="D71" s="6">
        <f t="shared" si="4"/>
        <v>20.811245</v>
      </c>
      <c r="E71" s="6" t="s">
        <v>16</v>
      </c>
      <c r="F71" s="6">
        <f t="shared" ref="F71:F77" si="31">84.5/100</f>
        <v>0.84499999999999997</v>
      </c>
      <c r="G71" s="6">
        <f t="shared" si="11"/>
        <v>17.585502025</v>
      </c>
      <c r="H71" s="6" t="s">
        <v>12</v>
      </c>
      <c r="I71" s="6">
        <f>6.5/100</f>
        <v>6.5000000000000002E-2</v>
      </c>
      <c r="J71" s="6">
        <f t="shared" ref="J71:J76" si="32">I71*G71</f>
        <v>1.1430576316250001</v>
      </c>
      <c r="K71" s="2" t="s">
        <v>33</v>
      </c>
      <c r="L71" s="2">
        <f>11.6/100</f>
        <v>0.11599999999999999</v>
      </c>
      <c r="M71" s="2">
        <f t="shared" ref="M71:M77" si="33">L71*G71</f>
        <v>2.0399182349</v>
      </c>
    </row>
    <row r="72" spans="1:13" x14ac:dyDescent="0.25">
      <c r="A72" s="4">
        <v>24.114999999999998</v>
      </c>
      <c r="B72" s="2" t="s">
        <v>19</v>
      </c>
      <c r="C72" s="6">
        <f t="shared" si="23"/>
        <v>0.86299999999999999</v>
      </c>
      <c r="D72" s="6">
        <f t="shared" si="4"/>
        <v>20.811245</v>
      </c>
      <c r="E72" s="6" t="s">
        <v>16</v>
      </c>
      <c r="F72" s="6">
        <f t="shared" si="31"/>
        <v>0.84499999999999997</v>
      </c>
      <c r="G72" s="6">
        <f t="shared" si="11"/>
        <v>17.585502025</v>
      </c>
      <c r="H72" s="6" t="s">
        <v>7</v>
      </c>
      <c r="I72" s="6">
        <f>14.5/100</f>
        <v>0.14499999999999999</v>
      </c>
      <c r="J72" s="6">
        <f t="shared" si="32"/>
        <v>2.549897793625</v>
      </c>
      <c r="K72" s="2" t="s">
        <v>34</v>
      </c>
      <c r="L72" s="2">
        <f>15.2/100</f>
        <v>0.152</v>
      </c>
      <c r="M72" s="2">
        <f t="shared" si="33"/>
        <v>2.6729963078000001</v>
      </c>
    </row>
    <row r="73" spans="1:13" x14ac:dyDescent="0.25">
      <c r="A73" s="4">
        <v>24.114999999999998</v>
      </c>
      <c r="B73" s="2" t="s">
        <v>19</v>
      </c>
      <c r="C73" s="6">
        <f t="shared" si="23"/>
        <v>0.86299999999999999</v>
      </c>
      <c r="D73" s="6">
        <f t="shared" si="4"/>
        <v>20.811245</v>
      </c>
      <c r="E73" s="6" t="s">
        <v>16</v>
      </c>
      <c r="F73" s="6">
        <f t="shared" si="31"/>
        <v>0.84499999999999997</v>
      </c>
      <c r="G73" s="6">
        <f t="shared" si="11"/>
        <v>17.585502025</v>
      </c>
      <c r="H73" s="6" t="s">
        <v>8</v>
      </c>
      <c r="I73" s="6">
        <f>39.9/100</f>
        <v>0.39899999999999997</v>
      </c>
      <c r="J73" s="6">
        <f t="shared" si="32"/>
        <v>7.0166153079749991</v>
      </c>
      <c r="K73" s="2" t="s">
        <v>35</v>
      </c>
      <c r="L73" s="2">
        <f>26.5/100</f>
        <v>0.26500000000000001</v>
      </c>
      <c r="M73" s="2">
        <f t="shared" si="33"/>
        <v>4.6601580366249999</v>
      </c>
    </row>
    <row r="74" spans="1:13" x14ac:dyDescent="0.25">
      <c r="A74" s="4">
        <v>24.114999999999998</v>
      </c>
      <c r="B74" s="2" t="s">
        <v>19</v>
      </c>
      <c r="C74" s="6">
        <f t="shared" si="23"/>
        <v>0.86299999999999999</v>
      </c>
      <c r="D74" s="6">
        <f t="shared" si="4"/>
        <v>20.811245</v>
      </c>
      <c r="E74" s="6" t="s">
        <v>16</v>
      </c>
      <c r="F74" s="6">
        <f t="shared" si="31"/>
        <v>0.84499999999999997</v>
      </c>
      <c r="G74" s="6">
        <f t="shared" si="11"/>
        <v>17.585502025</v>
      </c>
      <c r="H74" s="6" t="s">
        <v>10</v>
      </c>
      <c r="I74" s="6">
        <f>5/100</f>
        <v>0.05</v>
      </c>
      <c r="J74" s="6">
        <f t="shared" si="32"/>
        <v>0.87927510125000008</v>
      </c>
      <c r="K74" s="2" t="s">
        <v>36</v>
      </c>
      <c r="L74" s="2">
        <f>22/100</f>
        <v>0.22</v>
      </c>
      <c r="M74" s="2">
        <f t="shared" si="33"/>
        <v>3.8688104454999999</v>
      </c>
    </row>
    <row r="75" spans="1:13" x14ac:dyDescent="0.25">
      <c r="A75" s="4">
        <v>24.114999999999998</v>
      </c>
      <c r="B75" s="2" t="s">
        <v>19</v>
      </c>
      <c r="C75" s="6">
        <f t="shared" si="23"/>
        <v>0.86299999999999999</v>
      </c>
      <c r="D75" s="6">
        <f t="shared" si="4"/>
        <v>20.811245</v>
      </c>
      <c r="E75" s="6" t="s">
        <v>16</v>
      </c>
      <c r="F75" s="6">
        <f t="shared" si="31"/>
        <v>0.84499999999999997</v>
      </c>
      <c r="G75" s="6">
        <f t="shared" si="11"/>
        <v>17.585502025</v>
      </c>
      <c r="H75" s="6" t="s">
        <v>9</v>
      </c>
      <c r="I75" s="6">
        <f>20.2/100</f>
        <v>0.20199999999999999</v>
      </c>
      <c r="J75" s="6">
        <f t="shared" si="32"/>
        <v>3.5522714090499998</v>
      </c>
      <c r="K75" s="2" t="s">
        <v>37</v>
      </c>
      <c r="L75" s="2">
        <f>17.1/100</f>
        <v>0.17100000000000001</v>
      </c>
      <c r="M75" s="2">
        <f t="shared" si="33"/>
        <v>3.0071208462750003</v>
      </c>
    </row>
    <row r="76" spans="1:13" x14ac:dyDescent="0.25">
      <c r="A76" s="4">
        <v>24.114999999999998</v>
      </c>
      <c r="B76" s="2" t="s">
        <v>19</v>
      </c>
      <c r="C76" s="6">
        <f t="shared" si="23"/>
        <v>0.86299999999999999</v>
      </c>
      <c r="D76" s="6">
        <f t="shared" si="4"/>
        <v>20.811245</v>
      </c>
      <c r="E76" s="6" t="s">
        <v>16</v>
      </c>
      <c r="F76" s="6">
        <f t="shared" si="31"/>
        <v>0.84499999999999997</v>
      </c>
      <c r="G76" s="6">
        <f t="shared" si="11"/>
        <v>17.585502025</v>
      </c>
      <c r="H76" s="6" t="s">
        <v>55</v>
      </c>
      <c r="I76" s="6">
        <f>1.9/100</f>
        <v>1.9E-2</v>
      </c>
      <c r="J76" s="6">
        <f t="shared" si="32"/>
        <v>0.33412453847500001</v>
      </c>
      <c r="K76" s="2" t="s">
        <v>38</v>
      </c>
      <c r="L76" s="2">
        <f>1.7/100</f>
        <v>1.7000000000000001E-2</v>
      </c>
      <c r="M76" s="2">
        <f t="shared" si="33"/>
        <v>0.298953534425</v>
      </c>
    </row>
    <row r="77" spans="1:13" x14ac:dyDescent="0.25">
      <c r="A77" s="4">
        <v>24.114999999999998</v>
      </c>
      <c r="B77" s="2" t="s">
        <v>19</v>
      </c>
      <c r="C77" s="6">
        <f t="shared" si="23"/>
        <v>0.86299999999999999</v>
      </c>
      <c r="D77" s="6">
        <f t="shared" si="4"/>
        <v>20.811245</v>
      </c>
      <c r="E77" s="6" t="s">
        <v>16</v>
      </c>
      <c r="F77" s="6">
        <f t="shared" si="31"/>
        <v>0.84499999999999997</v>
      </c>
      <c r="G77" s="6">
        <f t="shared" si="11"/>
        <v>17.585502025</v>
      </c>
      <c r="H77" s="6"/>
      <c r="I77" s="6"/>
      <c r="J77" s="6"/>
      <c r="K77" s="2" t="s">
        <v>39</v>
      </c>
      <c r="L77" s="2">
        <f>0.9/100</f>
        <v>9.0000000000000011E-3</v>
      </c>
      <c r="M77" s="2">
        <f t="shared" si="33"/>
        <v>0.15826951822500002</v>
      </c>
    </row>
    <row r="78" spans="1:13" x14ac:dyDescent="0.25">
      <c r="A78" s="4">
        <v>24.114999999999998</v>
      </c>
      <c r="B78" s="2" t="s">
        <v>19</v>
      </c>
      <c r="C78" s="6">
        <f t="shared" si="23"/>
        <v>0.86299999999999999</v>
      </c>
      <c r="D78" s="6">
        <f t="shared" si="4"/>
        <v>20.811245</v>
      </c>
      <c r="E78" s="2" t="s">
        <v>51</v>
      </c>
      <c r="F78" s="6">
        <f>85.6/100</f>
        <v>0.85599999999999998</v>
      </c>
      <c r="G78" s="6">
        <f t="shared" si="11"/>
        <v>17.814425719999999</v>
      </c>
      <c r="H78" s="6" t="s">
        <v>11</v>
      </c>
      <c r="I78" s="6">
        <f>14.8/100</f>
        <v>0.14800000000000002</v>
      </c>
      <c r="J78" s="8">
        <f>I78*G78</f>
        <v>2.6365350065600004</v>
      </c>
      <c r="K78" s="2" t="s">
        <v>32</v>
      </c>
      <c r="L78" s="2">
        <f>4.6/100</f>
        <v>4.5999999999999999E-2</v>
      </c>
      <c r="M78" s="2">
        <f>L78*G78</f>
        <v>0.81946358311999989</v>
      </c>
    </row>
    <row r="79" spans="1:13" x14ac:dyDescent="0.25">
      <c r="A79" s="4">
        <v>24.114999999999998</v>
      </c>
      <c r="B79" s="2" t="s">
        <v>19</v>
      </c>
      <c r="C79" s="6">
        <f t="shared" si="23"/>
        <v>0.86299999999999999</v>
      </c>
      <c r="D79" s="6">
        <f t="shared" si="4"/>
        <v>20.811245</v>
      </c>
      <c r="E79" s="2" t="s">
        <v>13</v>
      </c>
      <c r="F79" s="6">
        <f t="shared" ref="F79:F85" si="34">85.6/100</f>
        <v>0.85599999999999998</v>
      </c>
      <c r="G79" s="6">
        <f t="shared" si="11"/>
        <v>17.814425719999999</v>
      </c>
      <c r="H79" s="6" t="s">
        <v>12</v>
      </c>
      <c r="I79" s="6">
        <f>10/100</f>
        <v>0.1</v>
      </c>
      <c r="J79" s="8">
        <f t="shared" ref="J79:J84" si="35">I79*G79</f>
        <v>1.781442572</v>
      </c>
      <c r="K79" s="2" t="s">
        <v>33</v>
      </c>
      <c r="L79" s="2">
        <f>11.4/100</f>
        <v>0.114</v>
      </c>
      <c r="M79" s="2">
        <f t="shared" ref="M79:M85" si="36">L79*G79</f>
        <v>2.0308445320800002</v>
      </c>
    </row>
    <row r="80" spans="1:13" x14ac:dyDescent="0.25">
      <c r="A80" s="4">
        <v>24.114999999999998</v>
      </c>
      <c r="B80" s="2" t="s">
        <v>19</v>
      </c>
      <c r="C80" s="6">
        <f t="shared" si="23"/>
        <v>0.86299999999999999</v>
      </c>
      <c r="D80" s="6">
        <f t="shared" si="4"/>
        <v>20.811245</v>
      </c>
      <c r="E80" s="2" t="s">
        <v>13</v>
      </c>
      <c r="F80" s="6">
        <f t="shared" si="34"/>
        <v>0.85599999999999998</v>
      </c>
      <c r="G80" s="6">
        <f t="shared" si="11"/>
        <v>17.814425719999999</v>
      </c>
      <c r="H80" s="6" t="s">
        <v>7</v>
      </c>
      <c r="I80" s="6">
        <f>17.9/100</f>
        <v>0.17899999999999999</v>
      </c>
      <c r="J80" s="8">
        <f t="shared" si="35"/>
        <v>3.1887822038799998</v>
      </c>
      <c r="K80" s="2" t="s">
        <v>34</v>
      </c>
      <c r="L80" s="2">
        <f>16/100</f>
        <v>0.16</v>
      </c>
      <c r="M80" s="2">
        <f t="shared" si="36"/>
        <v>2.8503081151999998</v>
      </c>
    </row>
    <row r="81" spans="1:13" x14ac:dyDescent="0.25">
      <c r="A81" s="4">
        <v>24.114999999999998</v>
      </c>
      <c r="B81" s="2" t="s">
        <v>19</v>
      </c>
      <c r="C81" s="6">
        <f t="shared" si="23"/>
        <v>0.86299999999999999</v>
      </c>
      <c r="D81" s="6">
        <f t="shared" si="4"/>
        <v>20.811245</v>
      </c>
      <c r="E81" s="2" t="s">
        <v>13</v>
      </c>
      <c r="F81" s="6">
        <f t="shared" si="34"/>
        <v>0.85599999999999998</v>
      </c>
      <c r="G81" s="6">
        <f t="shared" si="11"/>
        <v>17.814425719999999</v>
      </c>
      <c r="H81" s="6" t="s">
        <v>8</v>
      </c>
      <c r="I81" s="6">
        <f>37/100</f>
        <v>0.37</v>
      </c>
      <c r="J81" s="8">
        <f t="shared" si="35"/>
        <v>6.5913375163999994</v>
      </c>
      <c r="K81" s="2" t="s">
        <v>35</v>
      </c>
      <c r="L81" s="2">
        <f>27.7/100</f>
        <v>0.27699999999999997</v>
      </c>
      <c r="M81" s="2">
        <f t="shared" si="36"/>
        <v>4.9345959244399991</v>
      </c>
    </row>
    <row r="82" spans="1:13" x14ac:dyDescent="0.25">
      <c r="A82" s="4">
        <v>24.114999999999998</v>
      </c>
      <c r="B82" s="2" t="s">
        <v>19</v>
      </c>
      <c r="C82" s="6">
        <f t="shared" si="23"/>
        <v>0.86299999999999999</v>
      </c>
      <c r="D82" s="6">
        <f t="shared" si="4"/>
        <v>20.811245</v>
      </c>
      <c r="E82" s="2" t="s">
        <v>13</v>
      </c>
      <c r="F82" s="6">
        <f t="shared" si="34"/>
        <v>0.85599999999999998</v>
      </c>
      <c r="G82" s="6">
        <f t="shared" si="11"/>
        <v>17.814425719999999</v>
      </c>
      <c r="H82" s="6" t="s">
        <v>10</v>
      </c>
      <c r="I82" s="6">
        <f>3.5/100</f>
        <v>3.5000000000000003E-2</v>
      </c>
      <c r="J82" s="8">
        <f t="shared" si="35"/>
        <v>0.62350490020000005</v>
      </c>
      <c r="K82" s="2" t="s">
        <v>36</v>
      </c>
      <c r="L82" s="2">
        <f>20.6/100</f>
        <v>0.20600000000000002</v>
      </c>
      <c r="M82" s="2">
        <f t="shared" si="36"/>
        <v>3.6697716983199999</v>
      </c>
    </row>
    <row r="83" spans="1:13" x14ac:dyDescent="0.25">
      <c r="A83" s="4">
        <v>24.114999999999998</v>
      </c>
      <c r="B83" s="2" t="s">
        <v>19</v>
      </c>
      <c r="C83" s="6">
        <f t="shared" si="23"/>
        <v>0.86299999999999999</v>
      </c>
      <c r="D83" s="6">
        <f t="shared" si="4"/>
        <v>20.811245</v>
      </c>
      <c r="E83" s="2" t="s">
        <v>13</v>
      </c>
      <c r="F83" s="6">
        <f t="shared" si="34"/>
        <v>0.85599999999999998</v>
      </c>
      <c r="G83" s="6">
        <f t="shared" si="11"/>
        <v>17.814425719999999</v>
      </c>
      <c r="H83" s="6" t="s">
        <v>9</v>
      </c>
      <c r="I83" s="6">
        <f>14.3/100</f>
        <v>0.14300000000000002</v>
      </c>
      <c r="J83" s="8">
        <f t="shared" si="35"/>
        <v>2.5474628779600001</v>
      </c>
      <c r="K83" s="2" t="s">
        <v>37</v>
      </c>
      <c r="L83" s="2">
        <f>15.8/100</f>
        <v>0.158</v>
      </c>
      <c r="M83" s="2">
        <f t="shared" si="36"/>
        <v>2.81467926376</v>
      </c>
    </row>
    <row r="84" spans="1:13" x14ac:dyDescent="0.25">
      <c r="A84" s="4">
        <v>24.114999999999998</v>
      </c>
      <c r="B84" s="2" t="s">
        <v>19</v>
      </c>
      <c r="C84" s="6">
        <f t="shared" si="23"/>
        <v>0.86299999999999999</v>
      </c>
      <c r="D84" s="6">
        <f t="shared" si="4"/>
        <v>20.811245</v>
      </c>
      <c r="E84" s="2" t="s">
        <v>13</v>
      </c>
      <c r="F84" s="6">
        <f t="shared" si="34"/>
        <v>0.85599999999999998</v>
      </c>
      <c r="G84" s="6">
        <f t="shared" si="11"/>
        <v>17.814425719999999</v>
      </c>
      <c r="H84" s="6" t="s">
        <v>55</v>
      </c>
      <c r="I84" s="6">
        <f>2.5/100</f>
        <v>2.5000000000000001E-2</v>
      </c>
      <c r="J84" s="6">
        <f t="shared" si="35"/>
        <v>0.445360643</v>
      </c>
      <c r="K84" s="2" t="s">
        <v>38</v>
      </c>
      <c r="L84" s="2">
        <f>2.3/100</f>
        <v>2.3E-2</v>
      </c>
      <c r="M84" s="2">
        <f t="shared" si="36"/>
        <v>0.40973179155999995</v>
      </c>
    </row>
    <row r="85" spans="1:13" x14ac:dyDescent="0.25">
      <c r="A85" s="4">
        <v>24.114999999999998</v>
      </c>
      <c r="B85" s="2" t="s">
        <v>19</v>
      </c>
      <c r="C85" s="6">
        <f t="shared" si="23"/>
        <v>0.86299999999999999</v>
      </c>
      <c r="D85" s="6">
        <f t="shared" si="4"/>
        <v>20.811245</v>
      </c>
      <c r="E85" s="2" t="s">
        <v>13</v>
      </c>
      <c r="F85" s="6">
        <f t="shared" si="34"/>
        <v>0.85599999999999998</v>
      </c>
      <c r="G85" s="6">
        <f t="shared" si="11"/>
        <v>17.814425719999999</v>
      </c>
      <c r="H85" s="6"/>
      <c r="I85" s="6"/>
      <c r="J85" s="8"/>
      <c r="K85" s="2" t="s">
        <v>39</v>
      </c>
      <c r="L85" s="2">
        <f>1.5/100</f>
        <v>1.4999999999999999E-2</v>
      </c>
      <c r="M85" s="2">
        <f t="shared" si="36"/>
        <v>0.26721638579999996</v>
      </c>
    </row>
    <row r="86" spans="1:13" x14ac:dyDescent="0.25">
      <c r="A86" s="4">
        <v>24.114999999999998</v>
      </c>
      <c r="B86" s="2" t="s">
        <v>19</v>
      </c>
      <c r="C86" s="6">
        <f t="shared" si="23"/>
        <v>0.86299999999999999</v>
      </c>
      <c r="D86" s="6">
        <f t="shared" si="4"/>
        <v>20.811245</v>
      </c>
      <c r="E86" s="2" t="s">
        <v>50</v>
      </c>
      <c r="F86" s="6">
        <f>83.1/100</f>
        <v>0.83099999999999996</v>
      </c>
      <c r="G86" s="6">
        <f t="shared" si="11"/>
        <v>17.294144594999999</v>
      </c>
      <c r="H86" s="6" t="s">
        <v>11</v>
      </c>
      <c r="I86" s="6">
        <f>13.5/100</f>
        <v>0.13500000000000001</v>
      </c>
      <c r="J86" s="6">
        <f>I86*G86</f>
        <v>2.3347095203250001</v>
      </c>
      <c r="K86" s="2" t="s">
        <v>32</v>
      </c>
      <c r="L86" s="2">
        <f>2.8/100</f>
        <v>2.7999999999999997E-2</v>
      </c>
      <c r="M86" s="2">
        <f>L86*G86</f>
        <v>0.48423604865999992</v>
      </c>
    </row>
    <row r="87" spans="1:13" x14ac:dyDescent="0.25">
      <c r="A87" s="4">
        <v>24.114999999999998</v>
      </c>
      <c r="B87" s="2" t="s">
        <v>19</v>
      </c>
      <c r="C87" s="6">
        <f t="shared" si="23"/>
        <v>0.86299999999999999</v>
      </c>
      <c r="D87" s="6">
        <f t="shared" si="4"/>
        <v>20.811245</v>
      </c>
      <c r="E87" s="2" t="s">
        <v>17</v>
      </c>
      <c r="F87" s="6">
        <f t="shared" ref="F87:F93" si="37">83.1/100</f>
        <v>0.83099999999999996</v>
      </c>
      <c r="G87" s="6">
        <f t="shared" si="11"/>
        <v>17.294144594999999</v>
      </c>
      <c r="H87" s="6" t="s">
        <v>12</v>
      </c>
      <c r="I87" s="6">
        <f>11/100</f>
        <v>0.11</v>
      </c>
      <c r="J87" s="6">
        <f t="shared" ref="J87:J92" si="38">I87*G87</f>
        <v>1.9023559054499999</v>
      </c>
      <c r="K87" s="2" t="s">
        <v>33</v>
      </c>
      <c r="L87" s="2">
        <f>7.7/100</f>
        <v>7.6999999999999999E-2</v>
      </c>
      <c r="M87" s="2">
        <f t="shared" ref="M87:M89" si="39">L87*G87</f>
        <v>1.3316491338149998</v>
      </c>
    </row>
    <row r="88" spans="1:13" x14ac:dyDescent="0.25">
      <c r="A88" s="4">
        <v>24.114999999999998</v>
      </c>
      <c r="B88" s="2" t="s">
        <v>19</v>
      </c>
      <c r="C88" s="6">
        <f t="shared" si="23"/>
        <v>0.86299999999999999</v>
      </c>
      <c r="D88" s="6">
        <f t="shared" si="4"/>
        <v>20.811245</v>
      </c>
      <c r="E88" s="2" t="s">
        <v>17</v>
      </c>
      <c r="F88" s="6">
        <f t="shared" si="37"/>
        <v>0.83099999999999996</v>
      </c>
      <c r="G88" s="6">
        <f t="shared" si="11"/>
        <v>17.294144594999999</v>
      </c>
      <c r="H88" s="6" t="s">
        <v>7</v>
      </c>
      <c r="I88" s="6">
        <f>16/100</f>
        <v>0.16</v>
      </c>
      <c r="J88" s="6">
        <f t="shared" si="38"/>
        <v>2.7670631351999999</v>
      </c>
      <c r="K88" s="2" t="s">
        <v>34</v>
      </c>
      <c r="L88" s="2">
        <f>19.8/100</f>
        <v>0.19800000000000001</v>
      </c>
      <c r="M88" s="2">
        <f t="shared" si="39"/>
        <v>3.4242406298099999</v>
      </c>
    </row>
    <row r="89" spans="1:13" x14ac:dyDescent="0.25">
      <c r="A89" s="4">
        <v>24.114999999999998</v>
      </c>
      <c r="B89" s="2" t="s">
        <v>19</v>
      </c>
      <c r="C89" s="6">
        <f t="shared" si="23"/>
        <v>0.86299999999999999</v>
      </c>
      <c r="D89" s="6">
        <f t="shared" si="4"/>
        <v>20.811245</v>
      </c>
      <c r="E89" s="2" t="s">
        <v>17</v>
      </c>
      <c r="F89" s="6">
        <f t="shared" si="37"/>
        <v>0.83099999999999996</v>
      </c>
      <c r="G89" s="6">
        <f t="shared" si="11"/>
        <v>17.294144594999999</v>
      </c>
      <c r="H89" s="6" t="s">
        <v>8</v>
      </c>
      <c r="I89" s="6">
        <f>35.1/100</f>
        <v>0.35100000000000003</v>
      </c>
      <c r="J89" s="6">
        <f t="shared" si="38"/>
        <v>6.0702447528450003</v>
      </c>
      <c r="K89" s="2" t="s">
        <v>35</v>
      </c>
      <c r="L89" s="2">
        <f>30.1/100</f>
        <v>0.30099999999999999</v>
      </c>
      <c r="M89" s="2">
        <f t="shared" si="39"/>
        <v>5.2055375230949998</v>
      </c>
    </row>
    <row r="90" spans="1:13" x14ac:dyDescent="0.25">
      <c r="A90" s="4">
        <v>24.114999999999998</v>
      </c>
      <c r="B90" s="2" t="s">
        <v>19</v>
      </c>
      <c r="C90" s="6">
        <f t="shared" si="23"/>
        <v>0.86299999999999999</v>
      </c>
      <c r="D90" s="6">
        <f t="shared" si="4"/>
        <v>20.811245</v>
      </c>
      <c r="E90" s="2" t="s">
        <v>17</v>
      </c>
      <c r="F90" s="6">
        <f t="shared" si="37"/>
        <v>0.83099999999999996</v>
      </c>
      <c r="G90" s="6">
        <f t="shared" si="11"/>
        <v>17.294144594999999</v>
      </c>
      <c r="H90" s="6" t="s">
        <v>10</v>
      </c>
      <c r="I90" s="6">
        <f>1.9/100</f>
        <v>1.9E-2</v>
      </c>
      <c r="J90" s="6">
        <f t="shared" si="38"/>
        <v>0.32858874730499998</v>
      </c>
      <c r="K90" s="2" t="s">
        <v>36</v>
      </c>
      <c r="L90" s="2">
        <f>28.9/100</f>
        <v>0.28899999999999998</v>
      </c>
      <c r="M90" s="2">
        <f>L89*G90</f>
        <v>5.2055375230949998</v>
      </c>
    </row>
    <row r="91" spans="1:13" x14ac:dyDescent="0.25">
      <c r="A91" s="4">
        <v>24.114999999999998</v>
      </c>
      <c r="B91" s="2" t="s">
        <v>19</v>
      </c>
      <c r="C91" s="6">
        <f t="shared" si="23"/>
        <v>0.86299999999999999</v>
      </c>
      <c r="D91" s="6">
        <f t="shared" si="4"/>
        <v>20.811245</v>
      </c>
      <c r="E91" s="2" t="s">
        <v>17</v>
      </c>
      <c r="F91" s="6">
        <f t="shared" si="37"/>
        <v>0.83099999999999996</v>
      </c>
      <c r="G91" s="6">
        <f t="shared" si="11"/>
        <v>17.294144594999999</v>
      </c>
      <c r="H91" s="6" t="s">
        <v>9</v>
      </c>
      <c r="I91" s="6">
        <f>20.2/100</f>
        <v>0.20199999999999999</v>
      </c>
      <c r="J91" s="6">
        <f t="shared" si="38"/>
        <v>3.4934172081899995</v>
      </c>
      <c r="K91" s="2" t="s">
        <v>37</v>
      </c>
      <c r="L91" s="2">
        <f>10.3/100</f>
        <v>0.10300000000000001</v>
      </c>
      <c r="M91" s="2">
        <f>L90*G91</f>
        <v>4.9980077879549993</v>
      </c>
    </row>
    <row r="92" spans="1:13" x14ac:dyDescent="0.25">
      <c r="A92" s="4">
        <v>24.114999999999998</v>
      </c>
      <c r="B92" s="2" t="s">
        <v>19</v>
      </c>
      <c r="C92" s="6">
        <f t="shared" si="23"/>
        <v>0.86299999999999999</v>
      </c>
      <c r="D92" s="6">
        <f t="shared" si="4"/>
        <v>20.811245</v>
      </c>
      <c r="E92" s="2" t="s">
        <v>17</v>
      </c>
      <c r="F92" s="6">
        <f t="shared" si="37"/>
        <v>0.83099999999999996</v>
      </c>
      <c r="G92" s="6">
        <f t="shared" si="11"/>
        <v>17.294144594999999</v>
      </c>
      <c r="H92" s="6" t="s">
        <v>55</v>
      </c>
      <c r="I92" s="6">
        <f>2.3/100</f>
        <v>2.3E-2</v>
      </c>
      <c r="J92" s="6">
        <f t="shared" si="38"/>
        <v>0.39776532568499995</v>
      </c>
      <c r="K92" s="2" t="s">
        <v>38</v>
      </c>
      <c r="L92" s="2">
        <f>0/100</f>
        <v>0</v>
      </c>
      <c r="M92" s="2">
        <f>L91*G92</f>
        <v>1.781296893285</v>
      </c>
    </row>
    <row r="93" spans="1:13" x14ac:dyDescent="0.25">
      <c r="A93" s="4">
        <v>24.114999999999998</v>
      </c>
      <c r="B93" s="2" t="s">
        <v>19</v>
      </c>
      <c r="C93" s="6">
        <f t="shared" si="23"/>
        <v>0.86299999999999999</v>
      </c>
      <c r="D93" s="6">
        <f t="shared" si="4"/>
        <v>20.811245</v>
      </c>
      <c r="E93" s="2" t="s">
        <v>17</v>
      </c>
      <c r="F93" s="6">
        <f t="shared" si="37"/>
        <v>0.83099999999999996</v>
      </c>
      <c r="G93" s="6">
        <f t="shared" si="11"/>
        <v>17.294144594999999</v>
      </c>
      <c r="H93" s="6"/>
      <c r="I93" s="6"/>
      <c r="J93" s="6"/>
      <c r="K93" s="2" t="s">
        <v>39</v>
      </c>
      <c r="L93" s="2">
        <f>0.4/100</f>
        <v>4.0000000000000001E-3</v>
      </c>
      <c r="M93" s="2">
        <f>L92*G93</f>
        <v>0</v>
      </c>
    </row>
    <row r="94" spans="1:13" x14ac:dyDescent="0.25">
      <c r="A94" s="4">
        <v>24.114999999999998</v>
      </c>
      <c r="B94" s="2" t="s">
        <v>19</v>
      </c>
      <c r="C94" s="6">
        <f t="shared" si="23"/>
        <v>0.86299999999999999</v>
      </c>
      <c r="D94" s="6">
        <f t="shared" si="4"/>
        <v>20.811245</v>
      </c>
      <c r="E94" s="2" t="s">
        <v>49</v>
      </c>
      <c r="F94" s="2">
        <f>92.6/100</f>
        <v>0.92599999999999993</v>
      </c>
      <c r="G94" s="6">
        <f t="shared" si="11"/>
        <v>19.271212869999999</v>
      </c>
      <c r="H94" s="6" t="s">
        <v>11</v>
      </c>
      <c r="I94" s="6">
        <f>20.7/100</f>
        <v>0.20699999999999999</v>
      </c>
      <c r="J94" s="6">
        <f>I94*G94</f>
        <v>3.9891410640899996</v>
      </c>
      <c r="K94" s="2" t="s">
        <v>32</v>
      </c>
      <c r="L94" s="2">
        <f>7.1/100</f>
        <v>7.0999999999999994E-2</v>
      </c>
      <c r="M94" s="2">
        <f>L94*G94</f>
        <v>1.3682561137699998</v>
      </c>
    </row>
    <row r="95" spans="1:13" x14ac:dyDescent="0.25">
      <c r="A95" s="4">
        <v>24.114999999999998</v>
      </c>
      <c r="B95" s="2" t="s">
        <v>19</v>
      </c>
      <c r="C95" s="6">
        <f t="shared" si="23"/>
        <v>0.86299999999999999</v>
      </c>
      <c r="D95" s="6">
        <f t="shared" ref="D95:D101" si="40">C95*A95</f>
        <v>20.811245</v>
      </c>
      <c r="E95" s="2" t="s">
        <v>18</v>
      </c>
      <c r="F95" s="2">
        <f t="shared" ref="F95:F101" si="41">92.6/100</f>
        <v>0.92599999999999993</v>
      </c>
      <c r="G95" s="6">
        <f t="shared" si="11"/>
        <v>19.271212869999999</v>
      </c>
      <c r="H95" s="6" t="s">
        <v>12</v>
      </c>
      <c r="I95" s="6">
        <f>8.6/100</f>
        <v>8.5999999999999993E-2</v>
      </c>
      <c r="J95" s="6">
        <f t="shared" ref="J95:J100" si="42">I95*G95</f>
        <v>1.6573243068199999</v>
      </c>
      <c r="K95" s="2" t="s">
        <v>33</v>
      </c>
      <c r="L95" s="2">
        <f>13.4/100</f>
        <v>0.13400000000000001</v>
      </c>
      <c r="M95" s="2">
        <f t="shared" ref="M95:M101" si="43">L95*G95</f>
        <v>2.58234252458</v>
      </c>
    </row>
    <row r="96" spans="1:13" x14ac:dyDescent="0.25">
      <c r="A96" s="4">
        <v>24.114999999999998</v>
      </c>
      <c r="B96" s="2" t="s">
        <v>19</v>
      </c>
      <c r="C96" s="6">
        <f t="shared" si="23"/>
        <v>0.86299999999999999</v>
      </c>
      <c r="D96" s="6">
        <f t="shared" si="40"/>
        <v>20.811245</v>
      </c>
      <c r="E96" s="2" t="s">
        <v>18</v>
      </c>
      <c r="F96" s="2">
        <f t="shared" si="41"/>
        <v>0.92599999999999993</v>
      </c>
      <c r="G96" s="6">
        <f t="shared" si="11"/>
        <v>19.271212869999999</v>
      </c>
      <c r="H96" s="6" t="s">
        <v>7</v>
      </c>
      <c r="I96" s="6">
        <f>18.7/100</f>
        <v>0.187</v>
      </c>
      <c r="J96" s="6">
        <f t="shared" si="42"/>
        <v>3.6037168066900001</v>
      </c>
      <c r="K96" s="2" t="s">
        <v>34</v>
      </c>
      <c r="L96" s="2">
        <f>16.3/100</f>
        <v>0.16300000000000001</v>
      </c>
      <c r="M96" s="2">
        <f t="shared" si="43"/>
        <v>3.1412076978100001</v>
      </c>
    </row>
    <row r="97" spans="1:13" x14ac:dyDescent="0.25">
      <c r="A97" s="4">
        <v>24.114999999999998</v>
      </c>
      <c r="B97" s="2" t="s">
        <v>19</v>
      </c>
      <c r="C97" s="6">
        <f t="shared" si="23"/>
        <v>0.86299999999999999</v>
      </c>
      <c r="D97" s="6">
        <f t="shared" si="40"/>
        <v>20.811245</v>
      </c>
      <c r="E97" s="2" t="s">
        <v>18</v>
      </c>
      <c r="F97" s="2">
        <f t="shared" si="41"/>
        <v>0.92599999999999993</v>
      </c>
      <c r="G97" s="6">
        <f t="shared" si="11"/>
        <v>19.271212869999999</v>
      </c>
      <c r="H97" s="6" t="s">
        <v>8</v>
      </c>
      <c r="I97" s="6">
        <f>38.8/100</f>
        <v>0.38799999999999996</v>
      </c>
      <c r="J97" s="6">
        <f t="shared" si="42"/>
        <v>7.477230593559999</v>
      </c>
      <c r="K97" s="2" t="s">
        <v>35</v>
      </c>
      <c r="L97" s="2">
        <f>25.4/100</f>
        <v>0.254</v>
      </c>
      <c r="M97" s="2">
        <f t="shared" si="43"/>
        <v>4.8948880689800003</v>
      </c>
    </row>
    <row r="98" spans="1:13" x14ac:dyDescent="0.25">
      <c r="A98" s="4">
        <v>24.114999999999998</v>
      </c>
      <c r="B98" s="2" t="s">
        <v>19</v>
      </c>
      <c r="C98" s="6">
        <f t="shared" si="23"/>
        <v>0.86299999999999999</v>
      </c>
      <c r="D98" s="6">
        <f t="shared" si="40"/>
        <v>20.811245</v>
      </c>
      <c r="E98" s="2" t="s">
        <v>18</v>
      </c>
      <c r="F98" s="2">
        <f t="shared" si="41"/>
        <v>0.92599999999999993</v>
      </c>
      <c r="G98" s="6">
        <f t="shared" si="11"/>
        <v>19.271212869999999</v>
      </c>
      <c r="H98" s="6" t="s">
        <v>10</v>
      </c>
      <c r="I98" s="6">
        <f>3.3/100</f>
        <v>3.3000000000000002E-2</v>
      </c>
      <c r="J98" s="6">
        <f t="shared" si="42"/>
        <v>0.63595002471000006</v>
      </c>
      <c r="K98" s="2" t="s">
        <v>36</v>
      </c>
      <c r="L98" s="2">
        <f>19.1/100</f>
        <v>0.191</v>
      </c>
      <c r="M98" s="2">
        <f t="shared" si="43"/>
        <v>3.68080165817</v>
      </c>
    </row>
    <row r="99" spans="1:13" x14ac:dyDescent="0.25">
      <c r="A99" s="4">
        <v>24.114999999999998</v>
      </c>
      <c r="B99" s="2" t="s">
        <v>19</v>
      </c>
      <c r="C99" s="6">
        <f t="shared" si="23"/>
        <v>0.86299999999999999</v>
      </c>
      <c r="D99" s="6">
        <f t="shared" si="40"/>
        <v>20.811245</v>
      </c>
      <c r="E99" s="2" t="s">
        <v>18</v>
      </c>
      <c r="F99" s="2">
        <f t="shared" si="41"/>
        <v>0.92599999999999993</v>
      </c>
      <c r="G99" s="6">
        <f t="shared" si="11"/>
        <v>19.271212869999999</v>
      </c>
      <c r="H99" s="6" t="s">
        <v>9</v>
      </c>
      <c r="I99" s="6">
        <f>8.1/100</f>
        <v>8.1000000000000003E-2</v>
      </c>
      <c r="J99" s="6">
        <f t="shared" si="42"/>
        <v>1.56096824247</v>
      </c>
      <c r="K99" s="2" t="s">
        <v>37</v>
      </c>
      <c r="L99" s="2">
        <f>14.5/100</f>
        <v>0.14499999999999999</v>
      </c>
      <c r="M99" s="2">
        <f t="shared" si="43"/>
        <v>2.7943258661499999</v>
      </c>
    </row>
    <row r="100" spans="1:13" x14ac:dyDescent="0.25">
      <c r="A100" s="4">
        <v>24.114999999999998</v>
      </c>
      <c r="B100" s="2" t="s">
        <v>19</v>
      </c>
      <c r="C100" s="6">
        <f t="shared" si="23"/>
        <v>0.86299999999999999</v>
      </c>
      <c r="D100" s="6">
        <f t="shared" si="40"/>
        <v>20.811245</v>
      </c>
      <c r="E100" s="2" t="s">
        <v>18</v>
      </c>
      <c r="F100" s="2">
        <f t="shared" si="41"/>
        <v>0.92599999999999993</v>
      </c>
      <c r="G100" s="6">
        <f t="shared" si="11"/>
        <v>19.271212869999999</v>
      </c>
      <c r="H100" s="6" t="s">
        <v>55</v>
      </c>
      <c r="I100" s="2">
        <f>1.9/100</f>
        <v>1.9E-2</v>
      </c>
      <c r="J100" s="6">
        <f t="shared" si="42"/>
        <v>0.36615304452999997</v>
      </c>
      <c r="K100" s="2" t="s">
        <v>38</v>
      </c>
      <c r="L100" s="2">
        <f>2.7/100</f>
        <v>2.7000000000000003E-2</v>
      </c>
      <c r="M100" s="2">
        <f t="shared" si="43"/>
        <v>0.52032274749000007</v>
      </c>
    </row>
    <row r="101" spans="1:13" x14ac:dyDescent="0.25">
      <c r="A101" s="4">
        <v>24.114999999999998</v>
      </c>
      <c r="B101" s="2" t="s">
        <v>19</v>
      </c>
      <c r="C101" s="6">
        <f t="shared" si="23"/>
        <v>0.86299999999999999</v>
      </c>
      <c r="D101" s="6">
        <f t="shared" si="40"/>
        <v>20.811245</v>
      </c>
      <c r="E101" s="2" t="s">
        <v>18</v>
      </c>
      <c r="F101" s="2">
        <f t="shared" si="41"/>
        <v>0.92599999999999993</v>
      </c>
      <c r="G101" s="6">
        <f t="shared" ref="G101" si="44">F101*D101</f>
        <v>19.271212869999999</v>
      </c>
      <c r="H101" s="2"/>
      <c r="I101" s="2"/>
      <c r="J101" s="2"/>
      <c r="K101" s="2" t="s">
        <v>39</v>
      </c>
      <c r="L101" s="2">
        <f>1.5/100</f>
        <v>1.4999999999999999E-2</v>
      </c>
      <c r="M101" s="2">
        <f t="shared" si="43"/>
        <v>0.28906819304999998</v>
      </c>
    </row>
    <row r="106" spans="1:13" x14ac:dyDescent="0.25">
      <c r="F106" s="15"/>
      <c r="H106" s="15"/>
    </row>
    <row r="107" spans="1:13" x14ac:dyDescent="0.25">
      <c r="F107" s="15"/>
      <c r="H107" s="15"/>
    </row>
    <row r="108" spans="1:13" x14ac:dyDescent="0.25">
      <c r="F108" s="15"/>
      <c r="H108" s="15"/>
    </row>
    <row r="109" spans="1:13" x14ac:dyDescent="0.25">
      <c r="F109" s="15"/>
      <c r="H109" s="15"/>
    </row>
    <row r="110" spans="1:13" x14ac:dyDescent="0.25">
      <c r="F110" s="15"/>
      <c r="H110" s="15"/>
    </row>
    <row r="111" spans="1:13" x14ac:dyDescent="0.25">
      <c r="F111" s="15"/>
      <c r="H111" s="15"/>
    </row>
    <row r="112" spans="1:13" x14ac:dyDescent="0.25">
      <c r="F112" s="15"/>
      <c r="H112" s="15"/>
    </row>
  </sheetData>
  <mergeCells count="1">
    <mergeCell ref="E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2:M99"/>
  <sheetViews>
    <sheetView topLeftCell="A73" zoomScale="98" zoomScaleNormal="98" workbookViewId="0">
      <selection activeCell="A4" sqref="A4:M99"/>
    </sheetView>
  </sheetViews>
  <sheetFormatPr defaultRowHeight="13.2" x14ac:dyDescent="0.25"/>
  <cols>
    <col min="5" max="5" width="18.21875" customWidth="1"/>
  </cols>
  <sheetData>
    <row r="2" spans="1:13" x14ac:dyDescent="0.25">
      <c r="A2" s="3"/>
      <c r="B2" s="3"/>
      <c r="C2" s="3"/>
      <c r="D2" s="3"/>
      <c r="E2" s="21" t="s">
        <v>42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26.11</v>
      </c>
      <c r="B4" s="4" t="s">
        <v>2</v>
      </c>
      <c r="C4" s="5">
        <f t="shared" ref="C4:C51" si="0">14.6/100</f>
        <v>0.14599999999999999</v>
      </c>
      <c r="D4" s="6">
        <f>C4*A4</f>
        <v>3.8120599999999998</v>
      </c>
      <c r="E4" s="6" t="s">
        <v>14</v>
      </c>
      <c r="F4" s="5">
        <f>18.4/100</f>
        <v>0.184</v>
      </c>
      <c r="G4" s="5">
        <f>D4*F4</f>
        <v>0.70141903999999999</v>
      </c>
      <c r="H4" s="6" t="s">
        <v>11</v>
      </c>
      <c r="I4" s="6">
        <f>10.2/100</f>
        <v>0.10199999999999999</v>
      </c>
      <c r="J4" s="7">
        <f>I4*G4</f>
        <v>7.1544742080000001E-2</v>
      </c>
      <c r="K4" s="2" t="s">
        <v>32</v>
      </c>
      <c r="L4" s="2">
        <f>2/100</f>
        <v>0.02</v>
      </c>
      <c r="M4" s="2">
        <f>L4*G4</f>
        <v>1.40283808E-2</v>
      </c>
    </row>
    <row r="5" spans="1:13" x14ac:dyDescent="0.25">
      <c r="A5" s="4">
        <v>26.11</v>
      </c>
      <c r="B5" s="4" t="s">
        <v>2</v>
      </c>
      <c r="C5" s="5">
        <f t="shared" si="0"/>
        <v>0.14599999999999999</v>
      </c>
      <c r="D5" s="6">
        <f>C5*A5</f>
        <v>3.8120599999999998</v>
      </c>
      <c r="E5" s="6" t="s">
        <v>43</v>
      </c>
      <c r="F5" s="5">
        <f t="shared" ref="F5:F11" si="1">18.4/100</f>
        <v>0.184</v>
      </c>
      <c r="G5" s="5">
        <f>D5*F5</f>
        <v>0.70141903999999999</v>
      </c>
      <c r="H5" s="6" t="s">
        <v>12</v>
      </c>
      <c r="I5" s="6">
        <f>1.5/100</f>
        <v>1.4999999999999999E-2</v>
      </c>
      <c r="J5" s="8">
        <f t="shared" ref="J5:J10" si="2">G5*I5</f>
        <v>1.0521285599999999E-2</v>
      </c>
      <c r="K5" s="2" t="s">
        <v>33</v>
      </c>
      <c r="L5" s="2">
        <f>8.2/100</f>
        <v>8.199999999999999E-2</v>
      </c>
      <c r="M5" s="2">
        <f t="shared" ref="M5:M11" si="3">L5*G5</f>
        <v>5.751636127999999E-2</v>
      </c>
    </row>
    <row r="6" spans="1:13" x14ac:dyDescent="0.25">
      <c r="A6" s="4">
        <v>26.11</v>
      </c>
      <c r="B6" s="4" t="s">
        <v>2</v>
      </c>
      <c r="C6" s="5">
        <f t="shared" si="0"/>
        <v>0.14599999999999999</v>
      </c>
      <c r="D6" s="6">
        <f t="shared" ref="D6:D92" si="4">C6*A6</f>
        <v>3.8120599999999998</v>
      </c>
      <c r="E6" s="6" t="s">
        <v>14</v>
      </c>
      <c r="F6" s="5">
        <f t="shared" si="1"/>
        <v>0.184</v>
      </c>
      <c r="G6" s="5">
        <f t="shared" ref="G6:G11" si="5">D6*F6</f>
        <v>0.70141903999999999</v>
      </c>
      <c r="H6" s="6" t="s">
        <v>7</v>
      </c>
      <c r="I6" s="14">
        <f>6.1/100</f>
        <v>6.0999999999999999E-2</v>
      </c>
      <c r="J6" s="8">
        <f t="shared" si="2"/>
        <v>4.2786561439999996E-2</v>
      </c>
      <c r="K6" s="2" t="s">
        <v>34</v>
      </c>
      <c r="L6" s="2">
        <f>11.8/100</f>
        <v>0.11800000000000001</v>
      </c>
      <c r="M6" s="2">
        <f t="shared" si="3"/>
        <v>8.2767446719999999E-2</v>
      </c>
    </row>
    <row r="7" spans="1:13" x14ac:dyDescent="0.25">
      <c r="A7" s="4">
        <v>26.11</v>
      </c>
      <c r="B7" s="4" t="s">
        <v>2</v>
      </c>
      <c r="C7" s="5">
        <f t="shared" si="0"/>
        <v>0.14599999999999999</v>
      </c>
      <c r="D7" s="6">
        <f t="shared" si="4"/>
        <v>3.8120599999999998</v>
      </c>
      <c r="E7" s="6" t="s">
        <v>14</v>
      </c>
      <c r="F7" s="5">
        <f t="shared" si="1"/>
        <v>0.184</v>
      </c>
      <c r="G7" s="5">
        <f t="shared" si="5"/>
        <v>0.70141903999999999</v>
      </c>
      <c r="H7" s="6" t="s">
        <v>8</v>
      </c>
      <c r="I7" s="6">
        <f>29.2/100</f>
        <v>0.29199999999999998</v>
      </c>
      <c r="J7" s="8">
        <f t="shared" si="2"/>
        <v>0.20481435967999997</v>
      </c>
      <c r="K7" s="2" t="s">
        <v>35</v>
      </c>
      <c r="L7" s="2">
        <f>28.4/100</f>
        <v>0.28399999999999997</v>
      </c>
      <c r="M7" s="2">
        <f t="shared" si="3"/>
        <v>0.19920300735999999</v>
      </c>
    </row>
    <row r="8" spans="1:13" x14ac:dyDescent="0.25">
      <c r="A8" s="4">
        <v>26.11</v>
      </c>
      <c r="B8" s="4" t="s">
        <v>2</v>
      </c>
      <c r="C8" s="5">
        <f t="shared" si="0"/>
        <v>0.14599999999999999</v>
      </c>
      <c r="D8" s="6">
        <f t="shared" si="4"/>
        <v>3.8120599999999998</v>
      </c>
      <c r="E8" s="6" t="s">
        <v>14</v>
      </c>
      <c r="F8" s="5">
        <f t="shared" si="1"/>
        <v>0.184</v>
      </c>
      <c r="G8" s="5">
        <f t="shared" si="5"/>
        <v>0.70141903999999999</v>
      </c>
      <c r="H8" s="6" t="s">
        <v>10</v>
      </c>
      <c r="I8" s="6">
        <f>6.9/100</f>
        <v>6.9000000000000006E-2</v>
      </c>
      <c r="J8" s="8">
        <f t="shared" si="2"/>
        <v>4.8397913760000001E-2</v>
      </c>
      <c r="K8" s="2" t="s">
        <v>36</v>
      </c>
      <c r="L8" s="2">
        <f>24.7/100</f>
        <v>0.247</v>
      </c>
      <c r="M8" s="2">
        <f t="shared" si="3"/>
        <v>0.17325050287999999</v>
      </c>
    </row>
    <row r="9" spans="1:13" x14ac:dyDescent="0.25">
      <c r="A9" s="4">
        <v>26.11</v>
      </c>
      <c r="B9" s="4" t="s">
        <v>2</v>
      </c>
      <c r="C9" s="5">
        <f t="shared" si="0"/>
        <v>0.14599999999999999</v>
      </c>
      <c r="D9" s="6">
        <f>C9*A9</f>
        <v>3.8120599999999998</v>
      </c>
      <c r="E9" s="6" t="s">
        <v>14</v>
      </c>
      <c r="F9" s="5">
        <f t="shared" si="1"/>
        <v>0.184</v>
      </c>
      <c r="G9" s="5">
        <f t="shared" si="5"/>
        <v>0.70141903999999999</v>
      </c>
      <c r="H9" s="6" t="s">
        <v>9</v>
      </c>
      <c r="I9" s="6">
        <f>44.9/100</f>
        <v>0.44900000000000001</v>
      </c>
      <c r="J9" s="8">
        <f t="shared" si="2"/>
        <v>0.31493714896000002</v>
      </c>
      <c r="K9" s="2" t="s">
        <v>37</v>
      </c>
      <c r="L9" s="2">
        <f>23.3/100</f>
        <v>0.23300000000000001</v>
      </c>
      <c r="M9" s="2">
        <f t="shared" si="3"/>
        <v>0.16343063632000002</v>
      </c>
    </row>
    <row r="10" spans="1:13" x14ac:dyDescent="0.25">
      <c r="A10" s="4">
        <v>26.11</v>
      </c>
      <c r="B10" s="4" t="s">
        <v>2</v>
      </c>
      <c r="C10" s="5">
        <f t="shared" si="0"/>
        <v>0.14599999999999999</v>
      </c>
      <c r="D10" s="6">
        <f t="shared" si="4"/>
        <v>3.8120599999999998</v>
      </c>
      <c r="E10" s="6" t="s">
        <v>14</v>
      </c>
      <c r="F10" s="5">
        <f t="shared" si="1"/>
        <v>0.184</v>
      </c>
      <c r="G10" s="5">
        <f t="shared" si="5"/>
        <v>0.70141903999999999</v>
      </c>
      <c r="H10" s="6" t="s">
        <v>55</v>
      </c>
      <c r="I10" s="6">
        <f>1.1/100</f>
        <v>1.1000000000000001E-2</v>
      </c>
      <c r="J10" s="8">
        <f t="shared" si="2"/>
        <v>7.7156094400000009E-3</v>
      </c>
      <c r="K10" s="2" t="s">
        <v>38</v>
      </c>
      <c r="L10" s="2">
        <f>1/100</f>
        <v>0.01</v>
      </c>
      <c r="M10" s="2">
        <f t="shared" si="3"/>
        <v>7.0141904000000001E-3</v>
      </c>
    </row>
    <row r="11" spans="1:13" x14ac:dyDescent="0.25">
      <c r="A11" s="4">
        <v>26.11</v>
      </c>
      <c r="B11" s="4" t="s">
        <v>2</v>
      </c>
      <c r="C11" s="5">
        <f t="shared" si="0"/>
        <v>0.14599999999999999</v>
      </c>
      <c r="D11" s="6">
        <f t="shared" si="4"/>
        <v>3.8120599999999998</v>
      </c>
      <c r="E11" s="6" t="s">
        <v>14</v>
      </c>
      <c r="F11" s="5">
        <f t="shared" si="1"/>
        <v>0.184</v>
      </c>
      <c r="G11" s="5">
        <f t="shared" si="5"/>
        <v>0.70141903999999999</v>
      </c>
      <c r="H11" s="6"/>
      <c r="I11" s="6"/>
      <c r="J11" s="8"/>
      <c r="K11" s="2" t="s">
        <v>39</v>
      </c>
      <c r="L11" s="2">
        <f>0.6/100</f>
        <v>6.0000000000000001E-3</v>
      </c>
      <c r="M11" s="2">
        <f t="shared" si="3"/>
        <v>4.2085142399999999E-3</v>
      </c>
    </row>
    <row r="12" spans="1:13" x14ac:dyDescent="0.25">
      <c r="A12" s="4">
        <v>26.11</v>
      </c>
      <c r="B12" s="4" t="s">
        <v>2</v>
      </c>
      <c r="C12" s="5">
        <f t="shared" si="0"/>
        <v>0.14599999999999999</v>
      </c>
      <c r="D12" s="6">
        <f t="shared" si="4"/>
        <v>3.8120599999999998</v>
      </c>
      <c r="E12" s="6" t="s">
        <v>44</v>
      </c>
      <c r="F12" s="8">
        <f>16.4/100</f>
        <v>0.16399999999999998</v>
      </c>
      <c r="G12" s="6">
        <f>F12*D12</f>
        <v>0.62517783999999987</v>
      </c>
      <c r="H12" s="6" t="s">
        <v>11</v>
      </c>
      <c r="I12" s="6">
        <f>0/100</f>
        <v>0</v>
      </c>
      <c r="J12" s="8">
        <f>I12*G12</f>
        <v>0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26.11</v>
      </c>
      <c r="B13" s="4" t="s">
        <v>2</v>
      </c>
      <c r="C13" s="5">
        <f t="shared" si="0"/>
        <v>0.14599999999999999</v>
      </c>
      <c r="D13" s="6">
        <f t="shared" si="4"/>
        <v>3.8120599999999998</v>
      </c>
      <c r="E13" s="6" t="s">
        <v>15</v>
      </c>
      <c r="F13" s="8">
        <f t="shared" ref="F13:F19" si="6">16.4/100</f>
        <v>0.16399999999999998</v>
      </c>
      <c r="G13" s="6">
        <f t="shared" ref="G13:G19" si="7">F13*D13</f>
        <v>0.62517783999999987</v>
      </c>
      <c r="H13" s="6" t="s">
        <v>12</v>
      </c>
      <c r="I13" s="6">
        <f>0/100</f>
        <v>0</v>
      </c>
      <c r="J13" s="8">
        <f t="shared" ref="J13:J17" si="8">I13*G13</f>
        <v>0</v>
      </c>
      <c r="K13" s="2" t="s">
        <v>33</v>
      </c>
      <c r="L13" s="2">
        <f>16.4/100</f>
        <v>0.16399999999999998</v>
      </c>
      <c r="M13" s="2">
        <f t="shared" ref="M13:M19" si="9">L13*G13</f>
        <v>0.10252916575999997</v>
      </c>
    </row>
    <row r="14" spans="1:13" x14ac:dyDescent="0.25">
      <c r="A14" s="4">
        <v>26.11</v>
      </c>
      <c r="B14" s="4" t="s">
        <v>2</v>
      </c>
      <c r="C14" s="5">
        <f t="shared" si="0"/>
        <v>0.14599999999999999</v>
      </c>
      <c r="D14" s="6">
        <f t="shared" si="4"/>
        <v>3.8120599999999998</v>
      </c>
      <c r="E14" s="6" t="s">
        <v>15</v>
      </c>
      <c r="F14" s="8">
        <f t="shared" si="6"/>
        <v>0.16399999999999998</v>
      </c>
      <c r="G14" s="6">
        <f t="shared" si="7"/>
        <v>0.62517783999999987</v>
      </c>
      <c r="H14" s="6" t="s">
        <v>7</v>
      </c>
      <c r="I14" s="6">
        <f>3/100</f>
        <v>0.03</v>
      </c>
      <c r="J14" s="8">
        <f t="shared" si="8"/>
        <v>1.8755335199999997E-2</v>
      </c>
      <c r="K14" s="2" t="s">
        <v>34</v>
      </c>
      <c r="L14" s="2">
        <f>21.3/100</f>
        <v>0.21299999999999999</v>
      </c>
      <c r="M14" s="2">
        <f t="shared" si="9"/>
        <v>0.13316287991999998</v>
      </c>
    </row>
    <row r="15" spans="1:13" x14ac:dyDescent="0.25">
      <c r="A15" s="4">
        <v>26.11</v>
      </c>
      <c r="B15" s="4" t="s">
        <v>2</v>
      </c>
      <c r="C15" s="5">
        <f t="shared" si="0"/>
        <v>0.14599999999999999</v>
      </c>
      <c r="D15" s="6">
        <f t="shared" si="4"/>
        <v>3.8120599999999998</v>
      </c>
      <c r="E15" s="6" t="s">
        <v>15</v>
      </c>
      <c r="F15" s="8">
        <f t="shared" si="6"/>
        <v>0.16399999999999998</v>
      </c>
      <c r="G15" s="6">
        <f t="shared" si="7"/>
        <v>0.62517783999999987</v>
      </c>
      <c r="H15" s="6" t="s">
        <v>8</v>
      </c>
      <c r="I15" s="6">
        <f>27.4/100</f>
        <v>0.27399999999999997</v>
      </c>
      <c r="J15" s="8">
        <f>I15*G15</f>
        <v>0.17129872815999994</v>
      </c>
      <c r="K15" s="2" t="s">
        <v>35</v>
      </c>
      <c r="L15" s="2">
        <f>19.6/100</f>
        <v>0.19600000000000001</v>
      </c>
      <c r="M15" s="2">
        <f t="shared" si="9"/>
        <v>0.12253485663999998</v>
      </c>
    </row>
    <row r="16" spans="1:13" x14ac:dyDescent="0.25">
      <c r="A16" s="4">
        <v>26.11</v>
      </c>
      <c r="B16" s="4" t="s">
        <v>2</v>
      </c>
      <c r="C16" s="5">
        <f t="shared" si="0"/>
        <v>0.14599999999999999</v>
      </c>
      <c r="D16" s="6">
        <f t="shared" si="4"/>
        <v>3.8120599999999998</v>
      </c>
      <c r="E16" s="6" t="s">
        <v>15</v>
      </c>
      <c r="F16" s="8">
        <f t="shared" si="6"/>
        <v>0.16399999999999998</v>
      </c>
      <c r="G16" s="6">
        <f t="shared" si="7"/>
        <v>0.62517783999999987</v>
      </c>
      <c r="H16" s="6" t="s">
        <v>10</v>
      </c>
      <c r="I16" s="6">
        <f>15.6/100</f>
        <v>0.156</v>
      </c>
      <c r="J16" s="8">
        <f t="shared" si="8"/>
        <v>9.7527743039999976E-2</v>
      </c>
      <c r="K16" s="2" t="s">
        <v>36</v>
      </c>
      <c r="L16" s="2">
        <f>18.8/100</f>
        <v>0.188</v>
      </c>
      <c r="M16" s="2">
        <f t="shared" si="9"/>
        <v>0.11753343391999997</v>
      </c>
    </row>
    <row r="17" spans="1:13" x14ac:dyDescent="0.25">
      <c r="A17" s="4">
        <v>26.11</v>
      </c>
      <c r="B17" s="4" t="s">
        <v>2</v>
      </c>
      <c r="C17" s="5">
        <f t="shared" si="0"/>
        <v>0.14599999999999999</v>
      </c>
      <c r="D17" s="6">
        <f t="shared" si="4"/>
        <v>3.8120599999999998</v>
      </c>
      <c r="E17" s="6" t="s">
        <v>15</v>
      </c>
      <c r="F17" s="8">
        <f t="shared" si="6"/>
        <v>0.16399999999999998</v>
      </c>
      <c r="G17" s="6">
        <f t="shared" si="7"/>
        <v>0.62517783999999987</v>
      </c>
      <c r="H17" s="6" t="s">
        <v>9</v>
      </c>
      <c r="I17" s="6">
        <f>52.3/100</f>
        <v>0.52300000000000002</v>
      </c>
      <c r="J17" s="8">
        <f t="shared" si="8"/>
        <v>0.32696801031999995</v>
      </c>
      <c r="K17" s="2" t="s">
        <v>37</v>
      </c>
      <c r="L17" s="2">
        <f>24/100</f>
        <v>0.24</v>
      </c>
      <c r="M17" s="2">
        <f t="shared" si="9"/>
        <v>0.15004268159999998</v>
      </c>
    </row>
    <row r="18" spans="1:13" x14ac:dyDescent="0.25">
      <c r="A18" s="4">
        <v>26.11</v>
      </c>
      <c r="B18" s="4" t="s">
        <v>2</v>
      </c>
      <c r="C18" s="5">
        <f t="shared" si="0"/>
        <v>0.14599999999999999</v>
      </c>
      <c r="D18" s="6">
        <f t="shared" si="4"/>
        <v>3.8120599999999998</v>
      </c>
      <c r="E18" s="6" t="s">
        <v>15</v>
      </c>
      <c r="F18" s="8">
        <f t="shared" si="6"/>
        <v>0.16399999999999998</v>
      </c>
      <c r="G18" s="6">
        <f t="shared" si="7"/>
        <v>0.62517783999999987</v>
      </c>
      <c r="H18" s="6" t="s">
        <v>55</v>
      </c>
      <c r="I18" s="6">
        <f>1.8/100</f>
        <v>1.8000000000000002E-2</v>
      </c>
      <c r="J18" s="8">
        <f>I18*G18</f>
        <v>1.1253201119999999E-2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26.11</v>
      </c>
      <c r="B19" s="4" t="s">
        <v>2</v>
      </c>
      <c r="C19" s="5">
        <f t="shared" si="0"/>
        <v>0.14599999999999999</v>
      </c>
      <c r="D19" s="6">
        <f t="shared" si="4"/>
        <v>3.8120599999999998</v>
      </c>
      <c r="E19" s="6" t="s">
        <v>15</v>
      </c>
      <c r="F19" s="8">
        <f t="shared" si="6"/>
        <v>0.16399999999999998</v>
      </c>
      <c r="G19" s="6">
        <f t="shared" si="7"/>
        <v>0.62517783999999987</v>
      </c>
      <c r="H19" s="6"/>
      <c r="I19" s="6"/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26.11</v>
      </c>
      <c r="B20" s="4" t="s">
        <v>2</v>
      </c>
      <c r="C20" s="5">
        <f t="shared" si="0"/>
        <v>0.14599999999999999</v>
      </c>
      <c r="D20" s="6">
        <f t="shared" si="4"/>
        <v>3.8120599999999998</v>
      </c>
      <c r="E20" s="6" t="s">
        <v>45</v>
      </c>
      <c r="F20" s="6">
        <f>16/100</f>
        <v>0.16</v>
      </c>
      <c r="G20" s="6">
        <f>F20*D20</f>
        <v>0.60992959999999996</v>
      </c>
      <c r="H20" s="6" t="s">
        <v>11</v>
      </c>
      <c r="I20" s="6">
        <f>9.5/100</f>
        <v>9.5000000000000001E-2</v>
      </c>
      <c r="J20" s="6">
        <f>I20*G20</f>
        <v>5.7943311999999997E-2</v>
      </c>
      <c r="K20" s="2" t="s">
        <v>32</v>
      </c>
      <c r="L20" s="2">
        <f>1.5/100</f>
        <v>1.4999999999999999E-2</v>
      </c>
      <c r="M20" s="2">
        <f>L20*G20</f>
        <v>9.1489439999999991E-3</v>
      </c>
    </row>
    <row r="21" spans="1:13" x14ac:dyDescent="0.25">
      <c r="A21" s="4">
        <v>26.11</v>
      </c>
      <c r="B21" s="4" t="s">
        <v>2</v>
      </c>
      <c r="C21" s="5">
        <f t="shared" si="0"/>
        <v>0.14599999999999999</v>
      </c>
      <c r="D21" s="6">
        <f t="shared" si="4"/>
        <v>3.8120599999999998</v>
      </c>
      <c r="E21" s="6" t="s">
        <v>16</v>
      </c>
      <c r="F21" s="6">
        <f t="shared" ref="F21:F27" si="10">16/100</f>
        <v>0.16</v>
      </c>
      <c r="G21" s="6">
        <f t="shared" ref="G21:G98" si="11">F21*D21</f>
        <v>0.60992959999999996</v>
      </c>
      <c r="H21" s="6" t="s">
        <v>12</v>
      </c>
      <c r="I21" s="6">
        <f>1.8/100</f>
        <v>1.8000000000000002E-2</v>
      </c>
      <c r="J21" s="6">
        <f t="shared" ref="J21:J26" si="12">I21*G21</f>
        <v>1.09787328E-2</v>
      </c>
      <c r="K21" s="2" t="s">
        <v>33</v>
      </c>
      <c r="L21" s="2">
        <f>9.2/100</f>
        <v>9.1999999999999998E-2</v>
      </c>
      <c r="M21" s="2">
        <f t="shared" ref="M21:M27" si="13">L21*G21</f>
        <v>5.6113523199999994E-2</v>
      </c>
    </row>
    <row r="22" spans="1:13" x14ac:dyDescent="0.25">
      <c r="A22" s="4">
        <v>26.11</v>
      </c>
      <c r="B22" s="4" t="s">
        <v>2</v>
      </c>
      <c r="C22" s="5">
        <f t="shared" si="0"/>
        <v>0.14599999999999999</v>
      </c>
      <c r="D22" s="6">
        <f t="shared" si="4"/>
        <v>3.8120599999999998</v>
      </c>
      <c r="E22" s="6" t="s">
        <v>16</v>
      </c>
      <c r="F22" s="6">
        <f t="shared" si="10"/>
        <v>0.16</v>
      </c>
      <c r="G22" s="6">
        <f t="shared" si="11"/>
        <v>0.60992959999999996</v>
      </c>
      <c r="H22" s="6" t="s">
        <v>7</v>
      </c>
      <c r="I22" s="6">
        <f>5.9/100</f>
        <v>5.9000000000000004E-2</v>
      </c>
      <c r="J22" s="6">
        <f t="shared" si="12"/>
        <v>3.59858464E-2</v>
      </c>
      <c r="K22" s="2" t="s">
        <v>34</v>
      </c>
      <c r="L22" s="2">
        <f>17.1/100</f>
        <v>0.17100000000000001</v>
      </c>
      <c r="M22" s="2">
        <f t="shared" si="13"/>
        <v>0.1042979616</v>
      </c>
    </row>
    <row r="23" spans="1:13" x14ac:dyDescent="0.25">
      <c r="A23" s="4">
        <v>26.11</v>
      </c>
      <c r="B23" s="4" t="s">
        <v>2</v>
      </c>
      <c r="C23" s="5">
        <f t="shared" si="0"/>
        <v>0.14599999999999999</v>
      </c>
      <c r="D23" s="6">
        <f t="shared" si="4"/>
        <v>3.8120599999999998</v>
      </c>
      <c r="E23" s="6" t="s">
        <v>16</v>
      </c>
      <c r="F23" s="6">
        <f t="shared" si="10"/>
        <v>0.16</v>
      </c>
      <c r="G23" s="6">
        <f t="shared" si="11"/>
        <v>0.60992959999999996</v>
      </c>
      <c r="H23" s="6" t="s">
        <v>8</v>
      </c>
      <c r="I23" s="6">
        <f>23.5/100</f>
        <v>0.23499999999999999</v>
      </c>
      <c r="J23" s="6">
        <f t="shared" si="12"/>
        <v>0.14333345599999997</v>
      </c>
      <c r="K23" s="2" t="s">
        <v>35</v>
      </c>
      <c r="L23" s="2">
        <f>24.7/100</f>
        <v>0.247</v>
      </c>
      <c r="M23" s="2">
        <f t="shared" si="13"/>
        <v>0.15065261119999998</v>
      </c>
    </row>
    <row r="24" spans="1:13" x14ac:dyDescent="0.25">
      <c r="A24" s="4">
        <v>26.11</v>
      </c>
      <c r="B24" s="4" t="s">
        <v>2</v>
      </c>
      <c r="C24" s="5">
        <f t="shared" si="0"/>
        <v>0.14599999999999999</v>
      </c>
      <c r="D24" s="6">
        <f t="shared" si="4"/>
        <v>3.8120599999999998</v>
      </c>
      <c r="E24" s="6" t="s">
        <v>16</v>
      </c>
      <c r="F24" s="6">
        <f t="shared" si="10"/>
        <v>0.16</v>
      </c>
      <c r="G24" s="6">
        <f t="shared" si="11"/>
        <v>0.60992959999999996</v>
      </c>
      <c r="H24" s="6" t="s">
        <v>10</v>
      </c>
      <c r="I24" s="6">
        <f>6.1/100</f>
        <v>6.0999999999999999E-2</v>
      </c>
      <c r="J24" s="6">
        <f t="shared" si="12"/>
        <v>3.72057056E-2</v>
      </c>
      <c r="K24" s="2" t="s">
        <v>36</v>
      </c>
      <c r="L24" s="2">
        <f>26.4/100</f>
        <v>0.26400000000000001</v>
      </c>
      <c r="M24" s="2">
        <f t="shared" si="13"/>
        <v>0.16102141440000001</v>
      </c>
    </row>
    <row r="25" spans="1:13" x14ac:dyDescent="0.25">
      <c r="A25" s="4">
        <v>26.11</v>
      </c>
      <c r="B25" s="4" t="s">
        <v>2</v>
      </c>
      <c r="C25" s="5">
        <f t="shared" si="0"/>
        <v>0.14599999999999999</v>
      </c>
      <c r="D25" s="6">
        <f t="shared" si="4"/>
        <v>3.8120599999999998</v>
      </c>
      <c r="E25" s="6" t="s">
        <v>16</v>
      </c>
      <c r="F25" s="6">
        <f t="shared" si="10"/>
        <v>0.16</v>
      </c>
      <c r="G25" s="6">
        <f t="shared" si="11"/>
        <v>0.60992959999999996</v>
      </c>
      <c r="H25" s="6" t="s">
        <v>9</v>
      </c>
      <c r="I25" s="6">
        <f>52.2/100</f>
        <v>0.52200000000000002</v>
      </c>
      <c r="J25" s="6">
        <f t="shared" si="12"/>
        <v>0.31838325119999999</v>
      </c>
      <c r="K25" s="2" t="s">
        <v>37</v>
      </c>
      <c r="L25" s="2">
        <f>18.9/100</f>
        <v>0.18899999999999997</v>
      </c>
      <c r="M25" s="2">
        <f t="shared" si="13"/>
        <v>0.11527669439999998</v>
      </c>
    </row>
    <row r="26" spans="1:13" x14ac:dyDescent="0.25">
      <c r="A26" s="4">
        <v>26.11</v>
      </c>
      <c r="B26" s="4" t="s">
        <v>2</v>
      </c>
      <c r="C26" s="5">
        <f t="shared" si="0"/>
        <v>0.14599999999999999</v>
      </c>
      <c r="D26" s="6">
        <f t="shared" si="4"/>
        <v>3.8120599999999998</v>
      </c>
      <c r="E26" s="6" t="s">
        <v>16</v>
      </c>
      <c r="F26" s="6">
        <f t="shared" si="10"/>
        <v>0.16</v>
      </c>
      <c r="G26" s="6">
        <f t="shared" si="11"/>
        <v>0.60992959999999996</v>
      </c>
      <c r="H26" s="6" t="s">
        <v>55</v>
      </c>
      <c r="I26" s="6">
        <f>1/100</f>
        <v>0.01</v>
      </c>
      <c r="J26" s="6">
        <f t="shared" si="12"/>
        <v>6.0992959999999997E-3</v>
      </c>
      <c r="K26" s="2" t="s">
        <v>38</v>
      </c>
      <c r="L26" s="2">
        <f>1.8/100</f>
        <v>1.8000000000000002E-2</v>
      </c>
      <c r="M26" s="2">
        <f t="shared" si="13"/>
        <v>1.09787328E-2</v>
      </c>
    </row>
    <row r="27" spans="1:13" x14ac:dyDescent="0.25">
      <c r="A27" s="4">
        <v>26.11</v>
      </c>
      <c r="B27" s="4" t="s">
        <v>2</v>
      </c>
      <c r="C27" s="5">
        <f t="shared" si="0"/>
        <v>0.14599999999999999</v>
      </c>
      <c r="D27" s="6">
        <f t="shared" si="4"/>
        <v>3.8120599999999998</v>
      </c>
      <c r="E27" s="6" t="s">
        <v>16</v>
      </c>
      <c r="F27" s="6">
        <f t="shared" si="10"/>
        <v>0.16</v>
      </c>
      <c r="G27" s="6">
        <f t="shared" si="11"/>
        <v>0.60992959999999996</v>
      </c>
      <c r="H27" s="6"/>
      <c r="I27" s="6"/>
      <c r="J27" s="6"/>
      <c r="K27" s="2" t="s">
        <v>39</v>
      </c>
      <c r="L27" s="2">
        <f>0.4/100</f>
        <v>4.0000000000000001E-3</v>
      </c>
      <c r="M27" s="2">
        <f t="shared" si="13"/>
        <v>2.4397183999999997E-3</v>
      </c>
    </row>
    <row r="28" spans="1:13" x14ac:dyDescent="0.25">
      <c r="A28" s="4">
        <v>26.11</v>
      </c>
      <c r="B28" s="4" t="s">
        <v>2</v>
      </c>
      <c r="C28" s="5">
        <f t="shared" si="0"/>
        <v>0.14599999999999999</v>
      </c>
      <c r="D28" s="6">
        <f t="shared" si="4"/>
        <v>3.8120599999999998</v>
      </c>
      <c r="E28" s="6" t="s">
        <v>46</v>
      </c>
      <c r="F28" s="8">
        <f>15.2/100</f>
        <v>0.152</v>
      </c>
      <c r="G28" s="6">
        <f t="shared" si="11"/>
        <v>0.57943311999999991</v>
      </c>
      <c r="H28" s="6" t="s">
        <v>11</v>
      </c>
      <c r="I28" s="8">
        <f>24.5/100</f>
        <v>0.245</v>
      </c>
      <c r="J28" s="8">
        <f>I28*G28</f>
        <v>0.14196111439999998</v>
      </c>
      <c r="K28" s="2" t="s">
        <v>32</v>
      </c>
      <c r="L28" s="2">
        <f>1.9/100</f>
        <v>1.9E-2</v>
      </c>
      <c r="M28" s="2">
        <f>L28*G28</f>
        <v>1.1009229279999998E-2</v>
      </c>
    </row>
    <row r="29" spans="1:13" x14ac:dyDescent="0.25">
      <c r="A29" s="4">
        <v>26.11</v>
      </c>
      <c r="B29" s="4" t="s">
        <v>2</v>
      </c>
      <c r="C29" s="5">
        <f t="shared" si="0"/>
        <v>0.14599999999999999</v>
      </c>
      <c r="D29" s="6">
        <f t="shared" si="4"/>
        <v>3.8120599999999998</v>
      </c>
      <c r="E29" s="6" t="s">
        <v>13</v>
      </c>
      <c r="F29" s="8">
        <f t="shared" ref="F29:F35" si="14">15.2/100</f>
        <v>0.152</v>
      </c>
      <c r="G29" s="6">
        <f t="shared" si="11"/>
        <v>0.57943311999999991</v>
      </c>
      <c r="H29" s="6" t="s">
        <v>12</v>
      </c>
      <c r="I29" s="8">
        <f>4.3/100</f>
        <v>4.2999999999999997E-2</v>
      </c>
      <c r="J29" s="8">
        <f t="shared" ref="J29:J34" si="15">I29*G29</f>
        <v>2.4915624159999993E-2</v>
      </c>
      <c r="K29" s="2" t="s">
        <v>33</v>
      </c>
      <c r="L29" s="2">
        <f>8.7/100</f>
        <v>8.6999999999999994E-2</v>
      </c>
      <c r="M29" s="2">
        <f t="shared" ref="M29:M31" si="16">L29*G29</f>
        <v>5.0410681439999987E-2</v>
      </c>
    </row>
    <row r="30" spans="1:13" x14ac:dyDescent="0.25">
      <c r="A30" s="4">
        <v>26.11</v>
      </c>
      <c r="B30" s="4" t="s">
        <v>2</v>
      </c>
      <c r="C30" s="5">
        <f t="shared" si="0"/>
        <v>0.14599999999999999</v>
      </c>
      <c r="D30" s="6">
        <f t="shared" si="4"/>
        <v>3.8120599999999998</v>
      </c>
      <c r="E30" s="6" t="s">
        <v>13</v>
      </c>
      <c r="F30" s="8">
        <f t="shared" si="14"/>
        <v>0.152</v>
      </c>
      <c r="G30" s="6">
        <f t="shared" si="11"/>
        <v>0.57943311999999991</v>
      </c>
      <c r="H30" s="6" t="s">
        <v>7</v>
      </c>
      <c r="I30" s="8">
        <f>9.5/100</f>
        <v>9.5000000000000001E-2</v>
      </c>
      <c r="J30" s="8">
        <f t="shared" si="15"/>
        <v>5.5046146399999996E-2</v>
      </c>
      <c r="K30" s="2" t="s">
        <v>34</v>
      </c>
      <c r="L30" s="2">
        <f>13.3/100</f>
        <v>0.13300000000000001</v>
      </c>
      <c r="M30" s="2">
        <f t="shared" si="16"/>
        <v>7.7064604959999991E-2</v>
      </c>
    </row>
    <row r="31" spans="1:13" x14ac:dyDescent="0.25">
      <c r="A31" s="4">
        <v>26.11</v>
      </c>
      <c r="B31" s="4" t="s">
        <v>2</v>
      </c>
      <c r="C31" s="5">
        <f t="shared" si="0"/>
        <v>0.14599999999999999</v>
      </c>
      <c r="D31" s="6">
        <f t="shared" si="4"/>
        <v>3.8120599999999998</v>
      </c>
      <c r="E31" s="6" t="s">
        <v>13</v>
      </c>
      <c r="F31" s="8">
        <f t="shared" si="14"/>
        <v>0.152</v>
      </c>
      <c r="G31" s="6">
        <f t="shared" si="11"/>
        <v>0.57943311999999991</v>
      </c>
      <c r="H31" s="6" t="s">
        <v>8</v>
      </c>
      <c r="I31" s="8">
        <f>30.4/100</f>
        <v>0.30399999999999999</v>
      </c>
      <c r="J31" s="8">
        <f t="shared" si="15"/>
        <v>0.17614766847999996</v>
      </c>
      <c r="K31" s="2" t="s">
        <v>35</v>
      </c>
      <c r="L31" s="2">
        <f>27.6/100</f>
        <v>0.27600000000000002</v>
      </c>
      <c r="M31" s="2">
        <f t="shared" si="16"/>
        <v>0.15992354111999998</v>
      </c>
    </row>
    <row r="32" spans="1:13" x14ac:dyDescent="0.25">
      <c r="A32" s="4">
        <v>26.11</v>
      </c>
      <c r="B32" s="4" t="s">
        <v>2</v>
      </c>
      <c r="C32" s="5">
        <f t="shared" si="0"/>
        <v>0.14599999999999999</v>
      </c>
      <c r="D32" s="6">
        <f t="shared" si="4"/>
        <v>3.8120599999999998</v>
      </c>
      <c r="E32" s="6" t="s">
        <v>13</v>
      </c>
      <c r="F32" s="8">
        <f t="shared" si="14"/>
        <v>0.152</v>
      </c>
      <c r="G32" s="6">
        <f t="shared" si="11"/>
        <v>0.57943311999999991</v>
      </c>
      <c r="H32" s="6" t="s">
        <v>10</v>
      </c>
      <c r="I32" s="8">
        <f>5.1/100</f>
        <v>5.0999999999999997E-2</v>
      </c>
      <c r="J32" s="8">
        <f t="shared" si="15"/>
        <v>2.9551089119999995E-2</v>
      </c>
      <c r="K32" s="2" t="s">
        <v>36</v>
      </c>
      <c r="L32" s="2">
        <f>27.4/100</f>
        <v>0.27399999999999997</v>
      </c>
      <c r="M32" s="2" t="e">
        <f>#REF!*G32</f>
        <v>#REF!</v>
      </c>
    </row>
    <row r="33" spans="1:13" x14ac:dyDescent="0.25">
      <c r="A33" s="4">
        <v>26.11</v>
      </c>
      <c r="B33" s="4" t="s">
        <v>2</v>
      </c>
      <c r="C33" s="5">
        <f t="shared" si="0"/>
        <v>0.14599999999999999</v>
      </c>
      <c r="D33" s="6">
        <f t="shared" si="4"/>
        <v>3.8120599999999998</v>
      </c>
      <c r="E33" s="6" t="s">
        <v>13</v>
      </c>
      <c r="F33" s="8">
        <f t="shared" si="14"/>
        <v>0.152</v>
      </c>
      <c r="G33" s="6">
        <f t="shared" si="11"/>
        <v>0.57943311999999991</v>
      </c>
      <c r="H33" s="6" t="s">
        <v>9</v>
      </c>
      <c r="I33" s="8">
        <f>24.1/100</f>
        <v>0.24100000000000002</v>
      </c>
      <c r="J33" s="8">
        <f t="shared" si="15"/>
        <v>0.13964338192</v>
      </c>
      <c r="K33" s="2" t="s">
        <v>37</v>
      </c>
      <c r="L33" s="2">
        <f>18.9/100</f>
        <v>0.18899999999999997</v>
      </c>
      <c r="M33" s="2">
        <f>L32*G33</f>
        <v>0.15876467487999996</v>
      </c>
    </row>
    <row r="34" spans="1:13" x14ac:dyDescent="0.25">
      <c r="A34" s="4">
        <v>26.11</v>
      </c>
      <c r="B34" s="4" t="s">
        <v>2</v>
      </c>
      <c r="C34" s="5">
        <f t="shared" si="0"/>
        <v>0.14599999999999999</v>
      </c>
      <c r="D34" s="6">
        <f t="shared" si="4"/>
        <v>3.8120599999999998</v>
      </c>
      <c r="E34" s="6" t="s">
        <v>13</v>
      </c>
      <c r="F34" s="8">
        <f t="shared" si="14"/>
        <v>0.152</v>
      </c>
      <c r="G34" s="6">
        <f t="shared" si="11"/>
        <v>0.57943311999999991</v>
      </c>
      <c r="H34" s="6" t="s">
        <v>55</v>
      </c>
      <c r="I34" s="8">
        <f>2.1/100</f>
        <v>2.1000000000000001E-2</v>
      </c>
      <c r="J34" s="6">
        <f t="shared" si="15"/>
        <v>1.2168095519999998E-2</v>
      </c>
      <c r="K34" s="2" t="s">
        <v>38</v>
      </c>
      <c r="L34" s="2">
        <f>1.4/100</f>
        <v>1.3999999999999999E-2</v>
      </c>
      <c r="M34" s="2">
        <f>L33*G34</f>
        <v>0.10951285967999996</v>
      </c>
    </row>
    <row r="35" spans="1:13" x14ac:dyDescent="0.25">
      <c r="A35" s="4">
        <v>26.11</v>
      </c>
      <c r="B35" s="4" t="s">
        <v>2</v>
      </c>
      <c r="C35" s="5">
        <f t="shared" si="0"/>
        <v>0.14599999999999999</v>
      </c>
      <c r="D35" s="6">
        <f t="shared" si="4"/>
        <v>3.8120599999999998</v>
      </c>
      <c r="E35" s="6" t="s">
        <v>13</v>
      </c>
      <c r="F35" s="8">
        <f t="shared" si="14"/>
        <v>0.152</v>
      </c>
      <c r="G35" s="6">
        <f t="shared" si="11"/>
        <v>0.57943311999999991</v>
      </c>
      <c r="H35" s="6"/>
      <c r="I35" s="8"/>
      <c r="J35" s="8"/>
      <c r="K35" s="2" t="s">
        <v>39</v>
      </c>
      <c r="L35" s="2">
        <f>0.8/100</f>
        <v>8.0000000000000002E-3</v>
      </c>
      <c r="M35" s="2">
        <f>L34*G35</f>
        <v>8.1120636799999982E-3</v>
      </c>
    </row>
    <row r="36" spans="1:13" x14ac:dyDescent="0.25">
      <c r="A36" s="4">
        <v>26.11</v>
      </c>
      <c r="B36" s="4" t="s">
        <v>2</v>
      </c>
      <c r="C36" s="5">
        <f t="shared" si="0"/>
        <v>0.14599999999999999</v>
      </c>
      <c r="D36" s="6">
        <f t="shared" si="4"/>
        <v>3.8120599999999998</v>
      </c>
      <c r="E36" s="8" t="s">
        <v>47</v>
      </c>
      <c r="F36" s="6">
        <f>6.1/100</f>
        <v>6.0999999999999999E-2</v>
      </c>
      <c r="G36" s="6">
        <f t="shared" si="11"/>
        <v>0.23253565999999998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26.11</v>
      </c>
      <c r="B37" s="4" t="s">
        <v>2</v>
      </c>
      <c r="C37" s="5">
        <f t="shared" si="0"/>
        <v>0.14599999999999999</v>
      </c>
      <c r="D37" s="6">
        <f t="shared" si="4"/>
        <v>3.8120599999999998</v>
      </c>
      <c r="E37" s="8" t="s">
        <v>17</v>
      </c>
      <c r="F37" s="6">
        <f t="shared" ref="F37:F43" si="17">6.1/100</f>
        <v>6.0999999999999999E-2</v>
      </c>
      <c r="G37" s="6">
        <f t="shared" si="11"/>
        <v>0.23253565999999998</v>
      </c>
      <c r="H37" s="6" t="s">
        <v>12</v>
      </c>
      <c r="I37" s="6">
        <f>0/100</f>
        <v>0</v>
      </c>
      <c r="J37" s="6">
        <f t="shared" ref="J37:J42" si="18">I37*G37</f>
        <v>0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26.11</v>
      </c>
      <c r="B38" s="4" t="s">
        <v>2</v>
      </c>
      <c r="C38" s="5">
        <f t="shared" si="0"/>
        <v>0.14599999999999999</v>
      </c>
      <c r="D38" s="6">
        <f t="shared" si="4"/>
        <v>3.8120599999999998</v>
      </c>
      <c r="E38" s="8" t="s">
        <v>17</v>
      </c>
      <c r="F38" s="6">
        <f t="shared" si="17"/>
        <v>6.0999999999999999E-2</v>
      </c>
      <c r="G38" s="6">
        <f t="shared" si="11"/>
        <v>0.23253565999999998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15/100</f>
        <v>0.15</v>
      </c>
      <c r="M38" s="2">
        <f t="shared" si="19"/>
        <v>3.4880348999999998E-2</v>
      </c>
    </row>
    <row r="39" spans="1:13" x14ac:dyDescent="0.25">
      <c r="A39" s="4">
        <v>26.11</v>
      </c>
      <c r="B39" s="4" t="s">
        <v>2</v>
      </c>
      <c r="C39" s="5">
        <f t="shared" si="0"/>
        <v>0.14599999999999999</v>
      </c>
      <c r="D39" s="6">
        <f t="shared" si="4"/>
        <v>3.8120599999999998</v>
      </c>
      <c r="E39" s="8" t="s">
        <v>17</v>
      </c>
      <c r="F39" s="6">
        <f t="shared" si="17"/>
        <v>6.0999999999999999E-2</v>
      </c>
      <c r="G39" s="6">
        <f t="shared" si="11"/>
        <v>0.23253565999999998</v>
      </c>
      <c r="H39" s="6" t="s">
        <v>8</v>
      </c>
      <c r="I39" s="6">
        <f>74.7/100</f>
        <v>0.747</v>
      </c>
      <c r="J39" s="6">
        <f t="shared" si="18"/>
        <v>0.17370413801999998</v>
      </c>
      <c r="K39" s="2" t="s">
        <v>35</v>
      </c>
      <c r="L39" s="2">
        <f>29.1/100</f>
        <v>0.29100000000000004</v>
      </c>
      <c r="M39" s="2">
        <f t="shared" si="19"/>
        <v>6.7667877060000006E-2</v>
      </c>
    </row>
    <row r="40" spans="1:13" x14ac:dyDescent="0.25">
      <c r="A40" s="4">
        <v>26.11</v>
      </c>
      <c r="B40" s="4" t="s">
        <v>2</v>
      </c>
      <c r="C40" s="5">
        <f t="shared" si="0"/>
        <v>0.14599999999999999</v>
      </c>
      <c r="D40" s="6">
        <f t="shared" si="4"/>
        <v>3.8120599999999998</v>
      </c>
      <c r="E40" s="8" t="s">
        <v>17</v>
      </c>
      <c r="F40" s="6">
        <f t="shared" si="17"/>
        <v>6.0999999999999999E-2</v>
      </c>
      <c r="G40" s="6">
        <f t="shared" si="11"/>
        <v>0.23253565999999998</v>
      </c>
      <c r="H40" s="6" t="s">
        <v>10</v>
      </c>
      <c r="I40" s="6">
        <f>0/100</f>
        <v>0</v>
      </c>
      <c r="J40" s="6">
        <f t="shared" si="18"/>
        <v>0</v>
      </c>
      <c r="K40" s="2" t="s">
        <v>36</v>
      </c>
      <c r="L40" s="2">
        <f>21.7/100</f>
        <v>0.217</v>
      </c>
      <c r="M40" s="2">
        <f t="shared" si="19"/>
        <v>5.0460238219999995E-2</v>
      </c>
    </row>
    <row r="41" spans="1:13" x14ac:dyDescent="0.25">
      <c r="A41" s="4">
        <v>26.11</v>
      </c>
      <c r="B41" s="4" t="s">
        <v>2</v>
      </c>
      <c r="C41" s="5">
        <f t="shared" si="0"/>
        <v>0.14599999999999999</v>
      </c>
      <c r="D41" s="6">
        <f t="shared" si="4"/>
        <v>3.8120599999999998</v>
      </c>
      <c r="E41" s="8" t="s">
        <v>17</v>
      </c>
      <c r="F41" s="6">
        <f t="shared" si="17"/>
        <v>6.0999999999999999E-2</v>
      </c>
      <c r="G41" s="6">
        <f t="shared" si="11"/>
        <v>0.23253565999999998</v>
      </c>
      <c r="H41" s="6" t="s">
        <v>9</v>
      </c>
      <c r="I41" s="6">
        <f>25.3/100</f>
        <v>0.253</v>
      </c>
      <c r="J41" s="6">
        <f t="shared" si="18"/>
        <v>5.8831521979999996E-2</v>
      </c>
      <c r="K41" s="2" t="s">
        <v>37</v>
      </c>
      <c r="L41" s="2">
        <f>34.5/100</f>
        <v>0.34499999999999997</v>
      </c>
      <c r="M41" s="2">
        <f t="shared" si="19"/>
        <v>8.0224802699999986E-2</v>
      </c>
    </row>
    <row r="42" spans="1:13" x14ac:dyDescent="0.25">
      <c r="A42" s="4">
        <v>26.11</v>
      </c>
      <c r="B42" s="4" t="s">
        <v>2</v>
      </c>
      <c r="C42" s="5">
        <f t="shared" si="0"/>
        <v>0.14599999999999999</v>
      </c>
      <c r="D42" s="6">
        <f t="shared" si="4"/>
        <v>3.8120599999999998</v>
      </c>
      <c r="E42" s="8" t="s">
        <v>17</v>
      </c>
      <c r="F42" s="6">
        <f t="shared" si="17"/>
        <v>6.0999999999999999E-2</v>
      </c>
      <c r="G42" s="6">
        <f t="shared" si="11"/>
        <v>0.23253565999999998</v>
      </c>
      <c r="H42" s="6" t="s">
        <v>55</v>
      </c>
      <c r="I42" s="6">
        <v>0</v>
      </c>
      <c r="J42" s="6">
        <f t="shared" si="18"/>
        <v>0</v>
      </c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26.11</v>
      </c>
      <c r="B43" s="4" t="s">
        <v>2</v>
      </c>
      <c r="C43" s="5">
        <f t="shared" si="0"/>
        <v>0.14599999999999999</v>
      </c>
      <c r="D43" s="6">
        <f t="shared" si="4"/>
        <v>3.8120599999999998</v>
      </c>
      <c r="E43" s="8" t="s">
        <v>17</v>
      </c>
      <c r="F43" s="6">
        <f t="shared" si="17"/>
        <v>6.0999999999999999E-2</v>
      </c>
      <c r="G43" s="6">
        <f t="shared" si="11"/>
        <v>0.23253565999999998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26.11</v>
      </c>
      <c r="B44" s="4" t="s">
        <v>2</v>
      </c>
      <c r="C44" s="5">
        <f t="shared" si="0"/>
        <v>0.14599999999999999</v>
      </c>
      <c r="D44" s="6">
        <f t="shared" si="4"/>
        <v>3.8120599999999998</v>
      </c>
      <c r="E44" s="2" t="s">
        <v>18</v>
      </c>
      <c r="F44" s="6">
        <f>8.5/100</f>
        <v>8.5000000000000006E-2</v>
      </c>
      <c r="G44" s="6">
        <f t="shared" si="11"/>
        <v>0.32402510000000001</v>
      </c>
      <c r="H44" s="6" t="s">
        <v>11</v>
      </c>
      <c r="I44" s="8">
        <f>34.2/100</f>
        <v>0.34200000000000003</v>
      </c>
      <c r="J44" s="6">
        <f>I44*G44</f>
        <v>0.11081658420000001</v>
      </c>
      <c r="K44" s="2" t="s">
        <v>32</v>
      </c>
      <c r="L44" s="2">
        <f>2.5/100</f>
        <v>2.5000000000000001E-2</v>
      </c>
      <c r="M44" s="2">
        <f>L44*G44</f>
        <v>8.1006275000000006E-3</v>
      </c>
    </row>
    <row r="45" spans="1:13" x14ac:dyDescent="0.25">
      <c r="A45" s="4">
        <v>26.11</v>
      </c>
      <c r="B45" s="4" t="s">
        <v>2</v>
      </c>
      <c r="C45" s="5">
        <f t="shared" si="0"/>
        <v>0.14599999999999999</v>
      </c>
      <c r="D45" s="6">
        <f t="shared" si="4"/>
        <v>3.8120599999999998</v>
      </c>
      <c r="E45" s="2" t="s">
        <v>18</v>
      </c>
      <c r="F45" s="6">
        <f t="shared" ref="F45:F50" si="20">8.5/100</f>
        <v>8.5000000000000006E-2</v>
      </c>
      <c r="G45" s="6">
        <f t="shared" si="11"/>
        <v>0.32402510000000001</v>
      </c>
      <c r="H45" s="6" t="s">
        <v>12</v>
      </c>
      <c r="I45" s="8">
        <f>3.3/100</f>
        <v>3.3000000000000002E-2</v>
      </c>
      <c r="J45" s="6">
        <f t="shared" ref="J45:J50" si="21">I45*G45</f>
        <v>1.06928283E-2</v>
      </c>
      <c r="K45" s="2" t="s">
        <v>33</v>
      </c>
      <c r="L45" s="2">
        <f>8.4/100</f>
        <v>8.4000000000000005E-2</v>
      </c>
      <c r="M45" s="2">
        <f t="shared" ref="M45:M51" si="22">L45*G45</f>
        <v>2.7218108400000003E-2</v>
      </c>
    </row>
    <row r="46" spans="1:13" x14ac:dyDescent="0.25">
      <c r="A46" s="4">
        <v>26.11</v>
      </c>
      <c r="B46" s="4" t="s">
        <v>2</v>
      </c>
      <c r="C46" s="5">
        <f t="shared" si="0"/>
        <v>0.14599999999999999</v>
      </c>
      <c r="D46" s="6">
        <f t="shared" si="4"/>
        <v>3.8120599999999998</v>
      </c>
      <c r="E46" s="2" t="s">
        <v>18</v>
      </c>
      <c r="F46" s="6">
        <f t="shared" si="20"/>
        <v>8.5000000000000006E-2</v>
      </c>
      <c r="G46" s="6">
        <f t="shared" si="11"/>
        <v>0.32402510000000001</v>
      </c>
      <c r="H46" s="6" t="s">
        <v>7</v>
      </c>
      <c r="I46" s="8">
        <f>8.6/100</f>
        <v>8.5999999999999993E-2</v>
      </c>
      <c r="J46" s="6">
        <f t="shared" si="21"/>
        <v>2.78661586E-2</v>
      </c>
      <c r="K46" s="2" t="s">
        <v>34</v>
      </c>
      <c r="L46" s="2">
        <f>14/100</f>
        <v>0.14000000000000001</v>
      </c>
      <c r="M46" s="2">
        <f t="shared" si="22"/>
        <v>4.5363514000000008E-2</v>
      </c>
    </row>
    <row r="47" spans="1:13" x14ac:dyDescent="0.25">
      <c r="A47" s="4">
        <v>26.11</v>
      </c>
      <c r="B47" s="4" t="s">
        <v>2</v>
      </c>
      <c r="C47" s="5">
        <f t="shared" si="0"/>
        <v>0.14599999999999999</v>
      </c>
      <c r="D47" s="6">
        <f t="shared" si="4"/>
        <v>3.8120599999999998</v>
      </c>
      <c r="E47" s="2" t="s">
        <v>18</v>
      </c>
      <c r="F47" s="6">
        <f t="shared" si="20"/>
        <v>8.5000000000000006E-2</v>
      </c>
      <c r="G47" s="6">
        <f t="shared" si="11"/>
        <v>0.32402510000000001</v>
      </c>
      <c r="H47" s="6" t="s">
        <v>8</v>
      </c>
      <c r="I47" s="8">
        <f>23.6/100</f>
        <v>0.23600000000000002</v>
      </c>
      <c r="J47" s="6">
        <f>I50*G47</f>
        <v>9.7207530000000008E-4</v>
      </c>
      <c r="K47" s="2" t="s">
        <v>35</v>
      </c>
      <c r="L47" s="2">
        <f>34.3/100</f>
        <v>0.34299999999999997</v>
      </c>
      <c r="M47" s="2">
        <f t="shared" si="22"/>
        <v>0.1111406093</v>
      </c>
    </row>
    <row r="48" spans="1:13" x14ac:dyDescent="0.25">
      <c r="A48" s="4">
        <v>26.11</v>
      </c>
      <c r="B48" s="4" t="s">
        <v>2</v>
      </c>
      <c r="C48" s="5">
        <f t="shared" si="0"/>
        <v>0.14599999999999999</v>
      </c>
      <c r="D48" s="6">
        <f t="shared" si="4"/>
        <v>3.8120599999999998</v>
      </c>
      <c r="E48" s="2" t="s">
        <v>18</v>
      </c>
      <c r="F48" s="6">
        <f t="shared" si="20"/>
        <v>8.5000000000000006E-2</v>
      </c>
      <c r="G48" s="6">
        <f t="shared" si="11"/>
        <v>0.32402510000000001</v>
      </c>
      <c r="H48" s="6" t="s">
        <v>10</v>
      </c>
      <c r="I48" s="8">
        <f>6.6/100</f>
        <v>6.6000000000000003E-2</v>
      </c>
      <c r="J48" s="6">
        <f>I47*G48</f>
        <v>7.6469923600000003E-2</v>
      </c>
      <c r="K48" s="2" t="s">
        <v>36</v>
      </c>
      <c r="L48" s="2">
        <f>23.4/100</f>
        <v>0.23399999999999999</v>
      </c>
      <c r="M48" s="2">
        <f t="shared" si="22"/>
        <v>7.5821873400000003E-2</v>
      </c>
    </row>
    <row r="49" spans="1:13" x14ac:dyDescent="0.25">
      <c r="A49" s="4">
        <v>26.11</v>
      </c>
      <c r="B49" s="4" t="s">
        <v>2</v>
      </c>
      <c r="C49" s="5">
        <f t="shared" si="0"/>
        <v>0.14599999999999999</v>
      </c>
      <c r="D49" s="6">
        <f t="shared" si="4"/>
        <v>3.8120599999999998</v>
      </c>
      <c r="E49" s="2" t="s">
        <v>48</v>
      </c>
      <c r="F49" s="6">
        <f t="shared" si="20"/>
        <v>8.5000000000000006E-2</v>
      </c>
      <c r="G49" s="6">
        <f t="shared" si="11"/>
        <v>0.32402510000000001</v>
      </c>
      <c r="H49" s="6" t="s">
        <v>9</v>
      </c>
      <c r="I49" s="8">
        <f>23.3/100</f>
        <v>0.23300000000000001</v>
      </c>
      <c r="J49" s="6">
        <f t="shared" si="21"/>
        <v>7.5497848300000003E-2</v>
      </c>
      <c r="K49" s="2" t="s">
        <v>37</v>
      </c>
      <c r="L49" s="2">
        <f>14.5/100</f>
        <v>0.14499999999999999</v>
      </c>
      <c r="M49" s="2">
        <f t="shared" si="22"/>
        <v>4.69836395E-2</v>
      </c>
    </row>
    <row r="50" spans="1:13" x14ac:dyDescent="0.25">
      <c r="A50" s="4">
        <v>26.11</v>
      </c>
      <c r="B50" s="4" t="s">
        <v>2</v>
      </c>
      <c r="C50" s="5">
        <f t="shared" si="0"/>
        <v>0.14599999999999999</v>
      </c>
      <c r="D50" s="6">
        <f t="shared" si="4"/>
        <v>3.8120599999999998</v>
      </c>
      <c r="E50" s="2" t="s">
        <v>18</v>
      </c>
      <c r="F50" s="6">
        <f t="shared" si="20"/>
        <v>8.5000000000000006E-2</v>
      </c>
      <c r="G50" s="6">
        <f t="shared" si="11"/>
        <v>0.32402510000000001</v>
      </c>
      <c r="H50" s="6" t="s">
        <v>55</v>
      </c>
      <c r="I50" s="8">
        <f>0.3/100</f>
        <v>3.0000000000000001E-3</v>
      </c>
      <c r="J50" s="6">
        <f t="shared" si="21"/>
        <v>9.7207530000000008E-4</v>
      </c>
      <c r="K50" s="2" t="s">
        <v>38</v>
      </c>
      <c r="L50" s="2">
        <f>2.3/100</f>
        <v>2.3E-2</v>
      </c>
      <c r="M50" s="2">
        <f t="shared" si="22"/>
        <v>7.4525772999999998E-3</v>
      </c>
    </row>
    <row r="51" spans="1:13" x14ac:dyDescent="0.25">
      <c r="A51" s="4">
        <v>26.11</v>
      </c>
      <c r="B51" s="4" t="s">
        <v>2</v>
      </c>
      <c r="C51" s="5">
        <f t="shared" si="0"/>
        <v>0.14599999999999999</v>
      </c>
      <c r="D51" s="6">
        <f t="shared" si="4"/>
        <v>3.8120599999999998</v>
      </c>
      <c r="E51" s="2" t="s">
        <v>18</v>
      </c>
      <c r="F51" s="6">
        <f>8.5/100</f>
        <v>8.5000000000000006E-2</v>
      </c>
      <c r="G51" s="6">
        <f t="shared" si="11"/>
        <v>0.32402510000000001</v>
      </c>
      <c r="H51" s="6"/>
      <c r="I51" s="6"/>
      <c r="J51" s="6"/>
      <c r="K51" s="2" t="s">
        <v>39</v>
      </c>
      <c r="L51" s="2">
        <f>0.5/100</f>
        <v>5.0000000000000001E-3</v>
      </c>
      <c r="M51" s="2">
        <f t="shared" si="22"/>
        <v>1.6201255E-3</v>
      </c>
    </row>
    <row r="52" spans="1:13" x14ac:dyDescent="0.25">
      <c r="A52" s="4">
        <v>26.11</v>
      </c>
      <c r="B52" s="2" t="s">
        <v>19</v>
      </c>
      <c r="C52" s="6">
        <f>85.4/100</f>
        <v>0.85400000000000009</v>
      </c>
      <c r="D52" s="6">
        <f t="shared" si="4"/>
        <v>22.297940000000001</v>
      </c>
      <c r="E52" s="6" t="s">
        <v>54</v>
      </c>
      <c r="F52" s="6">
        <f>81.6/100</f>
        <v>0.81599999999999995</v>
      </c>
      <c r="G52" s="6">
        <f t="shared" si="11"/>
        <v>18.195119039999998</v>
      </c>
      <c r="H52" s="6" t="s">
        <v>11</v>
      </c>
      <c r="I52" s="6">
        <f>10.9/100</f>
        <v>0.109</v>
      </c>
      <c r="J52" s="6">
        <f>I52*G52</f>
        <v>1.9832679753599998</v>
      </c>
      <c r="K52" s="2" t="s">
        <v>32</v>
      </c>
      <c r="L52" s="2">
        <f>3.6/100</f>
        <v>3.6000000000000004E-2</v>
      </c>
      <c r="M52" s="2">
        <f>L52*G52</f>
        <v>0.65502428544000002</v>
      </c>
    </row>
    <row r="53" spans="1:13" x14ac:dyDescent="0.25">
      <c r="A53" s="4">
        <v>26.11</v>
      </c>
      <c r="B53" s="2" t="s">
        <v>19</v>
      </c>
      <c r="C53" s="6">
        <f t="shared" ref="C53:C99" si="23">85.4/100</f>
        <v>0.85400000000000009</v>
      </c>
      <c r="D53" s="6">
        <f t="shared" si="4"/>
        <v>22.297940000000001</v>
      </c>
      <c r="E53" s="6" t="s">
        <v>14</v>
      </c>
      <c r="F53" s="6">
        <f t="shared" ref="F53:F59" si="24">81.6/100</f>
        <v>0.81599999999999995</v>
      </c>
      <c r="G53" s="6">
        <f t="shared" si="11"/>
        <v>18.195119039999998</v>
      </c>
      <c r="H53" s="6" t="s">
        <v>12</v>
      </c>
      <c r="I53" s="6">
        <f>8.2/100</f>
        <v>8.199999999999999E-2</v>
      </c>
      <c r="J53" s="6">
        <f t="shared" ref="J53:J56" si="25">I53*G53</f>
        <v>1.4919997612799996</v>
      </c>
      <c r="K53" s="2" t="s">
        <v>33</v>
      </c>
      <c r="L53" s="2">
        <f>10.2/100</f>
        <v>0.10199999999999999</v>
      </c>
      <c r="M53" s="2">
        <f t="shared" ref="M53:M59" si="26">L53*G53</f>
        <v>1.8559021420799997</v>
      </c>
    </row>
    <row r="54" spans="1:13" x14ac:dyDescent="0.25">
      <c r="A54" s="4">
        <v>26.11</v>
      </c>
      <c r="B54" s="2" t="s">
        <v>19</v>
      </c>
      <c r="C54" s="6">
        <f t="shared" si="23"/>
        <v>0.85400000000000009</v>
      </c>
      <c r="D54" s="6">
        <f t="shared" si="4"/>
        <v>22.297940000000001</v>
      </c>
      <c r="E54" s="6" t="s">
        <v>14</v>
      </c>
      <c r="F54" s="6">
        <f t="shared" si="24"/>
        <v>0.81599999999999995</v>
      </c>
      <c r="G54" s="6">
        <f t="shared" si="11"/>
        <v>18.195119039999998</v>
      </c>
      <c r="H54" s="6" t="s">
        <v>7</v>
      </c>
      <c r="I54" s="14">
        <f>16.1/100</f>
        <v>0.161</v>
      </c>
      <c r="J54" s="6">
        <f t="shared" si="25"/>
        <v>2.9294141654399999</v>
      </c>
      <c r="K54" s="2" t="s">
        <v>34</v>
      </c>
      <c r="L54" s="2">
        <f>16.7/100</f>
        <v>0.16699999999999998</v>
      </c>
      <c r="M54" s="2">
        <f t="shared" si="26"/>
        <v>3.0385848796799992</v>
      </c>
    </row>
    <row r="55" spans="1:13" x14ac:dyDescent="0.25">
      <c r="A55" s="4">
        <v>26.11</v>
      </c>
      <c r="B55" s="2" t="s">
        <v>19</v>
      </c>
      <c r="C55" s="6">
        <f t="shared" si="23"/>
        <v>0.85400000000000009</v>
      </c>
      <c r="D55" s="6">
        <f t="shared" si="4"/>
        <v>22.297940000000001</v>
      </c>
      <c r="E55" s="6" t="s">
        <v>14</v>
      </c>
      <c r="F55" s="6">
        <f t="shared" si="24"/>
        <v>0.81599999999999995</v>
      </c>
      <c r="G55" s="6">
        <f t="shared" si="11"/>
        <v>18.195119039999998</v>
      </c>
      <c r="H55" s="6" t="s">
        <v>8</v>
      </c>
      <c r="I55" s="6">
        <f>36.9/100</f>
        <v>0.36899999999999999</v>
      </c>
      <c r="J55" s="6">
        <f t="shared" si="25"/>
        <v>6.7139989257599995</v>
      </c>
      <c r="K55" s="2" t="s">
        <v>35</v>
      </c>
      <c r="L55" s="2">
        <f>26.9/100</f>
        <v>0.26899999999999996</v>
      </c>
      <c r="M55" s="2">
        <f t="shared" si="26"/>
        <v>4.8944870217599989</v>
      </c>
    </row>
    <row r="56" spans="1:13" x14ac:dyDescent="0.25">
      <c r="A56" s="4">
        <v>26.11</v>
      </c>
      <c r="B56" s="2" t="s">
        <v>19</v>
      </c>
      <c r="C56" s="6">
        <f t="shared" si="23"/>
        <v>0.85400000000000009</v>
      </c>
      <c r="D56" s="6">
        <f t="shared" si="4"/>
        <v>22.297940000000001</v>
      </c>
      <c r="E56" s="6" t="s">
        <v>14</v>
      </c>
      <c r="F56" s="6">
        <f t="shared" si="24"/>
        <v>0.81599999999999995</v>
      </c>
      <c r="G56" s="6">
        <f t="shared" si="11"/>
        <v>18.195119039999998</v>
      </c>
      <c r="H56" s="6" t="s">
        <v>10</v>
      </c>
      <c r="I56" s="6">
        <f>4/100</f>
        <v>0.04</v>
      </c>
      <c r="J56" s="6">
        <f t="shared" si="25"/>
        <v>0.72780476159999996</v>
      </c>
      <c r="K56" s="2" t="s">
        <v>36</v>
      </c>
      <c r="L56" s="2">
        <f>23.1/100</f>
        <v>0.23100000000000001</v>
      </c>
      <c r="M56" s="2">
        <f t="shared" si="26"/>
        <v>4.2030724982400001</v>
      </c>
    </row>
    <row r="57" spans="1:13" x14ac:dyDescent="0.25">
      <c r="A57" s="4">
        <v>26.11</v>
      </c>
      <c r="B57" s="2" t="s">
        <v>19</v>
      </c>
      <c r="C57" s="6">
        <f t="shared" si="23"/>
        <v>0.85400000000000009</v>
      </c>
      <c r="D57" s="6">
        <f t="shared" si="4"/>
        <v>22.297940000000001</v>
      </c>
      <c r="E57" s="6" t="s">
        <v>14</v>
      </c>
      <c r="F57" s="6">
        <f t="shared" si="24"/>
        <v>0.81599999999999995</v>
      </c>
      <c r="G57" s="6">
        <f t="shared" si="11"/>
        <v>18.195119039999998</v>
      </c>
      <c r="H57" s="6" t="s">
        <v>9</v>
      </c>
      <c r="I57" s="6">
        <f>21.5/100</f>
        <v>0.215</v>
      </c>
      <c r="J57" s="6">
        <f>I58*G57</f>
        <v>0.41848773791999994</v>
      </c>
      <c r="K57" s="2" t="s">
        <v>37</v>
      </c>
      <c r="L57" s="2">
        <f>16/100</f>
        <v>0.16</v>
      </c>
      <c r="M57" s="2">
        <f t="shared" si="26"/>
        <v>2.9112190463999998</v>
      </c>
    </row>
    <row r="58" spans="1:13" x14ac:dyDescent="0.25">
      <c r="A58" s="4">
        <v>26.11</v>
      </c>
      <c r="B58" s="2" t="s">
        <v>19</v>
      </c>
      <c r="C58" s="6">
        <f t="shared" si="23"/>
        <v>0.85400000000000009</v>
      </c>
      <c r="D58" s="6">
        <f t="shared" si="4"/>
        <v>22.297940000000001</v>
      </c>
      <c r="E58" s="6" t="s">
        <v>14</v>
      </c>
      <c r="F58" s="6">
        <f t="shared" si="24"/>
        <v>0.81599999999999995</v>
      </c>
      <c r="G58" s="6">
        <f t="shared" si="11"/>
        <v>18.195119039999998</v>
      </c>
      <c r="H58" s="6" t="s">
        <v>55</v>
      </c>
      <c r="I58" s="6">
        <f>2.3/100</f>
        <v>2.3E-2</v>
      </c>
      <c r="J58" s="6">
        <f t="shared" ref="J58" si="27">I58*G58</f>
        <v>0.41848773791999994</v>
      </c>
      <c r="K58" s="2" t="s">
        <v>38</v>
      </c>
      <c r="L58" s="2">
        <f>2.4/100</f>
        <v>2.4E-2</v>
      </c>
      <c r="M58" s="2">
        <f t="shared" si="26"/>
        <v>0.43668285695999998</v>
      </c>
    </row>
    <row r="59" spans="1:13" x14ac:dyDescent="0.25">
      <c r="A59" s="4">
        <v>26.11</v>
      </c>
      <c r="B59" s="2" t="s">
        <v>19</v>
      </c>
      <c r="C59" s="6">
        <f t="shared" si="23"/>
        <v>0.85400000000000009</v>
      </c>
      <c r="D59" s="6">
        <f t="shared" si="4"/>
        <v>22.297940000000001</v>
      </c>
      <c r="E59" s="6" t="s">
        <v>14</v>
      </c>
      <c r="F59" s="6">
        <f t="shared" si="24"/>
        <v>0.81599999999999995</v>
      </c>
      <c r="G59" s="6">
        <f t="shared" si="11"/>
        <v>18.195119039999998</v>
      </c>
      <c r="H59" s="6"/>
      <c r="I59" s="6"/>
      <c r="J59" s="6"/>
      <c r="K59" s="2" t="s">
        <v>39</v>
      </c>
      <c r="L59" s="2">
        <f>1.1/100</f>
        <v>1.1000000000000001E-2</v>
      </c>
      <c r="M59" s="2">
        <f t="shared" si="26"/>
        <v>0.20014630944</v>
      </c>
    </row>
    <row r="60" spans="1:13" x14ac:dyDescent="0.25">
      <c r="A60" s="4">
        <v>26.11</v>
      </c>
      <c r="B60" s="2" t="s">
        <v>19</v>
      </c>
      <c r="C60" s="6">
        <f t="shared" si="23"/>
        <v>0.85400000000000009</v>
      </c>
      <c r="D60" s="6">
        <f t="shared" si="4"/>
        <v>22.297940000000001</v>
      </c>
      <c r="E60" s="6" t="s">
        <v>52</v>
      </c>
      <c r="F60" s="6">
        <f>83.6/100</f>
        <v>0.83599999999999997</v>
      </c>
      <c r="G60" s="6">
        <f t="shared" si="11"/>
        <v>18.641077840000001</v>
      </c>
      <c r="H60" s="6" t="s">
        <v>11</v>
      </c>
      <c r="I60" s="6">
        <f>13.4/100</f>
        <v>0.13400000000000001</v>
      </c>
      <c r="J60" s="6">
        <f>I60*G60</f>
        <v>2.4979044305600002</v>
      </c>
      <c r="K60" s="2" t="s">
        <v>32</v>
      </c>
      <c r="L60" s="2">
        <f>0/100</f>
        <v>0</v>
      </c>
      <c r="M60" s="2">
        <f>L60*G60</f>
        <v>0</v>
      </c>
    </row>
    <row r="61" spans="1:13" x14ac:dyDescent="0.25">
      <c r="A61" s="4">
        <v>26.11</v>
      </c>
      <c r="B61" s="2" t="s">
        <v>19</v>
      </c>
      <c r="C61" s="6">
        <f t="shared" si="23"/>
        <v>0.85400000000000009</v>
      </c>
      <c r="D61" s="6">
        <f t="shared" si="4"/>
        <v>22.297940000000001</v>
      </c>
      <c r="E61" s="6" t="s">
        <v>15</v>
      </c>
      <c r="F61" s="6">
        <f t="shared" ref="F61:F67" si="28">83.6/100</f>
        <v>0.83599999999999997</v>
      </c>
      <c r="G61" s="6">
        <f t="shared" si="11"/>
        <v>18.641077840000001</v>
      </c>
      <c r="H61" s="6" t="s">
        <v>12</v>
      </c>
      <c r="I61" s="6">
        <f>2.8/100</f>
        <v>2.7999999999999997E-2</v>
      </c>
      <c r="J61" s="6">
        <f t="shared" ref="J61:J66" si="29">I61*G61</f>
        <v>0.52195017952</v>
      </c>
      <c r="K61" s="2" t="s">
        <v>33</v>
      </c>
      <c r="L61" s="2">
        <f>12/100</f>
        <v>0.12</v>
      </c>
      <c r="M61" s="2">
        <f t="shared" ref="M61:M67" si="30">L61*G61</f>
        <v>2.2369293408000002</v>
      </c>
    </row>
    <row r="62" spans="1:13" x14ac:dyDescent="0.25">
      <c r="A62" s="4">
        <v>26.11</v>
      </c>
      <c r="B62" s="2" t="s">
        <v>19</v>
      </c>
      <c r="C62" s="6">
        <f t="shared" si="23"/>
        <v>0.85400000000000009</v>
      </c>
      <c r="D62" s="6">
        <f t="shared" si="4"/>
        <v>22.297940000000001</v>
      </c>
      <c r="E62" s="6" t="s">
        <v>15</v>
      </c>
      <c r="F62" s="6">
        <f t="shared" si="28"/>
        <v>0.83599999999999997</v>
      </c>
      <c r="G62" s="6">
        <f t="shared" si="11"/>
        <v>18.641077840000001</v>
      </c>
      <c r="H62" s="6" t="s">
        <v>7</v>
      </c>
      <c r="I62" s="6">
        <f>13.4/100</f>
        <v>0.13400000000000001</v>
      </c>
      <c r="J62" s="6">
        <f t="shared" si="29"/>
        <v>2.4979044305600002</v>
      </c>
      <c r="K62" s="2" t="s">
        <v>34</v>
      </c>
      <c r="L62" s="2">
        <f>23.6/100</f>
        <v>0.23600000000000002</v>
      </c>
      <c r="M62" s="2">
        <f t="shared" si="30"/>
        <v>4.3992943702400007</v>
      </c>
    </row>
    <row r="63" spans="1:13" x14ac:dyDescent="0.25">
      <c r="A63" s="4">
        <v>26.11</v>
      </c>
      <c r="B63" s="2" t="s">
        <v>19</v>
      </c>
      <c r="C63" s="6">
        <f t="shared" si="23"/>
        <v>0.85400000000000009</v>
      </c>
      <c r="D63" s="6">
        <f t="shared" si="4"/>
        <v>22.297940000000001</v>
      </c>
      <c r="E63" s="6" t="s">
        <v>15</v>
      </c>
      <c r="F63" s="6">
        <f t="shared" si="28"/>
        <v>0.83599999999999997</v>
      </c>
      <c r="G63" s="6">
        <f t="shared" si="11"/>
        <v>18.641077840000001</v>
      </c>
      <c r="H63" s="6" t="s">
        <v>8</v>
      </c>
      <c r="I63" s="6">
        <f>40.9/100</f>
        <v>0.40899999999999997</v>
      </c>
      <c r="J63" s="6">
        <f t="shared" si="29"/>
        <v>7.62420083656</v>
      </c>
      <c r="K63" s="2" t="s">
        <v>35</v>
      </c>
      <c r="L63" s="2">
        <f>33.9/100</f>
        <v>0.33899999999999997</v>
      </c>
      <c r="M63" s="2">
        <f t="shared" si="30"/>
        <v>6.3193253877600002</v>
      </c>
    </row>
    <row r="64" spans="1:13" x14ac:dyDescent="0.25">
      <c r="A64" s="4">
        <v>26.11</v>
      </c>
      <c r="B64" s="2" t="s">
        <v>19</v>
      </c>
      <c r="C64" s="6">
        <f t="shared" si="23"/>
        <v>0.85400000000000009</v>
      </c>
      <c r="D64" s="6">
        <f t="shared" si="4"/>
        <v>22.297940000000001</v>
      </c>
      <c r="E64" s="6" t="s">
        <v>15</v>
      </c>
      <c r="F64" s="6">
        <f t="shared" si="28"/>
        <v>0.83599999999999997</v>
      </c>
      <c r="G64" s="6">
        <f t="shared" si="11"/>
        <v>18.641077840000001</v>
      </c>
      <c r="H64" s="6" t="s">
        <v>10</v>
      </c>
      <c r="I64" s="6">
        <f>4.2/100</f>
        <v>4.2000000000000003E-2</v>
      </c>
      <c r="J64" s="6">
        <f t="shared" si="29"/>
        <v>0.78292526928000006</v>
      </c>
      <c r="K64" s="2" t="s">
        <v>36</v>
      </c>
      <c r="L64" s="2">
        <f>21.6/100</f>
        <v>0.21600000000000003</v>
      </c>
      <c r="M64" s="2">
        <f t="shared" si="30"/>
        <v>4.0264728134400007</v>
      </c>
    </row>
    <row r="65" spans="1:13" x14ac:dyDescent="0.25">
      <c r="A65" s="4">
        <v>26.11</v>
      </c>
      <c r="B65" s="2" t="s">
        <v>19</v>
      </c>
      <c r="C65" s="6">
        <f t="shared" si="23"/>
        <v>0.85400000000000009</v>
      </c>
      <c r="D65" s="6">
        <f t="shared" si="4"/>
        <v>22.297940000000001</v>
      </c>
      <c r="E65" s="6" t="s">
        <v>15</v>
      </c>
      <c r="F65" s="6">
        <f t="shared" si="28"/>
        <v>0.83599999999999997</v>
      </c>
      <c r="G65" s="6">
        <f t="shared" si="11"/>
        <v>18.641077840000001</v>
      </c>
      <c r="H65" s="6" t="s">
        <v>9</v>
      </c>
      <c r="I65" s="6">
        <f>21.5/100</f>
        <v>0.215</v>
      </c>
      <c r="J65" s="6">
        <f t="shared" si="29"/>
        <v>4.0078317355999999</v>
      </c>
      <c r="K65" s="2" t="s">
        <v>37</v>
      </c>
      <c r="L65" s="2">
        <f>8.4/100</f>
        <v>8.4000000000000005E-2</v>
      </c>
      <c r="M65" s="2">
        <f t="shared" si="30"/>
        <v>1.5658505385600001</v>
      </c>
    </row>
    <row r="66" spans="1:13" x14ac:dyDescent="0.25">
      <c r="A66" s="4">
        <v>26.11</v>
      </c>
      <c r="B66" s="2" t="s">
        <v>19</v>
      </c>
      <c r="C66" s="6">
        <f t="shared" si="23"/>
        <v>0.85400000000000009</v>
      </c>
      <c r="D66" s="6">
        <f t="shared" si="4"/>
        <v>22.297940000000001</v>
      </c>
      <c r="E66" s="6" t="s">
        <v>15</v>
      </c>
      <c r="F66" s="6">
        <f t="shared" si="28"/>
        <v>0.83599999999999997</v>
      </c>
      <c r="G66" s="6">
        <f t="shared" si="11"/>
        <v>18.641077840000001</v>
      </c>
      <c r="H66" s="6" t="s">
        <v>55</v>
      </c>
      <c r="I66" s="6">
        <f>3.8/100</f>
        <v>3.7999999999999999E-2</v>
      </c>
      <c r="J66" s="6">
        <f t="shared" si="29"/>
        <v>0.70836095791999998</v>
      </c>
      <c r="K66" s="2" t="s">
        <v>38</v>
      </c>
      <c r="L66" s="2">
        <f>0.5/100</f>
        <v>5.0000000000000001E-3</v>
      </c>
      <c r="M66" s="2">
        <f t="shared" si="30"/>
        <v>9.3205389200000002E-2</v>
      </c>
    </row>
    <row r="67" spans="1:13" x14ac:dyDescent="0.25">
      <c r="A67" s="4">
        <v>26.11</v>
      </c>
      <c r="B67" s="2" t="s">
        <v>19</v>
      </c>
      <c r="C67" s="6">
        <f t="shared" si="23"/>
        <v>0.85400000000000009</v>
      </c>
      <c r="D67" s="6">
        <f t="shared" si="4"/>
        <v>22.297940000000001</v>
      </c>
      <c r="E67" s="6" t="s">
        <v>15</v>
      </c>
      <c r="F67" s="6">
        <f t="shared" si="28"/>
        <v>0.83599999999999997</v>
      </c>
      <c r="G67" s="6">
        <f t="shared" si="11"/>
        <v>18.641077840000001</v>
      </c>
      <c r="H67" s="6"/>
      <c r="I67" s="6"/>
      <c r="J67" s="6"/>
      <c r="K67" s="2" t="s">
        <v>39</v>
      </c>
      <c r="L67" s="2">
        <f>0/100</f>
        <v>0</v>
      </c>
      <c r="M67" s="2">
        <f t="shared" si="30"/>
        <v>0</v>
      </c>
    </row>
    <row r="68" spans="1:13" x14ac:dyDescent="0.25">
      <c r="A68" s="4">
        <v>26.11</v>
      </c>
      <c r="B68" s="2" t="s">
        <v>19</v>
      </c>
      <c r="C68" s="6">
        <f t="shared" si="23"/>
        <v>0.85400000000000009</v>
      </c>
      <c r="D68" s="6">
        <f t="shared" si="4"/>
        <v>22.297940000000001</v>
      </c>
      <c r="E68" s="6" t="s">
        <v>53</v>
      </c>
      <c r="F68" s="6">
        <f>84/100</f>
        <v>0.84</v>
      </c>
      <c r="G68" s="6">
        <f t="shared" si="11"/>
        <v>18.7302696</v>
      </c>
      <c r="H68" s="6" t="s">
        <v>11</v>
      </c>
      <c r="I68" s="6">
        <f>13.1/100</f>
        <v>0.13100000000000001</v>
      </c>
      <c r="J68" s="6">
        <f>I68*G68</f>
        <v>2.4536653176000001</v>
      </c>
      <c r="K68" s="2" t="s">
        <v>32</v>
      </c>
      <c r="L68" s="2">
        <f>5.3/100</f>
        <v>5.2999999999999999E-2</v>
      </c>
      <c r="M68" s="2">
        <f>L68*G68</f>
        <v>0.99270428879999995</v>
      </c>
    </row>
    <row r="69" spans="1:13" x14ac:dyDescent="0.25">
      <c r="A69" s="4">
        <v>26.11</v>
      </c>
      <c r="B69" s="2" t="s">
        <v>19</v>
      </c>
      <c r="C69" s="6">
        <f t="shared" si="23"/>
        <v>0.85400000000000009</v>
      </c>
      <c r="D69" s="6">
        <f t="shared" si="4"/>
        <v>22.297940000000001</v>
      </c>
      <c r="E69" s="6" t="s">
        <v>16</v>
      </c>
      <c r="F69" s="6">
        <f t="shared" ref="F69:F75" si="31">84/100</f>
        <v>0.84</v>
      </c>
      <c r="G69" s="6">
        <f t="shared" si="11"/>
        <v>18.7302696</v>
      </c>
      <c r="H69" s="6" t="s">
        <v>12</v>
      </c>
      <c r="I69" s="6">
        <f>6.2/100</f>
        <v>6.2E-2</v>
      </c>
      <c r="J69" s="6">
        <f t="shared" ref="J69:J74" si="32">I69*G69</f>
        <v>1.1612767151999999</v>
      </c>
      <c r="K69" s="2" t="s">
        <v>33</v>
      </c>
      <c r="L69" s="2">
        <f>10.6/100</f>
        <v>0.106</v>
      </c>
      <c r="M69" s="2">
        <f t="shared" ref="M69:M75" si="33">L69*G69</f>
        <v>1.9854085775999999</v>
      </c>
    </row>
    <row r="70" spans="1:13" x14ac:dyDescent="0.25">
      <c r="A70" s="4">
        <v>26.11</v>
      </c>
      <c r="B70" s="2" t="s">
        <v>19</v>
      </c>
      <c r="C70" s="6">
        <f t="shared" si="23"/>
        <v>0.85400000000000009</v>
      </c>
      <c r="D70" s="6">
        <f t="shared" si="4"/>
        <v>22.297940000000001</v>
      </c>
      <c r="E70" s="6" t="s">
        <v>16</v>
      </c>
      <c r="F70" s="6">
        <f t="shared" si="31"/>
        <v>0.84</v>
      </c>
      <c r="G70" s="6">
        <f t="shared" si="11"/>
        <v>18.7302696</v>
      </c>
      <c r="H70" s="6" t="s">
        <v>7</v>
      </c>
      <c r="I70" s="6">
        <f>16.3/100</f>
        <v>0.16300000000000001</v>
      </c>
      <c r="J70" s="6">
        <f t="shared" si="32"/>
        <v>3.0530339448000001</v>
      </c>
      <c r="K70" s="2" t="s">
        <v>34</v>
      </c>
      <c r="L70" s="2">
        <f>17.5/100</f>
        <v>0.17499999999999999</v>
      </c>
      <c r="M70" s="2">
        <f t="shared" si="33"/>
        <v>3.2777971799999999</v>
      </c>
    </row>
    <row r="71" spans="1:13" x14ac:dyDescent="0.25">
      <c r="A71" s="4">
        <v>26.11</v>
      </c>
      <c r="B71" s="2" t="s">
        <v>19</v>
      </c>
      <c r="C71" s="6">
        <f t="shared" si="23"/>
        <v>0.85400000000000009</v>
      </c>
      <c r="D71" s="6">
        <f t="shared" si="4"/>
        <v>22.297940000000001</v>
      </c>
      <c r="E71" s="6" t="s">
        <v>16</v>
      </c>
      <c r="F71" s="6">
        <f t="shared" si="31"/>
        <v>0.84</v>
      </c>
      <c r="G71" s="6">
        <f t="shared" si="11"/>
        <v>18.7302696</v>
      </c>
      <c r="H71" s="6" t="s">
        <v>8</v>
      </c>
      <c r="I71" s="6">
        <f>35.3/100</f>
        <v>0.35299999999999998</v>
      </c>
      <c r="J71" s="6">
        <f t="shared" si="32"/>
        <v>6.6117851687999991</v>
      </c>
      <c r="K71" s="2" t="s">
        <v>35</v>
      </c>
      <c r="L71" s="2">
        <f>27/100</f>
        <v>0.27</v>
      </c>
      <c r="M71" s="2">
        <f t="shared" si="33"/>
        <v>5.0571727920000002</v>
      </c>
    </row>
    <row r="72" spans="1:13" x14ac:dyDescent="0.25">
      <c r="A72" s="4">
        <v>26.11</v>
      </c>
      <c r="B72" s="2" t="s">
        <v>19</v>
      </c>
      <c r="C72" s="6">
        <f t="shared" si="23"/>
        <v>0.85400000000000009</v>
      </c>
      <c r="D72" s="6">
        <f t="shared" si="4"/>
        <v>22.297940000000001</v>
      </c>
      <c r="E72" s="6" t="s">
        <v>16</v>
      </c>
      <c r="F72" s="6">
        <f t="shared" si="31"/>
        <v>0.84</v>
      </c>
      <c r="G72" s="6">
        <f t="shared" si="11"/>
        <v>18.7302696</v>
      </c>
      <c r="H72" s="6" t="s">
        <v>10</v>
      </c>
      <c r="I72" s="6">
        <f>5.1/100</f>
        <v>5.0999999999999997E-2</v>
      </c>
      <c r="J72" s="6">
        <f t="shared" si="32"/>
        <v>0.95524374959999991</v>
      </c>
      <c r="K72" s="2" t="s">
        <v>36</v>
      </c>
      <c r="L72" s="2">
        <f>22.2/100</f>
        <v>0.222</v>
      </c>
      <c r="M72" s="2">
        <f t="shared" si="33"/>
        <v>4.1581198512000004</v>
      </c>
    </row>
    <row r="73" spans="1:13" x14ac:dyDescent="0.25">
      <c r="A73" s="4">
        <v>26.11</v>
      </c>
      <c r="B73" s="2" t="s">
        <v>19</v>
      </c>
      <c r="C73" s="6">
        <f t="shared" si="23"/>
        <v>0.85400000000000009</v>
      </c>
      <c r="D73" s="6">
        <f t="shared" si="4"/>
        <v>22.297940000000001</v>
      </c>
      <c r="E73" s="6" t="s">
        <v>16</v>
      </c>
      <c r="F73" s="6">
        <f t="shared" si="31"/>
        <v>0.84</v>
      </c>
      <c r="G73" s="6">
        <f t="shared" si="11"/>
        <v>18.7302696</v>
      </c>
      <c r="H73" s="6" t="s">
        <v>9</v>
      </c>
      <c r="I73" s="6">
        <f>21.8/100</f>
        <v>0.218</v>
      </c>
      <c r="J73" s="6">
        <f t="shared" si="32"/>
        <v>4.0831987728000003</v>
      </c>
      <c r="K73" s="2" t="s">
        <v>37</v>
      </c>
      <c r="L73" s="2">
        <f>14.6/100</f>
        <v>0.14599999999999999</v>
      </c>
      <c r="M73" s="2">
        <f t="shared" si="33"/>
        <v>2.7346193615999996</v>
      </c>
    </row>
    <row r="74" spans="1:13" x14ac:dyDescent="0.25">
      <c r="A74" s="4">
        <v>26.11</v>
      </c>
      <c r="B74" s="2" t="s">
        <v>19</v>
      </c>
      <c r="C74" s="6">
        <f t="shared" si="23"/>
        <v>0.85400000000000009</v>
      </c>
      <c r="D74" s="6">
        <f t="shared" si="4"/>
        <v>22.297940000000001</v>
      </c>
      <c r="E74" s="6" t="s">
        <v>16</v>
      </c>
      <c r="F74" s="6">
        <f t="shared" si="31"/>
        <v>0.84</v>
      </c>
      <c r="G74" s="6">
        <f t="shared" si="11"/>
        <v>18.7302696</v>
      </c>
      <c r="H74" s="6" t="s">
        <v>55</v>
      </c>
      <c r="I74" s="6">
        <f>2.3/100</f>
        <v>2.3E-2</v>
      </c>
      <c r="J74" s="6">
        <f t="shared" si="32"/>
        <v>0.43079620079999997</v>
      </c>
      <c r="K74" s="2" t="s">
        <v>38</v>
      </c>
      <c r="L74" s="2">
        <f>1.5/100</f>
        <v>1.4999999999999999E-2</v>
      </c>
      <c r="M74" s="2">
        <f t="shared" si="33"/>
        <v>0.28095404399999996</v>
      </c>
    </row>
    <row r="75" spans="1:13" x14ac:dyDescent="0.25">
      <c r="A75" s="4">
        <v>26.11</v>
      </c>
      <c r="B75" s="2" t="s">
        <v>19</v>
      </c>
      <c r="C75" s="6">
        <f t="shared" si="23"/>
        <v>0.85400000000000009</v>
      </c>
      <c r="D75" s="6">
        <f t="shared" si="4"/>
        <v>22.297940000000001</v>
      </c>
      <c r="E75" s="6" t="s">
        <v>16</v>
      </c>
      <c r="F75" s="6">
        <f t="shared" si="31"/>
        <v>0.84</v>
      </c>
      <c r="G75" s="6">
        <f t="shared" si="11"/>
        <v>18.7302696</v>
      </c>
      <c r="H75" s="6"/>
      <c r="I75" s="6"/>
      <c r="J75" s="6"/>
      <c r="K75" s="2" t="s">
        <v>39</v>
      </c>
      <c r="L75" s="2">
        <f>1.3/100</f>
        <v>1.3000000000000001E-2</v>
      </c>
      <c r="M75" s="2">
        <f t="shared" si="33"/>
        <v>0.24349350480000001</v>
      </c>
    </row>
    <row r="76" spans="1:13" x14ac:dyDescent="0.25">
      <c r="A76" s="4">
        <v>26.11</v>
      </c>
      <c r="B76" s="2" t="s">
        <v>19</v>
      </c>
      <c r="C76" s="6">
        <f t="shared" si="23"/>
        <v>0.85400000000000009</v>
      </c>
      <c r="D76" s="6">
        <f t="shared" si="4"/>
        <v>22.297940000000001</v>
      </c>
      <c r="E76" s="2" t="s">
        <v>51</v>
      </c>
      <c r="F76" s="6">
        <f>84.8/100</f>
        <v>0.84799999999999998</v>
      </c>
      <c r="G76" s="6">
        <f t="shared" si="11"/>
        <v>18.90865312</v>
      </c>
      <c r="H76" s="6" t="s">
        <v>11</v>
      </c>
      <c r="I76" s="6">
        <f>16.2/100</f>
        <v>0.16200000000000001</v>
      </c>
      <c r="J76" s="8">
        <f>I76*G76</f>
        <v>3.0632018054400003</v>
      </c>
      <c r="K76" s="2" t="s">
        <v>32</v>
      </c>
      <c r="L76" s="2">
        <f>5.6/100</f>
        <v>5.5999999999999994E-2</v>
      </c>
      <c r="M76" s="2">
        <f>L76*G76</f>
        <v>1.05888457472</v>
      </c>
    </row>
    <row r="77" spans="1:13" x14ac:dyDescent="0.25">
      <c r="A77" s="4">
        <v>26.11</v>
      </c>
      <c r="B77" s="2" t="s">
        <v>19</v>
      </c>
      <c r="C77" s="6">
        <f t="shared" si="23"/>
        <v>0.85400000000000009</v>
      </c>
      <c r="D77" s="6">
        <f t="shared" si="4"/>
        <v>22.297940000000001</v>
      </c>
      <c r="E77" s="2" t="s">
        <v>13</v>
      </c>
      <c r="F77" s="6">
        <f t="shared" ref="F77:F83" si="34">84.8/100</f>
        <v>0.84799999999999998</v>
      </c>
      <c r="G77" s="6">
        <f t="shared" si="11"/>
        <v>18.90865312</v>
      </c>
      <c r="H77" s="6" t="s">
        <v>12</v>
      </c>
      <c r="I77" s="6">
        <f>9.6/100</f>
        <v>9.6000000000000002E-2</v>
      </c>
      <c r="J77" s="8">
        <f t="shared" ref="J77:J82" si="35">I77*G77</f>
        <v>1.81523069952</v>
      </c>
      <c r="K77" s="2" t="s">
        <v>33</v>
      </c>
      <c r="L77" s="2">
        <f>11.7/100</f>
        <v>0.11699999999999999</v>
      </c>
      <c r="M77" s="2">
        <f t="shared" ref="M77:M83" si="36">L77*G77</f>
        <v>2.21231241504</v>
      </c>
    </row>
    <row r="78" spans="1:13" x14ac:dyDescent="0.25">
      <c r="A78" s="4">
        <v>26.11</v>
      </c>
      <c r="B78" s="2" t="s">
        <v>19</v>
      </c>
      <c r="C78" s="6">
        <f t="shared" si="23"/>
        <v>0.85400000000000009</v>
      </c>
      <c r="D78" s="6">
        <f t="shared" si="4"/>
        <v>22.297940000000001</v>
      </c>
      <c r="E78" s="2" t="s">
        <v>13</v>
      </c>
      <c r="F78" s="6">
        <f t="shared" si="34"/>
        <v>0.84799999999999998</v>
      </c>
      <c r="G78" s="6">
        <f t="shared" si="11"/>
        <v>18.90865312</v>
      </c>
      <c r="H78" s="6" t="s">
        <v>7</v>
      </c>
      <c r="I78" s="6">
        <f>17.7/100</f>
        <v>0.17699999999999999</v>
      </c>
      <c r="J78" s="8">
        <f t="shared" si="35"/>
        <v>3.34683160224</v>
      </c>
      <c r="K78" s="2" t="s">
        <v>34</v>
      </c>
      <c r="L78" s="2">
        <f>16.6/100</f>
        <v>0.16600000000000001</v>
      </c>
      <c r="M78" s="2">
        <f t="shared" si="36"/>
        <v>3.1388364179200003</v>
      </c>
    </row>
    <row r="79" spans="1:13" x14ac:dyDescent="0.25">
      <c r="A79" s="4">
        <v>26.11</v>
      </c>
      <c r="B79" s="2" t="s">
        <v>19</v>
      </c>
      <c r="C79" s="6">
        <f t="shared" si="23"/>
        <v>0.85400000000000009</v>
      </c>
      <c r="D79" s="6">
        <f t="shared" si="4"/>
        <v>22.297940000000001</v>
      </c>
      <c r="E79" s="2" t="s">
        <v>13</v>
      </c>
      <c r="F79" s="6">
        <f t="shared" si="34"/>
        <v>0.84799999999999998</v>
      </c>
      <c r="G79" s="6">
        <f t="shared" si="11"/>
        <v>18.90865312</v>
      </c>
      <c r="H79" s="6" t="s">
        <v>8</v>
      </c>
      <c r="I79" s="6">
        <f>37.4/100</f>
        <v>0.374</v>
      </c>
      <c r="J79" s="8">
        <f t="shared" si="35"/>
        <v>7.0718362668800001</v>
      </c>
      <c r="K79" s="2" t="s">
        <v>35</v>
      </c>
      <c r="L79" s="2">
        <f>26.5/100</f>
        <v>0.26500000000000001</v>
      </c>
      <c r="M79" s="2">
        <f t="shared" si="36"/>
        <v>5.0107930768000006</v>
      </c>
    </row>
    <row r="80" spans="1:13" x14ac:dyDescent="0.25">
      <c r="A80" s="4">
        <v>26.11</v>
      </c>
      <c r="B80" s="2" t="s">
        <v>19</v>
      </c>
      <c r="C80" s="6">
        <f t="shared" si="23"/>
        <v>0.85400000000000009</v>
      </c>
      <c r="D80" s="6">
        <f t="shared" si="4"/>
        <v>22.297940000000001</v>
      </c>
      <c r="E80" s="2" t="s">
        <v>13</v>
      </c>
      <c r="F80" s="6">
        <f t="shared" si="34"/>
        <v>0.84799999999999998</v>
      </c>
      <c r="G80" s="6">
        <f t="shared" si="11"/>
        <v>18.90865312</v>
      </c>
      <c r="H80" s="6" t="s">
        <v>10</v>
      </c>
      <c r="I80" s="6">
        <f>2.9/100</f>
        <v>2.8999999999999998E-2</v>
      </c>
      <c r="J80" s="8">
        <f t="shared" si="35"/>
        <v>0.54835094047999999</v>
      </c>
      <c r="K80" s="2" t="s">
        <v>36</v>
      </c>
      <c r="L80" s="2">
        <f>19.9/100</f>
        <v>0.19899999999999998</v>
      </c>
      <c r="M80" s="2">
        <f t="shared" si="36"/>
        <v>3.7628219708799997</v>
      </c>
    </row>
    <row r="81" spans="1:13" x14ac:dyDescent="0.25">
      <c r="A81" s="4">
        <v>26.11</v>
      </c>
      <c r="B81" s="2" t="s">
        <v>19</v>
      </c>
      <c r="C81" s="6">
        <f t="shared" si="23"/>
        <v>0.85400000000000009</v>
      </c>
      <c r="D81" s="6">
        <f t="shared" si="4"/>
        <v>22.297940000000001</v>
      </c>
      <c r="E81" s="2" t="s">
        <v>13</v>
      </c>
      <c r="F81" s="6">
        <f t="shared" si="34"/>
        <v>0.84799999999999998</v>
      </c>
      <c r="G81" s="6">
        <f t="shared" si="11"/>
        <v>18.90865312</v>
      </c>
      <c r="H81" s="6" t="s">
        <v>9</v>
      </c>
      <c r="I81" s="6">
        <f>13.1/100</f>
        <v>0.13100000000000001</v>
      </c>
      <c r="J81" s="8">
        <f t="shared" si="35"/>
        <v>2.4770335587200001</v>
      </c>
      <c r="K81" s="2" t="s">
        <v>37</v>
      </c>
      <c r="L81" s="2">
        <f>15.1/100</f>
        <v>0.151</v>
      </c>
      <c r="M81" s="2">
        <f t="shared" si="36"/>
        <v>2.8552066211199998</v>
      </c>
    </row>
    <row r="82" spans="1:13" x14ac:dyDescent="0.25">
      <c r="A82" s="4">
        <v>26.11</v>
      </c>
      <c r="B82" s="2" t="s">
        <v>19</v>
      </c>
      <c r="C82" s="6">
        <f t="shared" si="23"/>
        <v>0.85400000000000009</v>
      </c>
      <c r="D82" s="6">
        <f t="shared" si="4"/>
        <v>22.297940000000001</v>
      </c>
      <c r="E82" s="2" t="s">
        <v>13</v>
      </c>
      <c r="F82" s="6">
        <f t="shared" si="34"/>
        <v>0.84799999999999998</v>
      </c>
      <c r="G82" s="6">
        <f t="shared" si="11"/>
        <v>18.90865312</v>
      </c>
      <c r="H82" s="6" t="s">
        <v>55</v>
      </c>
      <c r="I82" s="6">
        <f>3.2/100</f>
        <v>3.2000000000000001E-2</v>
      </c>
      <c r="J82" s="6">
        <f t="shared" si="35"/>
        <v>0.60507689984000002</v>
      </c>
      <c r="K82" s="2" t="s">
        <v>38</v>
      </c>
      <c r="L82" s="2">
        <f>3/100</f>
        <v>0.03</v>
      </c>
      <c r="M82" s="2">
        <f t="shared" si="36"/>
        <v>0.5672595936</v>
      </c>
    </row>
    <row r="83" spans="1:13" x14ac:dyDescent="0.25">
      <c r="A83" s="4">
        <v>26.11</v>
      </c>
      <c r="B83" s="2" t="s">
        <v>19</v>
      </c>
      <c r="C83" s="6">
        <f t="shared" si="23"/>
        <v>0.85400000000000009</v>
      </c>
      <c r="D83" s="6">
        <f t="shared" si="4"/>
        <v>22.297940000000001</v>
      </c>
      <c r="E83" s="2" t="s">
        <v>13</v>
      </c>
      <c r="F83" s="6">
        <f t="shared" si="34"/>
        <v>0.84799999999999998</v>
      </c>
      <c r="G83" s="6">
        <f t="shared" si="11"/>
        <v>18.90865312</v>
      </c>
      <c r="H83" s="6"/>
      <c r="I83" s="6"/>
      <c r="J83" s="8"/>
      <c r="K83" s="2" t="s">
        <v>39</v>
      </c>
      <c r="L83" s="2">
        <f>1.6/100</f>
        <v>1.6E-2</v>
      </c>
      <c r="M83" s="2">
        <f t="shared" si="36"/>
        <v>0.30253844992000001</v>
      </c>
    </row>
    <row r="84" spans="1:13" x14ac:dyDescent="0.25">
      <c r="A84" s="4">
        <v>26.11</v>
      </c>
      <c r="B84" s="2" t="s">
        <v>19</v>
      </c>
      <c r="C84" s="6">
        <f t="shared" si="23"/>
        <v>0.85400000000000009</v>
      </c>
      <c r="D84" s="6">
        <f t="shared" si="4"/>
        <v>22.297940000000001</v>
      </c>
      <c r="E84" s="2" t="s">
        <v>50</v>
      </c>
      <c r="F84" s="6">
        <f>93.9/100</f>
        <v>0.93900000000000006</v>
      </c>
      <c r="G84" s="6">
        <f t="shared" si="11"/>
        <v>20.93776566</v>
      </c>
      <c r="H84" s="6" t="s">
        <v>11</v>
      </c>
      <c r="I84" s="6">
        <f>10.1/100</f>
        <v>0.10099999999999999</v>
      </c>
      <c r="J84" s="6">
        <f>I84*G84</f>
        <v>2.1147143316599997</v>
      </c>
      <c r="K84" s="2" t="s">
        <v>32</v>
      </c>
      <c r="L84" s="2">
        <f>0/100</f>
        <v>0</v>
      </c>
      <c r="M84" s="2">
        <f>L84*G84</f>
        <v>0</v>
      </c>
    </row>
    <row r="85" spans="1:13" x14ac:dyDescent="0.25">
      <c r="A85" s="4">
        <v>26.11</v>
      </c>
      <c r="B85" s="2" t="s">
        <v>19</v>
      </c>
      <c r="C85" s="6">
        <f t="shared" si="23"/>
        <v>0.85400000000000009</v>
      </c>
      <c r="D85" s="6">
        <f t="shared" si="4"/>
        <v>22.297940000000001</v>
      </c>
      <c r="E85" s="2" t="s">
        <v>17</v>
      </c>
      <c r="F85" s="6">
        <f t="shared" ref="F85:F91" si="37">93.9/100</f>
        <v>0.93900000000000006</v>
      </c>
      <c r="G85" s="6">
        <f t="shared" si="11"/>
        <v>20.93776566</v>
      </c>
      <c r="H85" s="6" t="s">
        <v>12</v>
      </c>
      <c r="I85" s="6">
        <f>13.9/100</f>
        <v>0.13900000000000001</v>
      </c>
      <c r="J85" s="6">
        <f t="shared" ref="J85:J90" si="38">I85*G85</f>
        <v>2.9103494267400003</v>
      </c>
      <c r="K85" s="2" t="s">
        <v>33</v>
      </c>
      <c r="L85" s="2">
        <f>11.1/100</f>
        <v>0.111</v>
      </c>
      <c r="M85" s="2">
        <f t="shared" ref="M85:M87" si="39">L85*G85</f>
        <v>2.3240919882600002</v>
      </c>
    </row>
    <row r="86" spans="1:13" x14ac:dyDescent="0.25">
      <c r="A86" s="4">
        <v>26.11</v>
      </c>
      <c r="B86" s="2" t="s">
        <v>19</v>
      </c>
      <c r="C86" s="6">
        <f t="shared" si="23"/>
        <v>0.85400000000000009</v>
      </c>
      <c r="D86" s="6">
        <f t="shared" si="4"/>
        <v>22.297940000000001</v>
      </c>
      <c r="E86" s="2" t="s">
        <v>17</v>
      </c>
      <c r="F86" s="6">
        <f t="shared" si="37"/>
        <v>0.93900000000000006</v>
      </c>
      <c r="G86" s="6">
        <f t="shared" si="11"/>
        <v>20.93776566</v>
      </c>
      <c r="H86" s="6" t="s">
        <v>7</v>
      </c>
      <c r="I86" s="6">
        <f>23/100</f>
        <v>0.23</v>
      </c>
      <c r="J86" s="6">
        <f t="shared" si="38"/>
        <v>4.8156861017999999</v>
      </c>
      <c r="K86" s="2" t="s">
        <v>34</v>
      </c>
      <c r="L86" s="2">
        <f>23.6/100</f>
        <v>0.23600000000000002</v>
      </c>
      <c r="M86" s="2">
        <f t="shared" si="39"/>
        <v>4.9413126957600007</v>
      </c>
    </row>
    <row r="87" spans="1:13" x14ac:dyDescent="0.25">
      <c r="A87" s="4">
        <v>26.11</v>
      </c>
      <c r="B87" s="2" t="s">
        <v>19</v>
      </c>
      <c r="C87" s="6">
        <f t="shared" si="23"/>
        <v>0.85400000000000009</v>
      </c>
      <c r="D87" s="6">
        <f t="shared" si="4"/>
        <v>22.297940000000001</v>
      </c>
      <c r="E87" s="2" t="s">
        <v>17</v>
      </c>
      <c r="F87" s="6">
        <f t="shared" si="37"/>
        <v>0.93900000000000006</v>
      </c>
      <c r="G87" s="6">
        <f t="shared" si="11"/>
        <v>20.93776566</v>
      </c>
      <c r="H87" s="6" t="s">
        <v>8</v>
      </c>
      <c r="I87" s="6">
        <f>37/100</f>
        <v>0.37</v>
      </c>
      <c r="J87" s="6">
        <f t="shared" si="38"/>
        <v>7.7469732942</v>
      </c>
      <c r="K87" s="2" t="s">
        <v>35</v>
      </c>
      <c r="L87" s="2">
        <f>32/100</f>
        <v>0.32</v>
      </c>
      <c r="M87" s="2">
        <f t="shared" si="39"/>
        <v>6.7000850112000006</v>
      </c>
    </row>
    <row r="88" spans="1:13" x14ac:dyDescent="0.25">
      <c r="A88" s="4">
        <v>26.11</v>
      </c>
      <c r="B88" s="2" t="s">
        <v>19</v>
      </c>
      <c r="C88" s="6">
        <f t="shared" si="23"/>
        <v>0.85400000000000009</v>
      </c>
      <c r="D88" s="6">
        <f t="shared" si="4"/>
        <v>22.297940000000001</v>
      </c>
      <c r="E88" s="2" t="s">
        <v>17</v>
      </c>
      <c r="F88" s="6">
        <f t="shared" si="37"/>
        <v>0.93900000000000006</v>
      </c>
      <c r="G88" s="6">
        <f t="shared" si="11"/>
        <v>20.93776566</v>
      </c>
      <c r="H88" s="6" t="s">
        <v>10</v>
      </c>
      <c r="I88" s="6">
        <f>2/100</f>
        <v>0.02</v>
      </c>
      <c r="J88" s="6">
        <f t="shared" si="38"/>
        <v>0.41875531320000003</v>
      </c>
      <c r="K88" s="2" t="s">
        <v>36</v>
      </c>
      <c r="L88" s="2">
        <f>19.6/100</f>
        <v>0.19600000000000001</v>
      </c>
      <c r="M88" s="2">
        <f>L87*G88</f>
        <v>6.7000850112000006</v>
      </c>
    </row>
    <row r="89" spans="1:13" x14ac:dyDescent="0.25">
      <c r="A89" s="4">
        <v>26.11</v>
      </c>
      <c r="B89" s="2" t="s">
        <v>19</v>
      </c>
      <c r="C89" s="6">
        <f t="shared" si="23"/>
        <v>0.85400000000000009</v>
      </c>
      <c r="D89" s="6">
        <f t="shared" si="4"/>
        <v>22.297940000000001</v>
      </c>
      <c r="E89" s="2" t="s">
        <v>17</v>
      </c>
      <c r="F89" s="6">
        <f t="shared" si="37"/>
        <v>0.93900000000000006</v>
      </c>
      <c r="G89" s="6">
        <f t="shared" si="11"/>
        <v>20.93776566</v>
      </c>
      <c r="H89" s="6" t="s">
        <v>9</v>
      </c>
      <c r="I89" s="6">
        <f>10.6/100</f>
        <v>0.106</v>
      </c>
      <c r="J89" s="6">
        <f t="shared" si="38"/>
        <v>2.2194031599600001</v>
      </c>
      <c r="K89" s="2" t="s">
        <v>37</v>
      </c>
      <c r="L89" s="2">
        <f>10.4/100</f>
        <v>0.10400000000000001</v>
      </c>
      <c r="M89" s="2">
        <f>L88*G89</f>
        <v>4.1038020693600004</v>
      </c>
    </row>
    <row r="90" spans="1:13" x14ac:dyDescent="0.25">
      <c r="A90" s="4">
        <v>26.11</v>
      </c>
      <c r="B90" s="2" t="s">
        <v>19</v>
      </c>
      <c r="C90" s="6">
        <f t="shared" si="23"/>
        <v>0.85400000000000009</v>
      </c>
      <c r="D90" s="6">
        <f t="shared" si="4"/>
        <v>22.297940000000001</v>
      </c>
      <c r="E90" s="2" t="s">
        <v>17</v>
      </c>
      <c r="F90" s="6">
        <f t="shared" si="37"/>
        <v>0.93900000000000006</v>
      </c>
      <c r="G90" s="6">
        <f t="shared" si="11"/>
        <v>20.93776566</v>
      </c>
      <c r="H90" s="6" t="s">
        <v>55</v>
      </c>
      <c r="I90" s="6">
        <f>3.5/100</f>
        <v>3.5000000000000003E-2</v>
      </c>
      <c r="J90" s="6">
        <f t="shared" si="38"/>
        <v>0.73282179810000003</v>
      </c>
      <c r="K90" s="2" t="s">
        <v>38</v>
      </c>
      <c r="L90" s="2">
        <f>3.4/100</f>
        <v>3.4000000000000002E-2</v>
      </c>
      <c r="M90" s="2">
        <f>L89*G90</f>
        <v>2.17752762864</v>
      </c>
    </row>
    <row r="91" spans="1:13" x14ac:dyDescent="0.25">
      <c r="A91" s="4">
        <v>26.11</v>
      </c>
      <c r="B91" s="2" t="s">
        <v>19</v>
      </c>
      <c r="C91" s="6">
        <f t="shared" si="23"/>
        <v>0.85400000000000009</v>
      </c>
      <c r="D91" s="6">
        <f t="shared" si="4"/>
        <v>22.297940000000001</v>
      </c>
      <c r="E91" s="2" t="s">
        <v>17</v>
      </c>
      <c r="F91" s="6">
        <f t="shared" si="37"/>
        <v>0.93900000000000006</v>
      </c>
      <c r="G91" s="6">
        <f t="shared" si="11"/>
        <v>20.93776566</v>
      </c>
      <c r="H91" s="6"/>
      <c r="I91" s="6"/>
      <c r="J91" s="6"/>
      <c r="K91" s="2" t="s">
        <v>39</v>
      </c>
      <c r="L91" s="2">
        <f>0/100</f>
        <v>0</v>
      </c>
      <c r="M91" s="2">
        <f>L90*G91</f>
        <v>0.71188403244000009</v>
      </c>
    </row>
    <row r="92" spans="1:13" x14ac:dyDescent="0.25">
      <c r="A92" s="4">
        <v>26.11</v>
      </c>
      <c r="B92" s="2" t="s">
        <v>19</v>
      </c>
      <c r="C92" s="6">
        <f t="shared" si="23"/>
        <v>0.85400000000000009</v>
      </c>
      <c r="D92" s="6">
        <f t="shared" si="4"/>
        <v>22.297940000000001</v>
      </c>
      <c r="E92" s="2" t="s">
        <v>49</v>
      </c>
      <c r="F92" s="2">
        <f>91.5/100</f>
        <v>0.91500000000000004</v>
      </c>
      <c r="G92" s="6">
        <f t="shared" si="11"/>
        <v>20.402615100000002</v>
      </c>
      <c r="H92" s="6" t="s">
        <v>11</v>
      </c>
      <c r="I92" s="6">
        <f>21.6/100</f>
        <v>0.21600000000000003</v>
      </c>
      <c r="J92" s="6">
        <f>I92*G92</f>
        <v>4.4069648616000006</v>
      </c>
      <c r="K92" s="2" t="s">
        <v>32</v>
      </c>
      <c r="L92" s="2">
        <f>8.2/100</f>
        <v>8.199999999999999E-2</v>
      </c>
      <c r="M92" s="2">
        <f>L92*G92</f>
        <v>1.6730144381999998</v>
      </c>
    </row>
    <row r="93" spans="1:13" x14ac:dyDescent="0.25">
      <c r="A93" s="4">
        <v>26.11</v>
      </c>
      <c r="B93" s="2" t="s">
        <v>19</v>
      </c>
      <c r="C93" s="6">
        <f t="shared" si="23"/>
        <v>0.85400000000000009</v>
      </c>
      <c r="D93" s="6">
        <f t="shared" ref="D93:D99" si="40">C93*A93</f>
        <v>22.297940000000001</v>
      </c>
      <c r="E93" s="2" t="s">
        <v>18</v>
      </c>
      <c r="F93" s="2">
        <f t="shared" ref="F93:F99" si="41">91.5/100</f>
        <v>0.91500000000000004</v>
      </c>
      <c r="G93" s="6">
        <f t="shared" si="11"/>
        <v>20.402615100000002</v>
      </c>
      <c r="H93" s="6" t="s">
        <v>12</v>
      </c>
      <c r="I93" s="6">
        <f>9.3/100</f>
        <v>9.3000000000000013E-2</v>
      </c>
      <c r="J93" s="6">
        <f t="shared" ref="J93:J98" si="42">I93*G93</f>
        <v>1.8974432043000005</v>
      </c>
      <c r="K93" s="2" t="s">
        <v>33</v>
      </c>
      <c r="L93" s="2">
        <f>13.9/100</f>
        <v>0.13900000000000001</v>
      </c>
      <c r="M93" s="2">
        <f t="shared" ref="M93:M99" si="43">L93*G93</f>
        <v>2.8359634989000004</v>
      </c>
    </row>
    <row r="94" spans="1:13" x14ac:dyDescent="0.25">
      <c r="A94" s="4">
        <v>26.11</v>
      </c>
      <c r="B94" s="2" t="s">
        <v>19</v>
      </c>
      <c r="C94" s="6">
        <f t="shared" si="23"/>
        <v>0.85400000000000009</v>
      </c>
      <c r="D94" s="6">
        <f t="shared" si="40"/>
        <v>22.297940000000001</v>
      </c>
      <c r="E94" s="2" t="s">
        <v>18</v>
      </c>
      <c r="F94" s="2">
        <f t="shared" si="41"/>
        <v>0.91500000000000004</v>
      </c>
      <c r="G94" s="6">
        <f t="shared" si="11"/>
        <v>20.402615100000002</v>
      </c>
      <c r="H94" s="6" t="s">
        <v>7</v>
      </c>
      <c r="I94" s="6">
        <f>19.1/100</f>
        <v>0.191</v>
      </c>
      <c r="J94" s="6">
        <f t="shared" si="42"/>
        <v>3.8968994841000004</v>
      </c>
      <c r="K94" s="2" t="s">
        <v>34</v>
      </c>
      <c r="L94" s="2">
        <f>15.9/100</f>
        <v>0.159</v>
      </c>
      <c r="M94" s="2">
        <f t="shared" si="43"/>
        <v>3.2440158009000002</v>
      </c>
    </row>
    <row r="95" spans="1:13" x14ac:dyDescent="0.25">
      <c r="A95" s="4">
        <v>26.11</v>
      </c>
      <c r="B95" s="2" t="s">
        <v>19</v>
      </c>
      <c r="C95" s="6">
        <f t="shared" si="23"/>
        <v>0.85400000000000009</v>
      </c>
      <c r="D95" s="6">
        <f t="shared" si="40"/>
        <v>22.297940000000001</v>
      </c>
      <c r="E95" s="2" t="s">
        <v>18</v>
      </c>
      <c r="F95" s="2">
        <f t="shared" si="41"/>
        <v>0.91500000000000004</v>
      </c>
      <c r="G95" s="6">
        <f t="shared" si="11"/>
        <v>20.402615100000002</v>
      </c>
      <c r="H95" s="6" t="s">
        <v>8</v>
      </c>
      <c r="I95" s="6">
        <f>36.2/100</f>
        <v>0.36200000000000004</v>
      </c>
      <c r="J95" s="6">
        <f t="shared" si="42"/>
        <v>7.385746666200002</v>
      </c>
      <c r="K95" s="2" t="s">
        <v>35</v>
      </c>
      <c r="L95" s="2">
        <f>25.3/100</f>
        <v>0.253</v>
      </c>
      <c r="M95" s="2">
        <f t="shared" si="43"/>
        <v>5.1618616203000007</v>
      </c>
    </row>
    <row r="96" spans="1:13" x14ac:dyDescent="0.25">
      <c r="A96" s="4">
        <v>26.11</v>
      </c>
      <c r="B96" s="2" t="s">
        <v>19</v>
      </c>
      <c r="C96" s="6">
        <f t="shared" si="23"/>
        <v>0.85400000000000009</v>
      </c>
      <c r="D96" s="6">
        <f t="shared" si="40"/>
        <v>22.297940000000001</v>
      </c>
      <c r="E96" s="2" t="s">
        <v>18</v>
      </c>
      <c r="F96" s="2">
        <f t="shared" si="41"/>
        <v>0.91500000000000004</v>
      </c>
      <c r="G96" s="6">
        <f t="shared" si="11"/>
        <v>20.402615100000002</v>
      </c>
      <c r="H96" s="6" t="s">
        <v>10</v>
      </c>
      <c r="I96" s="6">
        <f>2.5/100</f>
        <v>2.5000000000000001E-2</v>
      </c>
      <c r="J96" s="6">
        <f t="shared" si="42"/>
        <v>0.51006537750000003</v>
      </c>
      <c r="K96" s="2" t="s">
        <v>36</v>
      </c>
      <c r="L96" s="2">
        <f>18.2/100</f>
        <v>0.182</v>
      </c>
      <c r="M96" s="2">
        <f t="shared" si="43"/>
        <v>3.7132759482000002</v>
      </c>
    </row>
    <row r="97" spans="1:13" x14ac:dyDescent="0.25">
      <c r="A97" s="4">
        <v>26.11</v>
      </c>
      <c r="B97" s="2" t="s">
        <v>19</v>
      </c>
      <c r="C97" s="6">
        <f t="shared" si="23"/>
        <v>0.85400000000000009</v>
      </c>
      <c r="D97" s="6">
        <f t="shared" si="40"/>
        <v>22.297940000000001</v>
      </c>
      <c r="E97" s="2" t="s">
        <v>18</v>
      </c>
      <c r="F97" s="2">
        <f t="shared" si="41"/>
        <v>0.91500000000000004</v>
      </c>
      <c r="G97" s="6">
        <f t="shared" si="11"/>
        <v>20.402615100000002</v>
      </c>
      <c r="H97" s="6" t="s">
        <v>9</v>
      </c>
      <c r="I97" s="6">
        <f>8.8/100</f>
        <v>8.8000000000000009E-2</v>
      </c>
      <c r="J97" s="6">
        <f t="shared" si="42"/>
        <v>1.7954301288000003</v>
      </c>
      <c r="K97" s="2" t="s">
        <v>37</v>
      </c>
      <c r="L97" s="2">
        <f>13.9/100</f>
        <v>0.13900000000000001</v>
      </c>
      <c r="M97" s="2">
        <f t="shared" si="43"/>
        <v>2.8359634989000004</v>
      </c>
    </row>
    <row r="98" spans="1:13" x14ac:dyDescent="0.25">
      <c r="A98" s="4">
        <v>26.11</v>
      </c>
      <c r="B98" s="2" t="s">
        <v>19</v>
      </c>
      <c r="C98" s="6">
        <f t="shared" si="23"/>
        <v>0.85400000000000009</v>
      </c>
      <c r="D98" s="6">
        <f t="shared" si="40"/>
        <v>22.297940000000001</v>
      </c>
      <c r="E98" s="2" t="s">
        <v>18</v>
      </c>
      <c r="F98" s="2">
        <f t="shared" si="41"/>
        <v>0.91500000000000004</v>
      </c>
      <c r="G98" s="6">
        <f t="shared" si="11"/>
        <v>20.402615100000002</v>
      </c>
      <c r="H98" s="6" t="s">
        <v>55</v>
      </c>
      <c r="I98" s="2">
        <f>2.5/100</f>
        <v>2.5000000000000001E-2</v>
      </c>
      <c r="J98" s="6">
        <f t="shared" si="42"/>
        <v>0.51006537750000003</v>
      </c>
      <c r="K98" s="2" t="s">
        <v>38</v>
      </c>
      <c r="L98" s="2">
        <f>2.7/100</f>
        <v>2.7000000000000003E-2</v>
      </c>
      <c r="M98" s="2">
        <f t="shared" si="43"/>
        <v>0.55087060770000007</v>
      </c>
    </row>
    <row r="99" spans="1:13" x14ac:dyDescent="0.25">
      <c r="A99" s="4">
        <v>26.11</v>
      </c>
      <c r="B99" s="2" t="s">
        <v>19</v>
      </c>
      <c r="C99" s="6">
        <f t="shared" si="23"/>
        <v>0.85400000000000009</v>
      </c>
      <c r="D99" s="6">
        <f t="shared" si="40"/>
        <v>22.297940000000001</v>
      </c>
      <c r="E99" s="2" t="s">
        <v>18</v>
      </c>
      <c r="F99" s="2">
        <f t="shared" si="41"/>
        <v>0.91500000000000004</v>
      </c>
      <c r="G99" s="6">
        <f t="shared" ref="G99" si="44">F99*D99</f>
        <v>20.402615100000002</v>
      </c>
      <c r="H99" s="2"/>
      <c r="I99" s="2"/>
      <c r="J99" s="2"/>
      <c r="K99" s="2" t="s">
        <v>39</v>
      </c>
      <c r="L99" s="2">
        <f>1.8/100</f>
        <v>1.8000000000000002E-2</v>
      </c>
      <c r="M99" s="2">
        <f t="shared" si="43"/>
        <v>0.3672470718000001</v>
      </c>
    </row>
  </sheetData>
  <mergeCells count="1">
    <mergeCell ref="E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5.6640625" customWidth="1"/>
  </cols>
  <sheetData>
    <row r="2" spans="1:13" x14ac:dyDescent="0.25">
      <c r="A2" s="3"/>
      <c r="B2" s="3"/>
      <c r="C2" s="3"/>
      <c r="D2" s="3"/>
      <c r="E2" s="21" t="s">
        <v>95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27.798999999999999</v>
      </c>
      <c r="B4" s="4" t="s">
        <v>2</v>
      </c>
      <c r="C4" s="5">
        <f>16.1/100</f>
        <v>0.161</v>
      </c>
      <c r="D4" s="6">
        <f>C4*A4</f>
        <v>4.4756390000000001</v>
      </c>
      <c r="E4" s="6" t="s">
        <v>14</v>
      </c>
      <c r="F4" s="5">
        <f>18.6/100</f>
        <v>0.18600000000000003</v>
      </c>
      <c r="G4" s="5">
        <f>D4*F4</f>
        <v>0.83246885400000015</v>
      </c>
      <c r="H4" s="6" t="s">
        <v>11</v>
      </c>
      <c r="I4" s="6">
        <f>11.2/100</f>
        <v>0.11199999999999999</v>
      </c>
      <c r="J4" s="7">
        <f>I4*G4</f>
        <v>9.3236511648000009E-2</v>
      </c>
      <c r="K4" s="2" t="s">
        <v>32</v>
      </c>
      <c r="L4" s="2">
        <f>3.5/100</f>
        <v>3.5000000000000003E-2</v>
      </c>
      <c r="M4" s="2">
        <f>L4*G4</f>
        <v>2.9136409890000006E-2</v>
      </c>
    </row>
    <row r="5" spans="1:13" x14ac:dyDescent="0.25">
      <c r="A5" s="4">
        <v>27.798999999999999</v>
      </c>
      <c r="B5" s="4" t="s">
        <v>2</v>
      </c>
      <c r="C5" s="5">
        <f t="shared" ref="C5:C51" si="0">16.1/100</f>
        <v>0.161</v>
      </c>
      <c r="D5" s="6">
        <f>C5*A5</f>
        <v>4.4756390000000001</v>
      </c>
      <c r="E5" s="6" t="s">
        <v>43</v>
      </c>
      <c r="F5" s="5">
        <f t="shared" ref="F5:F11" si="1">18.6/100</f>
        <v>0.18600000000000003</v>
      </c>
      <c r="G5" s="5">
        <f>D5*F5</f>
        <v>0.83246885400000015</v>
      </c>
      <c r="H5" s="6" t="s">
        <v>12</v>
      </c>
      <c r="I5" s="6">
        <f>2.5/100</f>
        <v>2.5000000000000001E-2</v>
      </c>
      <c r="J5" s="8">
        <f t="shared" ref="J5:J10" si="2">G5*I5</f>
        <v>2.0811721350000006E-2</v>
      </c>
      <c r="K5" s="2" t="s">
        <v>33</v>
      </c>
      <c r="L5" s="2">
        <f>8.3/100</f>
        <v>8.3000000000000004E-2</v>
      </c>
      <c r="M5" s="2">
        <f t="shared" ref="M5:M11" si="3">L5*G5</f>
        <v>6.9094914882000022E-2</v>
      </c>
    </row>
    <row r="6" spans="1:13" x14ac:dyDescent="0.25">
      <c r="A6" s="4">
        <v>27.798999999999999</v>
      </c>
      <c r="B6" s="4" t="s">
        <v>2</v>
      </c>
      <c r="C6" s="5">
        <f t="shared" si="0"/>
        <v>0.161</v>
      </c>
      <c r="D6" s="6">
        <f t="shared" ref="D6:D92" si="4">C6*A6</f>
        <v>4.4756390000000001</v>
      </c>
      <c r="E6" s="6" t="s">
        <v>14</v>
      </c>
      <c r="F6" s="5">
        <f t="shared" si="1"/>
        <v>0.18600000000000003</v>
      </c>
      <c r="G6" s="5">
        <f t="shared" ref="G6:G11" si="5">D6*F6</f>
        <v>0.83246885400000015</v>
      </c>
      <c r="H6" s="6" t="s">
        <v>7</v>
      </c>
      <c r="I6" s="14">
        <f>7.3/100</f>
        <v>7.2999999999999995E-2</v>
      </c>
      <c r="J6" s="8">
        <f t="shared" si="2"/>
        <v>6.0770226342000008E-2</v>
      </c>
      <c r="K6" s="2" t="s">
        <v>34</v>
      </c>
      <c r="L6" s="2">
        <f>15.1/100</f>
        <v>0.151</v>
      </c>
      <c r="M6" s="2">
        <f t="shared" si="3"/>
        <v>0.12570279695400002</v>
      </c>
    </row>
    <row r="7" spans="1:13" x14ac:dyDescent="0.25">
      <c r="A7" s="4">
        <v>27.798999999999999</v>
      </c>
      <c r="B7" s="4" t="s">
        <v>2</v>
      </c>
      <c r="C7" s="5">
        <f t="shared" si="0"/>
        <v>0.161</v>
      </c>
      <c r="D7" s="6">
        <f t="shared" si="4"/>
        <v>4.4756390000000001</v>
      </c>
      <c r="E7" s="6" t="s">
        <v>14</v>
      </c>
      <c r="F7" s="5">
        <f t="shared" si="1"/>
        <v>0.18600000000000003</v>
      </c>
      <c r="G7" s="5">
        <f t="shared" si="5"/>
        <v>0.83246885400000015</v>
      </c>
      <c r="H7" s="6" t="s">
        <v>8</v>
      </c>
      <c r="I7" s="6">
        <f>29.3/100</f>
        <v>0.29299999999999998</v>
      </c>
      <c r="J7" s="8">
        <f t="shared" si="2"/>
        <v>0.24391337422200002</v>
      </c>
      <c r="K7" s="2" t="s">
        <v>35</v>
      </c>
      <c r="L7" s="2">
        <f>22.5/100</f>
        <v>0.22500000000000001</v>
      </c>
      <c r="M7" s="2">
        <f t="shared" si="3"/>
        <v>0.18730549215000003</v>
      </c>
    </row>
    <row r="8" spans="1:13" x14ac:dyDescent="0.25">
      <c r="A8" s="4">
        <v>27.798999999999999</v>
      </c>
      <c r="B8" s="4" t="s">
        <v>2</v>
      </c>
      <c r="C8" s="5">
        <f t="shared" si="0"/>
        <v>0.161</v>
      </c>
      <c r="D8" s="6">
        <f t="shared" si="4"/>
        <v>4.4756390000000001</v>
      </c>
      <c r="E8" s="6" t="s">
        <v>14</v>
      </c>
      <c r="F8" s="5">
        <f t="shared" si="1"/>
        <v>0.18600000000000003</v>
      </c>
      <c r="G8" s="5">
        <f t="shared" si="5"/>
        <v>0.83246885400000015</v>
      </c>
      <c r="H8" s="6" t="s">
        <v>10</v>
      </c>
      <c r="I8" s="6">
        <f>8.9/100</f>
        <v>8.900000000000001E-2</v>
      </c>
      <c r="J8" s="8">
        <f t="shared" si="2"/>
        <v>7.4089728006000027E-2</v>
      </c>
      <c r="K8" s="2" t="s">
        <v>36</v>
      </c>
      <c r="L8" s="2">
        <f>26.6/100</f>
        <v>0.26600000000000001</v>
      </c>
      <c r="M8" s="2">
        <f t="shared" si="3"/>
        <v>0.22143671516400004</v>
      </c>
    </row>
    <row r="9" spans="1:13" x14ac:dyDescent="0.25">
      <c r="A9" s="4">
        <v>27.798999999999999</v>
      </c>
      <c r="B9" s="4" t="s">
        <v>2</v>
      </c>
      <c r="C9" s="5">
        <f t="shared" si="0"/>
        <v>0.161</v>
      </c>
      <c r="D9" s="6">
        <f>C9*A9</f>
        <v>4.4756390000000001</v>
      </c>
      <c r="E9" s="6" t="s">
        <v>14</v>
      </c>
      <c r="F9" s="5">
        <f t="shared" si="1"/>
        <v>0.18600000000000003</v>
      </c>
      <c r="G9" s="5">
        <f t="shared" si="5"/>
        <v>0.83246885400000015</v>
      </c>
      <c r="H9" s="6" t="s">
        <v>9</v>
      </c>
      <c r="I9" s="6">
        <f>39.6/100</f>
        <v>0.39600000000000002</v>
      </c>
      <c r="J9" s="8">
        <f t="shared" si="2"/>
        <v>0.32965766618400005</v>
      </c>
      <c r="K9" s="2" t="s">
        <v>37</v>
      </c>
      <c r="L9" s="2">
        <f>22.2/100</f>
        <v>0.222</v>
      </c>
      <c r="M9" s="2">
        <f t="shared" si="3"/>
        <v>0.18480808558800005</v>
      </c>
    </row>
    <row r="10" spans="1:13" x14ac:dyDescent="0.25">
      <c r="A10" s="4">
        <v>27.798999999999999</v>
      </c>
      <c r="B10" s="4" t="s">
        <v>2</v>
      </c>
      <c r="C10" s="5">
        <f t="shared" si="0"/>
        <v>0.161</v>
      </c>
      <c r="D10" s="6">
        <f t="shared" si="4"/>
        <v>4.4756390000000001</v>
      </c>
      <c r="E10" s="6" t="s">
        <v>14</v>
      </c>
      <c r="F10" s="5">
        <f t="shared" si="1"/>
        <v>0.18600000000000003</v>
      </c>
      <c r="G10" s="5">
        <f t="shared" si="5"/>
        <v>0.83246885400000015</v>
      </c>
      <c r="H10" s="6" t="s">
        <v>55</v>
      </c>
      <c r="I10" s="6">
        <f>1.2/100</f>
        <v>1.2E-2</v>
      </c>
      <c r="J10" s="8">
        <f t="shared" si="2"/>
        <v>9.9896262480000022E-3</v>
      </c>
      <c r="K10" s="2" t="s">
        <v>38</v>
      </c>
      <c r="L10" s="2">
        <f>1.3/100</f>
        <v>1.3000000000000001E-2</v>
      </c>
      <c r="M10" s="2">
        <f t="shared" si="3"/>
        <v>1.0822095102000003E-2</v>
      </c>
    </row>
    <row r="11" spans="1:13" x14ac:dyDescent="0.25">
      <c r="A11" s="4">
        <v>27.798999999999999</v>
      </c>
      <c r="B11" s="4" t="s">
        <v>2</v>
      </c>
      <c r="C11" s="5">
        <f t="shared" si="0"/>
        <v>0.161</v>
      </c>
      <c r="D11" s="6">
        <f t="shared" si="4"/>
        <v>4.4756390000000001</v>
      </c>
      <c r="E11" s="6" t="s">
        <v>14</v>
      </c>
      <c r="F11" s="5">
        <f t="shared" si="1"/>
        <v>0.18600000000000003</v>
      </c>
      <c r="G11" s="5">
        <f t="shared" si="5"/>
        <v>0.83246885400000015</v>
      </c>
      <c r="H11" s="6"/>
      <c r="I11" s="6"/>
      <c r="J11" s="8"/>
      <c r="K11" s="2" t="s">
        <v>39</v>
      </c>
      <c r="L11" s="2">
        <f>0.5/100</f>
        <v>5.0000000000000001E-3</v>
      </c>
      <c r="M11" s="2">
        <f t="shared" si="3"/>
        <v>4.1623442700000008E-3</v>
      </c>
    </row>
    <row r="12" spans="1:13" x14ac:dyDescent="0.25">
      <c r="A12" s="4">
        <v>27.798999999999999</v>
      </c>
      <c r="B12" s="4" t="s">
        <v>2</v>
      </c>
      <c r="C12" s="5">
        <f t="shared" si="0"/>
        <v>0.161</v>
      </c>
      <c r="D12" s="6">
        <f t="shared" si="4"/>
        <v>4.4756390000000001</v>
      </c>
      <c r="E12" s="6" t="s">
        <v>44</v>
      </c>
      <c r="F12" s="8">
        <f>14.4/100</f>
        <v>0.14400000000000002</v>
      </c>
      <c r="G12" s="6">
        <f>F12*D12</f>
        <v>0.64449201600000006</v>
      </c>
      <c r="H12" s="6" t="s">
        <v>11</v>
      </c>
      <c r="I12" s="6">
        <f>0/100</f>
        <v>0</v>
      </c>
      <c r="J12" s="8">
        <f>I12*G12</f>
        <v>0</v>
      </c>
      <c r="K12" s="2" t="s">
        <v>32</v>
      </c>
      <c r="L12" s="2">
        <f>1.7/100</f>
        <v>1.7000000000000001E-2</v>
      </c>
      <c r="M12" s="2">
        <f>L12*G12</f>
        <v>1.0956364272000002E-2</v>
      </c>
    </row>
    <row r="13" spans="1:13" x14ac:dyDescent="0.25">
      <c r="A13" s="4">
        <v>27.798999999999999</v>
      </c>
      <c r="B13" s="4" t="s">
        <v>2</v>
      </c>
      <c r="C13" s="5">
        <f t="shared" si="0"/>
        <v>0.161</v>
      </c>
      <c r="D13" s="6">
        <f t="shared" si="4"/>
        <v>4.4756390000000001</v>
      </c>
      <c r="E13" s="6" t="s">
        <v>15</v>
      </c>
      <c r="F13" s="8">
        <f t="shared" ref="F13:F19" si="6">14.4/100</f>
        <v>0.14400000000000002</v>
      </c>
      <c r="G13" s="6">
        <f t="shared" ref="G13:G19" si="7">F13*D13</f>
        <v>0.64449201600000006</v>
      </c>
      <c r="H13" s="6" t="s">
        <v>12</v>
      </c>
      <c r="I13" s="6">
        <f>2.8/100</f>
        <v>2.7999999999999997E-2</v>
      </c>
      <c r="J13" s="8">
        <f t="shared" ref="J13:J17" si="8">I13*G13</f>
        <v>1.8045776448000001E-2</v>
      </c>
      <c r="K13" s="2" t="s">
        <v>33</v>
      </c>
      <c r="L13" s="2">
        <f>12/100</f>
        <v>0.12</v>
      </c>
      <c r="M13" s="2">
        <f t="shared" ref="M13:M19" si="9">L13*G13</f>
        <v>7.7339041920000004E-2</v>
      </c>
    </row>
    <row r="14" spans="1:13" x14ac:dyDescent="0.25">
      <c r="A14" s="4">
        <v>27.798999999999999</v>
      </c>
      <c r="B14" s="4" t="s">
        <v>2</v>
      </c>
      <c r="C14" s="5">
        <f t="shared" si="0"/>
        <v>0.161</v>
      </c>
      <c r="D14" s="6">
        <f t="shared" si="4"/>
        <v>4.4756390000000001</v>
      </c>
      <c r="E14" s="6" t="s">
        <v>15</v>
      </c>
      <c r="F14" s="8">
        <f t="shared" si="6"/>
        <v>0.14400000000000002</v>
      </c>
      <c r="G14" s="6">
        <f t="shared" si="7"/>
        <v>0.64449201600000006</v>
      </c>
      <c r="H14" s="6" t="s">
        <v>7</v>
      </c>
      <c r="I14" s="6">
        <f>2.3/100</f>
        <v>2.3E-2</v>
      </c>
      <c r="J14" s="8">
        <f t="shared" si="8"/>
        <v>1.4823316368000002E-2</v>
      </c>
      <c r="K14" s="2" t="s">
        <v>34</v>
      </c>
      <c r="L14" s="2">
        <f>13/100</f>
        <v>0.13</v>
      </c>
      <c r="M14" s="2">
        <f t="shared" si="9"/>
        <v>8.378396208000001E-2</v>
      </c>
    </row>
    <row r="15" spans="1:13" x14ac:dyDescent="0.25">
      <c r="A15" s="4">
        <v>27.798999999999999</v>
      </c>
      <c r="B15" s="4" t="s">
        <v>2</v>
      </c>
      <c r="C15" s="5">
        <f t="shared" si="0"/>
        <v>0.161</v>
      </c>
      <c r="D15" s="6">
        <f t="shared" si="4"/>
        <v>4.4756390000000001</v>
      </c>
      <c r="E15" s="6" t="s">
        <v>15</v>
      </c>
      <c r="F15" s="8">
        <f t="shared" si="6"/>
        <v>0.14400000000000002</v>
      </c>
      <c r="G15" s="6">
        <f t="shared" si="7"/>
        <v>0.64449201600000006</v>
      </c>
      <c r="H15" s="6" t="s">
        <v>8</v>
      </c>
      <c r="I15" s="6">
        <f>22.2/100</f>
        <v>0.222</v>
      </c>
      <c r="J15" s="8">
        <f>I15*G15</f>
        <v>0.143077227552</v>
      </c>
      <c r="K15" s="2" t="s">
        <v>35</v>
      </c>
      <c r="L15" s="2">
        <f>29.7/100</f>
        <v>0.29699999999999999</v>
      </c>
      <c r="M15" s="2">
        <f t="shared" si="9"/>
        <v>0.19141412875200001</v>
      </c>
    </row>
    <row r="16" spans="1:13" x14ac:dyDescent="0.25">
      <c r="A16" s="4">
        <v>27.798999999999999</v>
      </c>
      <c r="B16" s="4" t="s">
        <v>2</v>
      </c>
      <c r="C16" s="5">
        <f t="shared" si="0"/>
        <v>0.161</v>
      </c>
      <c r="D16" s="6">
        <f t="shared" si="4"/>
        <v>4.4756390000000001</v>
      </c>
      <c r="E16" s="6" t="s">
        <v>15</v>
      </c>
      <c r="F16" s="8">
        <f t="shared" si="6"/>
        <v>0.14400000000000002</v>
      </c>
      <c r="G16" s="6">
        <f t="shared" si="7"/>
        <v>0.64449201600000006</v>
      </c>
      <c r="H16" s="6" t="s">
        <v>10</v>
      </c>
      <c r="I16" s="6">
        <f>11.4/100</f>
        <v>0.114</v>
      </c>
      <c r="J16" s="8">
        <f t="shared" si="8"/>
        <v>7.3472089824000011E-2</v>
      </c>
      <c r="K16" s="2" t="s">
        <v>36</v>
      </c>
      <c r="L16" s="2">
        <f>28.7/100</f>
        <v>0.28699999999999998</v>
      </c>
      <c r="M16" s="2">
        <f t="shared" si="9"/>
        <v>0.184969208592</v>
      </c>
    </row>
    <row r="17" spans="1:13" x14ac:dyDescent="0.25">
      <c r="A17" s="4">
        <v>27.798999999999999</v>
      </c>
      <c r="B17" s="4" t="s">
        <v>2</v>
      </c>
      <c r="C17" s="5">
        <f t="shared" si="0"/>
        <v>0.161</v>
      </c>
      <c r="D17" s="6">
        <f t="shared" si="4"/>
        <v>4.4756390000000001</v>
      </c>
      <c r="E17" s="6" t="s">
        <v>15</v>
      </c>
      <c r="F17" s="8">
        <f t="shared" si="6"/>
        <v>0.14400000000000002</v>
      </c>
      <c r="G17" s="6">
        <f t="shared" si="7"/>
        <v>0.64449201600000006</v>
      </c>
      <c r="H17" s="6" t="s">
        <v>9</v>
      </c>
      <c r="I17" s="6">
        <f>58.5/100</f>
        <v>0.58499999999999996</v>
      </c>
      <c r="J17" s="8">
        <f t="shared" si="8"/>
        <v>0.37702782936000001</v>
      </c>
      <c r="K17" s="2" t="s">
        <v>37</v>
      </c>
      <c r="L17" s="2">
        <f>14.9/100</f>
        <v>0.14899999999999999</v>
      </c>
      <c r="M17" s="2">
        <f t="shared" si="9"/>
        <v>9.6029310384000005E-2</v>
      </c>
    </row>
    <row r="18" spans="1:13" x14ac:dyDescent="0.25">
      <c r="A18" s="4">
        <v>27.798999999999999</v>
      </c>
      <c r="B18" s="4" t="s">
        <v>2</v>
      </c>
      <c r="C18" s="5">
        <f t="shared" si="0"/>
        <v>0.161</v>
      </c>
      <c r="D18" s="6">
        <f t="shared" si="4"/>
        <v>4.4756390000000001</v>
      </c>
      <c r="E18" s="6" t="s">
        <v>15</v>
      </c>
      <c r="F18" s="8">
        <f t="shared" si="6"/>
        <v>0.14400000000000002</v>
      </c>
      <c r="G18" s="6">
        <f t="shared" si="7"/>
        <v>0.64449201600000006</v>
      </c>
      <c r="H18" s="6" t="s">
        <v>55</v>
      </c>
      <c r="I18" s="6">
        <f>2.8/100</f>
        <v>2.7999999999999997E-2</v>
      </c>
      <c r="J18" s="8">
        <f>I18*G18</f>
        <v>1.8045776448000001E-2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27.798999999999999</v>
      </c>
      <c r="B19" s="4" t="s">
        <v>2</v>
      </c>
      <c r="C19" s="5">
        <f t="shared" si="0"/>
        <v>0.161</v>
      </c>
      <c r="D19" s="6">
        <f t="shared" si="4"/>
        <v>4.4756390000000001</v>
      </c>
      <c r="E19" s="6" t="s">
        <v>15</v>
      </c>
      <c r="F19" s="8">
        <f t="shared" si="6"/>
        <v>0.14400000000000002</v>
      </c>
      <c r="G19" s="6">
        <f t="shared" si="7"/>
        <v>0.64449201600000006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27.798999999999999</v>
      </c>
      <c r="B20" s="4" t="s">
        <v>2</v>
      </c>
      <c r="C20" s="5">
        <f t="shared" si="0"/>
        <v>0.161</v>
      </c>
      <c r="D20" s="6">
        <f t="shared" si="4"/>
        <v>4.4756390000000001</v>
      </c>
      <c r="E20" s="6" t="s">
        <v>45</v>
      </c>
      <c r="F20" s="6">
        <f>15.9/100</f>
        <v>0.159</v>
      </c>
      <c r="G20" s="6">
        <f>F20*D20</f>
        <v>0.71162660100000008</v>
      </c>
      <c r="H20" s="6" t="s">
        <v>11</v>
      </c>
      <c r="I20" s="6">
        <f>10.7/100</f>
        <v>0.107</v>
      </c>
      <c r="J20" s="6">
        <f>I20*G20</f>
        <v>7.6144046307000002E-2</v>
      </c>
      <c r="K20" s="2" t="s">
        <v>32</v>
      </c>
      <c r="L20" s="2">
        <f>2.2/100</f>
        <v>2.2000000000000002E-2</v>
      </c>
      <c r="M20" s="2">
        <f>L20*G20</f>
        <v>1.5655785222000004E-2</v>
      </c>
    </row>
    <row r="21" spans="1:13" x14ac:dyDescent="0.25">
      <c r="A21" s="4">
        <v>27.798999999999999</v>
      </c>
      <c r="B21" s="4" t="s">
        <v>2</v>
      </c>
      <c r="C21" s="5">
        <f t="shared" si="0"/>
        <v>0.161</v>
      </c>
      <c r="D21" s="6">
        <f t="shared" si="4"/>
        <v>4.4756390000000001</v>
      </c>
      <c r="E21" s="6" t="s">
        <v>16</v>
      </c>
      <c r="F21" s="6">
        <f t="shared" ref="F21:F27" si="10">15.9/100</f>
        <v>0.159</v>
      </c>
      <c r="G21" s="6">
        <f t="shared" ref="G21:G98" si="11">F21*D21</f>
        <v>0.71162660100000008</v>
      </c>
      <c r="H21" s="6" t="s">
        <v>12</v>
      </c>
      <c r="I21" s="6">
        <f>1.6/100</f>
        <v>1.6E-2</v>
      </c>
      <c r="J21" s="6">
        <f t="shared" ref="J21:J26" si="12">I21*G21</f>
        <v>1.1386025616000002E-2</v>
      </c>
      <c r="K21" s="2" t="s">
        <v>33</v>
      </c>
      <c r="L21" s="2">
        <f>11.2/100</f>
        <v>0.11199999999999999</v>
      </c>
      <c r="M21" s="2">
        <f t="shared" ref="M21:M27" si="13">L21*G21</f>
        <v>7.9702179312000007E-2</v>
      </c>
    </row>
    <row r="22" spans="1:13" x14ac:dyDescent="0.25">
      <c r="A22" s="4">
        <v>27.798999999999999</v>
      </c>
      <c r="B22" s="4" t="s">
        <v>2</v>
      </c>
      <c r="C22" s="5">
        <f t="shared" si="0"/>
        <v>0.161</v>
      </c>
      <c r="D22" s="6">
        <f t="shared" si="4"/>
        <v>4.4756390000000001</v>
      </c>
      <c r="E22" s="6" t="s">
        <v>16</v>
      </c>
      <c r="F22" s="6">
        <f t="shared" si="10"/>
        <v>0.159</v>
      </c>
      <c r="G22" s="6">
        <f t="shared" si="11"/>
        <v>0.71162660100000008</v>
      </c>
      <c r="H22" s="6" t="s">
        <v>7</v>
      </c>
      <c r="I22" s="6">
        <f>6.2/100</f>
        <v>6.2E-2</v>
      </c>
      <c r="J22" s="6">
        <f t="shared" si="12"/>
        <v>4.4120849262000002E-2</v>
      </c>
      <c r="K22" s="2" t="s">
        <v>34</v>
      </c>
      <c r="L22" s="2">
        <f>14.5/100</f>
        <v>0.14499999999999999</v>
      </c>
      <c r="M22" s="2">
        <f t="shared" si="13"/>
        <v>0.103185857145</v>
      </c>
    </row>
    <row r="23" spans="1:13" x14ac:dyDescent="0.25">
      <c r="A23" s="4">
        <v>27.798999999999999</v>
      </c>
      <c r="B23" s="4" t="s">
        <v>2</v>
      </c>
      <c r="C23" s="5">
        <f t="shared" si="0"/>
        <v>0.161</v>
      </c>
      <c r="D23" s="6">
        <f t="shared" si="4"/>
        <v>4.4756390000000001</v>
      </c>
      <c r="E23" s="6" t="s">
        <v>16</v>
      </c>
      <c r="F23" s="6">
        <f t="shared" si="10"/>
        <v>0.159</v>
      </c>
      <c r="G23" s="6">
        <f t="shared" si="11"/>
        <v>0.71162660100000008</v>
      </c>
      <c r="H23" s="6" t="s">
        <v>8</v>
      </c>
      <c r="I23" s="6">
        <f>25.8/100</f>
        <v>0.25800000000000001</v>
      </c>
      <c r="J23" s="6">
        <f t="shared" si="12"/>
        <v>0.18359966305800002</v>
      </c>
      <c r="K23" s="2" t="s">
        <v>35</v>
      </c>
      <c r="L23" s="2">
        <f>27.1/100</f>
        <v>0.27100000000000002</v>
      </c>
      <c r="M23" s="2">
        <f t="shared" si="13"/>
        <v>0.19285080887100003</v>
      </c>
    </row>
    <row r="24" spans="1:13" x14ac:dyDescent="0.25">
      <c r="A24" s="4">
        <v>27.798999999999999</v>
      </c>
      <c r="B24" s="4" t="s">
        <v>2</v>
      </c>
      <c r="C24" s="5">
        <f t="shared" si="0"/>
        <v>0.161</v>
      </c>
      <c r="D24" s="6">
        <f t="shared" si="4"/>
        <v>4.4756390000000001</v>
      </c>
      <c r="E24" s="6" t="s">
        <v>16</v>
      </c>
      <c r="F24" s="6">
        <f t="shared" si="10"/>
        <v>0.159</v>
      </c>
      <c r="G24" s="6">
        <f t="shared" si="11"/>
        <v>0.71162660100000008</v>
      </c>
      <c r="H24" s="6" t="s">
        <v>10</v>
      </c>
      <c r="I24" s="6">
        <f>8.6/100</f>
        <v>8.5999999999999993E-2</v>
      </c>
      <c r="J24" s="6">
        <f t="shared" si="12"/>
        <v>6.1199887686000001E-2</v>
      </c>
      <c r="K24" s="2" t="s">
        <v>36</v>
      </c>
      <c r="L24" s="2">
        <f>23.7/100</f>
        <v>0.23699999999999999</v>
      </c>
      <c r="M24" s="2">
        <f t="shared" si="13"/>
        <v>0.168655504437</v>
      </c>
    </row>
    <row r="25" spans="1:13" x14ac:dyDescent="0.25">
      <c r="A25" s="4">
        <v>27.798999999999999</v>
      </c>
      <c r="B25" s="4" t="s">
        <v>2</v>
      </c>
      <c r="C25" s="5">
        <f t="shared" si="0"/>
        <v>0.161</v>
      </c>
      <c r="D25" s="6">
        <f t="shared" si="4"/>
        <v>4.4756390000000001</v>
      </c>
      <c r="E25" s="6" t="s">
        <v>16</v>
      </c>
      <c r="F25" s="6">
        <f t="shared" si="10"/>
        <v>0.159</v>
      </c>
      <c r="G25" s="6">
        <f t="shared" si="11"/>
        <v>0.71162660100000008</v>
      </c>
      <c r="H25" s="6" t="s">
        <v>9</v>
      </c>
      <c r="I25" s="6">
        <f>45.1/100</f>
        <v>0.45100000000000001</v>
      </c>
      <c r="J25" s="6">
        <f t="shared" si="12"/>
        <v>0.32094359705100006</v>
      </c>
      <c r="K25" s="2" t="s">
        <v>37</v>
      </c>
      <c r="L25" s="2">
        <f>19.2/100</f>
        <v>0.192</v>
      </c>
      <c r="M25" s="2">
        <f t="shared" si="13"/>
        <v>0.13663230739200002</v>
      </c>
    </row>
    <row r="26" spans="1:13" x14ac:dyDescent="0.25">
      <c r="A26" s="4">
        <v>27.798999999999999</v>
      </c>
      <c r="B26" s="4" t="s">
        <v>2</v>
      </c>
      <c r="C26" s="5">
        <f t="shared" si="0"/>
        <v>0.161</v>
      </c>
      <c r="D26" s="6">
        <f t="shared" si="4"/>
        <v>4.4756390000000001</v>
      </c>
      <c r="E26" s="6" t="s">
        <v>16</v>
      </c>
      <c r="F26" s="6">
        <f t="shared" si="10"/>
        <v>0.159</v>
      </c>
      <c r="G26" s="6">
        <f t="shared" si="11"/>
        <v>0.71162660100000008</v>
      </c>
      <c r="H26" s="6" t="s">
        <v>55</v>
      </c>
      <c r="I26" s="6">
        <f>2.1/100</f>
        <v>2.1000000000000001E-2</v>
      </c>
      <c r="J26" s="6">
        <f t="shared" si="12"/>
        <v>1.4944158621000002E-2</v>
      </c>
      <c r="K26" s="2" t="s">
        <v>38</v>
      </c>
      <c r="L26" s="2">
        <f>1.1/100</f>
        <v>1.1000000000000001E-2</v>
      </c>
      <c r="M26" s="2">
        <f t="shared" si="13"/>
        <v>7.8278926110000018E-3</v>
      </c>
    </row>
    <row r="27" spans="1:13" x14ac:dyDescent="0.25">
      <c r="A27" s="4">
        <v>27.798999999999999</v>
      </c>
      <c r="B27" s="4" t="s">
        <v>2</v>
      </c>
      <c r="C27" s="5">
        <f t="shared" si="0"/>
        <v>0.161</v>
      </c>
      <c r="D27" s="6">
        <f t="shared" si="4"/>
        <v>4.4756390000000001</v>
      </c>
      <c r="E27" s="6" t="s">
        <v>16</v>
      </c>
      <c r="F27" s="6">
        <f t="shared" si="10"/>
        <v>0.159</v>
      </c>
      <c r="G27" s="6">
        <f t="shared" si="11"/>
        <v>0.71162660100000008</v>
      </c>
      <c r="H27" s="6"/>
      <c r="I27" s="6"/>
      <c r="J27" s="6"/>
      <c r="K27" s="2" t="s">
        <v>39</v>
      </c>
      <c r="L27" s="2">
        <f>0.9/100</f>
        <v>9.0000000000000011E-3</v>
      </c>
      <c r="M27" s="2">
        <f t="shared" si="13"/>
        <v>6.4046394090000016E-3</v>
      </c>
    </row>
    <row r="28" spans="1:13" x14ac:dyDescent="0.25">
      <c r="A28" s="4">
        <v>27.798999999999999</v>
      </c>
      <c r="B28" s="4" t="s">
        <v>2</v>
      </c>
      <c r="C28" s="5">
        <f t="shared" si="0"/>
        <v>0.161</v>
      </c>
      <c r="D28" s="6">
        <f t="shared" si="4"/>
        <v>4.4756390000000001</v>
      </c>
      <c r="E28" s="6" t="s">
        <v>46</v>
      </c>
      <c r="F28" s="8">
        <f>18.5/100</f>
        <v>0.185</v>
      </c>
      <c r="G28" s="6">
        <f t="shared" si="11"/>
        <v>0.827993215</v>
      </c>
      <c r="H28" s="6" t="s">
        <v>11</v>
      </c>
      <c r="I28" s="8">
        <f>26.2/100</f>
        <v>0.26200000000000001</v>
      </c>
      <c r="J28" s="8">
        <f>I28*G28</f>
        <v>0.21693422233000001</v>
      </c>
      <c r="K28" s="2" t="s">
        <v>32</v>
      </c>
      <c r="L28" s="2">
        <f>3.2/100</f>
        <v>3.2000000000000001E-2</v>
      </c>
      <c r="M28" s="2">
        <f>L28*G28</f>
        <v>2.6495782880000002E-2</v>
      </c>
    </row>
    <row r="29" spans="1:13" x14ac:dyDescent="0.25">
      <c r="A29" s="4">
        <v>27.798999999999999</v>
      </c>
      <c r="B29" s="4" t="s">
        <v>2</v>
      </c>
      <c r="C29" s="5">
        <f t="shared" si="0"/>
        <v>0.161</v>
      </c>
      <c r="D29" s="6">
        <f t="shared" si="4"/>
        <v>4.4756390000000001</v>
      </c>
      <c r="E29" s="6" t="s">
        <v>13</v>
      </c>
      <c r="F29" s="8">
        <f t="shared" ref="F29:F35" si="14">18.5/100</f>
        <v>0.185</v>
      </c>
      <c r="G29" s="6">
        <f t="shared" si="11"/>
        <v>0.827993215</v>
      </c>
      <c r="H29" s="6" t="s">
        <v>12</v>
      </c>
      <c r="I29" s="8">
        <f>6/100</f>
        <v>0.06</v>
      </c>
      <c r="J29" s="8">
        <f t="shared" ref="J29:J34" si="15">I29*G29</f>
        <v>4.96795929E-2</v>
      </c>
      <c r="K29" s="2" t="s">
        <v>33</v>
      </c>
      <c r="L29" s="2">
        <f>9/100</f>
        <v>0.09</v>
      </c>
      <c r="M29" s="2">
        <f t="shared" ref="M29:M31" si="16">L29*G29</f>
        <v>7.4519389349999993E-2</v>
      </c>
    </row>
    <row r="30" spans="1:13" x14ac:dyDescent="0.25">
      <c r="A30" s="4">
        <v>27.798999999999999</v>
      </c>
      <c r="B30" s="4" t="s">
        <v>2</v>
      </c>
      <c r="C30" s="5">
        <f t="shared" si="0"/>
        <v>0.161</v>
      </c>
      <c r="D30" s="6">
        <f t="shared" si="4"/>
        <v>4.4756390000000001</v>
      </c>
      <c r="E30" s="6" t="s">
        <v>13</v>
      </c>
      <c r="F30" s="8">
        <f t="shared" si="14"/>
        <v>0.185</v>
      </c>
      <c r="G30" s="6">
        <f t="shared" si="11"/>
        <v>0.827993215</v>
      </c>
      <c r="H30" s="6" t="s">
        <v>7</v>
      </c>
      <c r="I30" s="8">
        <f>9.5/100</f>
        <v>9.5000000000000001E-2</v>
      </c>
      <c r="J30" s="8">
        <f t="shared" si="15"/>
        <v>7.8659355425000008E-2</v>
      </c>
      <c r="K30" s="2" t="s">
        <v>34</v>
      </c>
      <c r="L30" s="2">
        <f>13.4/100</f>
        <v>0.13400000000000001</v>
      </c>
      <c r="M30" s="2">
        <f t="shared" si="16"/>
        <v>0.11095109081000001</v>
      </c>
    </row>
    <row r="31" spans="1:13" x14ac:dyDescent="0.25">
      <c r="A31" s="4">
        <v>27.798999999999999</v>
      </c>
      <c r="B31" s="4" t="s">
        <v>2</v>
      </c>
      <c r="C31" s="5">
        <f t="shared" si="0"/>
        <v>0.161</v>
      </c>
      <c r="D31" s="6">
        <f t="shared" si="4"/>
        <v>4.4756390000000001</v>
      </c>
      <c r="E31" s="6" t="s">
        <v>13</v>
      </c>
      <c r="F31" s="8">
        <f t="shared" si="14"/>
        <v>0.185</v>
      </c>
      <c r="G31" s="6">
        <f t="shared" si="11"/>
        <v>0.827993215</v>
      </c>
      <c r="H31" s="6" t="s">
        <v>8</v>
      </c>
      <c r="I31" s="8">
        <f>30.3/100</f>
        <v>0.30299999999999999</v>
      </c>
      <c r="J31" s="8">
        <f t="shared" si="15"/>
        <v>0.25088194414499998</v>
      </c>
      <c r="K31" s="2" t="s">
        <v>35</v>
      </c>
      <c r="L31" s="2">
        <f>25.1/100</f>
        <v>0.251</v>
      </c>
      <c r="M31" s="2">
        <f t="shared" si="16"/>
        <v>0.20782629696499999</v>
      </c>
    </row>
    <row r="32" spans="1:13" x14ac:dyDescent="0.25">
      <c r="A32" s="4">
        <v>27.798999999999999</v>
      </c>
      <c r="B32" s="4" t="s">
        <v>2</v>
      </c>
      <c r="C32" s="5">
        <f t="shared" si="0"/>
        <v>0.161</v>
      </c>
      <c r="D32" s="6">
        <f t="shared" si="4"/>
        <v>4.4756390000000001</v>
      </c>
      <c r="E32" s="6" t="s">
        <v>13</v>
      </c>
      <c r="F32" s="8">
        <f t="shared" si="14"/>
        <v>0.185</v>
      </c>
      <c r="G32" s="6">
        <f t="shared" si="11"/>
        <v>0.827993215</v>
      </c>
      <c r="H32" s="6" t="s">
        <v>10</v>
      </c>
      <c r="I32" s="8">
        <f>5/100</f>
        <v>0.05</v>
      </c>
      <c r="J32" s="8">
        <f t="shared" si="15"/>
        <v>4.1399660750000004E-2</v>
      </c>
      <c r="K32" s="2" t="s">
        <v>36</v>
      </c>
      <c r="L32" s="2">
        <f>25.8/100</f>
        <v>0.25800000000000001</v>
      </c>
      <c r="M32" s="2" t="e">
        <f>#REF!*G32</f>
        <v>#REF!</v>
      </c>
    </row>
    <row r="33" spans="1:13" x14ac:dyDescent="0.25">
      <c r="A33" s="4">
        <v>27.798999999999999</v>
      </c>
      <c r="B33" s="4" t="s">
        <v>2</v>
      </c>
      <c r="C33" s="5">
        <f t="shared" si="0"/>
        <v>0.161</v>
      </c>
      <c r="D33" s="6">
        <f t="shared" si="4"/>
        <v>4.4756390000000001</v>
      </c>
      <c r="E33" s="6" t="s">
        <v>13</v>
      </c>
      <c r="F33" s="8">
        <f t="shared" si="14"/>
        <v>0.185</v>
      </c>
      <c r="G33" s="6">
        <f t="shared" si="11"/>
        <v>0.827993215</v>
      </c>
      <c r="H33" s="6" t="s">
        <v>9</v>
      </c>
      <c r="I33" s="8">
        <f>21.6/100</f>
        <v>0.21600000000000003</v>
      </c>
      <c r="J33" s="8">
        <f t="shared" si="15"/>
        <v>0.17884653444000001</v>
      </c>
      <c r="K33" s="2" t="s">
        <v>37</v>
      </c>
      <c r="L33" s="2">
        <f>19.8/100</f>
        <v>0.19800000000000001</v>
      </c>
      <c r="M33" s="2">
        <f>L32*G33</f>
        <v>0.21362224947</v>
      </c>
    </row>
    <row r="34" spans="1:13" x14ac:dyDescent="0.25">
      <c r="A34" s="4">
        <v>27.798999999999999</v>
      </c>
      <c r="B34" s="4" t="s">
        <v>2</v>
      </c>
      <c r="C34" s="5">
        <f t="shared" si="0"/>
        <v>0.161</v>
      </c>
      <c r="D34" s="6">
        <f t="shared" si="4"/>
        <v>4.4756390000000001</v>
      </c>
      <c r="E34" s="6" t="s">
        <v>13</v>
      </c>
      <c r="F34" s="8">
        <f t="shared" si="14"/>
        <v>0.185</v>
      </c>
      <c r="G34" s="6">
        <f t="shared" si="11"/>
        <v>0.827993215</v>
      </c>
      <c r="H34" s="6" t="s">
        <v>55</v>
      </c>
      <c r="I34" s="8">
        <f>1/100</f>
        <v>0.01</v>
      </c>
      <c r="J34" s="6">
        <f t="shared" si="15"/>
        <v>8.2799321500000005E-3</v>
      </c>
      <c r="K34" s="2" t="s">
        <v>38</v>
      </c>
      <c r="L34" s="2">
        <f>2.3/100</f>
        <v>2.3E-2</v>
      </c>
      <c r="M34" s="2">
        <f>L33*G34</f>
        <v>0.16394265657000001</v>
      </c>
    </row>
    <row r="35" spans="1:13" x14ac:dyDescent="0.25">
      <c r="A35" s="4">
        <v>27.798999999999999</v>
      </c>
      <c r="B35" s="4" t="s">
        <v>2</v>
      </c>
      <c r="C35" s="5">
        <f t="shared" si="0"/>
        <v>0.161</v>
      </c>
      <c r="D35" s="6">
        <f t="shared" si="4"/>
        <v>4.4756390000000001</v>
      </c>
      <c r="E35" s="6" t="s">
        <v>13</v>
      </c>
      <c r="F35" s="8">
        <f t="shared" si="14"/>
        <v>0.185</v>
      </c>
      <c r="G35" s="6">
        <f t="shared" si="11"/>
        <v>0.827993215</v>
      </c>
      <c r="H35" s="6"/>
      <c r="I35" s="8"/>
      <c r="J35" s="8"/>
      <c r="K35" s="2" t="s">
        <v>39</v>
      </c>
      <c r="L35" s="2">
        <f>1.3/100</f>
        <v>1.3000000000000001E-2</v>
      </c>
      <c r="M35" s="2">
        <f>L34*G35</f>
        <v>1.9043843945E-2</v>
      </c>
    </row>
    <row r="36" spans="1:13" x14ac:dyDescent="0.25">
      <c r="A36" s="4">
        <v>27.798999999999999</v>
      </c>
      <c r="B36" s="4" t="s">
        <v>2</v>
      </c>
      <c r="C36" s="5">
        <f t="shared" si="0"/>
        <v>0.161</v>
      </c>
      <c r="D36" s="6">
        <f t="shared" si="4"/>
        <v>4.4756390000000001</v>
      </c>
      <c r="E36" s="8" t="s">
        <v>47</v>
      </c>
      <c r="F36" s="6">
        <f>9.3/100</f>
        <v>9.3000000000000013E-2</v>
      </c>
      <c r="G36" s="6">
        <f t="shared" si="11"/>
        <v>0.41623442700000007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27.798999999999999</v>
      </c>
      <c r="B37" s="4" t="s">
        <v>2</v>
      </c>
      <c r="C37" s="5">
        <f t="shared" si="0"/>
        <v>0.161</v>
      </c>
      <c r="D37" s="6">
        <f t="shared" si="4"/>
        <v>4.4756390000000001</v>
      </c>
      <c r="E37" s="8" t="s">
        <v>17</v>
      </c>
      <c r="F37" s="6">
        <f t="shared" ref="F37:F43" si="17">9.3/100</f>
        <v>9.3000000000000013E-2</v>
      </c>
      <c r="G37" s="6">
        <f t="shared" si="11"/>
        <v>0.41623442700000007</v>
      </c>
      <c r="H37" s="6" t="s">
        <v>12</v>
      </c>
      <c r="I37" s="6">
        <f>0/100</f>
        <v>0</v>
      </c>
      <c r="J37" s="6">
        <f t="shared" ref="J37:J42" si="18">I37*G37</f>
        <v>0</v>
      </c>
      <c r="K37" s="2" t="s">
        <v>33</v>
      </c>
      <c r="L37" s="2">
        <f>7.1/100</f>
        <v>7.0999999999999994E-2</v>
      </c>
      <c r="M37" s="2">
        <f t="shared" ref="M37:M43" si="19">L37*G37</f>
        <v>2.9552644317000002E-2</v>
      </c>
    </row>
    <row r="38" spans="1:13" x14ac:dyDescent="0.25">
      <c r="A38" s="4">
        <v>27.798999999999999</v>
      </c>
      <c r="B38" s="4" t="s">
        <v>2</v>
      </c>
      <c r="C38" s="5">
        <f t="shared" si="0"/>
        <v>0.161</v>
      </c>
      <c r="D38" s="6">
        <f t="shared" si="4"/>
        <v>4.4756390000000001</v>
      </c>
      <c r="E38" s="8" t="s">
        <v>17</v>
      </c>
      <c r="F38" s="6">
        <f t="shared" si="17"/>
        <v>9.3000000000000013E-2</v>
      </c>
      <c r="G38" s="6">
        <f t="shared" si="11"/>
        <v>0.41623442700000007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0/100</f>
        <v>0</v>
      </c>
      <c r="M38" s="2">
        <f t="shared" si="19"/>
        <v>0</v>
      </c>
    </row>
    <row r="39" spans="1:13" x14ac:dyDescent="0.25">
      <c r="A39" s="4">
        <v>27.798999999999999</v>
      </c>
      <c r="B39" s="4" t="s">
        <v>2</v>
      </c>
      <c r="C39" s="5">
        <f t="shared" si="0"/>
        <v>0.161</v>
      </c>
      <c r="D39" s="6">
        <f t="shared" si="4"/>
        <v>4.4756390000000001</v>
      </c>
      <c r="E39" s="8" t="s">
        <v>17</v>
      </c>
      <c r="F39" s="6">
        <f t="shared" si="17"/>
        <v>9.3000000000000013E-2</v>
      </c>
      <c r="G39" s="6">
        <f t="shared" si="11"/>
        <v>0.41623442700000007</v>
      </c>
      <c r="H39" s="6" t="s">
        <v>8</v>
      </c>
      <c r="I39" s="6">
        <f>29.4/100</f>
        <v>0.29399999999999998</v>
      </c>
      <c r="J39" s="6">
        <f t="shared" si="18"/>
        <v>0.12237292153800002</v>
      </c>
      <c r="K39" s="2" t="s">
        <v>35</v>
      </c>
      <c r="L39" s="2">
        <f>57.4/100</f>
        <v>0.57399999999999995</v>
      </c>
      <c r="M39" s="2">
        <f t="shared" si="19"/>
        <v>0.23891856109800003</v>
      </c>
    </row>
    <row r="40" spans="1:13" x14ac:dyDescent="0.25">
      <c r="A40" s="4">
        <v>27.798999999999999</v>
      </c>
      <c r="B40" s="4" t="s">
        <v>2</v>
      </c>
      <c r="C40" s="5">
        <f t="shared" si="0"/>
        <v>0.161</v>
      </c>
      <c r="D40" s="6">
        <f t="shared" si="4"/>
        <v>4.4756390000000001</v>
      </c>
      <c r="E40" s="8" t="s">
        <v>17</v>
      </c>
      <c r="F40" s="6">
        <f t="shared" si="17"/>
        <v>9.3000000000000013E-2</v>
      </c>
      <c r="G40" s="6">
        <f t="shared" si="11"/>
        <v>0.41623442700000007</v>
      </c>
      <c r="H40" s="6" t="s">
        <v>10</v>
      </c>
      <c r="I40" s="6">
        <f>13.2/100</f>
        <v>0.13200000000000001</v>
      </c>
      <c r="J40" s="6">
        <f t="shared" si="18"/>
        <v>5.4942944364000011E-2</v>
      </c>
      <c r="K40" s="2" t="s">
        <v>36</v>
      </c>
      <c r="L40" s="2">
        <f>0/100</f>
        <v>0</v>
      </c>
      <c r="M40" s="2">
        <f t="shared" si="19"/>
        <v>0</v>
      </c>
    </row>
    <row r="41" spans="1:13" x14ac:dyDescent="0.25">
      <c r="A41" s="4">
        <v>27.798999999999999</v>
      </c>
      <c r="B41" s="4" t="s">
        <v>2</v>
      </c>
      <c r="C41" s="5">
        <f t="shared" si="0"/>
        <v>0.161</v>
      </c>
      <c r="D41" s="6">
        <f t="shared" si="4"/>
        <v>4.4756390000000001</v>
      </c>
      <c r="E41" s="8" t="s">
        <v>17</v>
      </c>
      <c r="F41" s="6">
        <f t="shared" si="17"/>
        <v>9.3000000000000013E-2</v>
      </c>
      <c r="G41" s="6">
        <f t="shared" si="11"/>
        <v>0.41623442700000007</v>
      </c>
      <c r="H41" s="6" t="s">
        <v>9</v>
      </c>
      <c r="I41" s="6">
        <f>57.4/100</f>
        <v>0.57399999999999995</v>
      </c>
      <c r="J41" s="6">
        <f t="shared" si="18"/>
        <v>0.23891856109800003</v>
      </c>
      <c r="K41" s="2" t="s">
        <v>37</v>
      </c>
      <c r="L41" s="2">
        <f>35.6/100</f>
        <v>0.35600000000000004</v>
      </c>
      <c r="M41" s="2">
        <f t="shared" si="19"/>
        <v>0.14817945601200005</v>
      </c>
    </row>
    <row r="42" spans="1:13" x14ac:dyDescent="0.25">
      <c r="A42" s="4">
        <v>27.798999999999999</v>
      </c>
      <c r="B42" s="4" t="s">
        <v>2</v>
      </c>
      <c r="C42" s="5">
        <f t="shared" si="0"/>
        <v>0.161</v>
      </c>
      <c r="D42" s="6">
        <f t="shared" si="4"/>
        <v>4.4756390000000001</v>
      </c>
      <c r="E42" s="8" t="s">
        <v>17</v>
      </c>
      <c r="F42" s="6">
        <f t="shared" si="17"/>
        <v>9.3000000000000013E-2</v>
      </c>
      <c r="G42" s="6">
        <f t="shared" si="11"/>
        <v>0.41623442700000007</v>
      </c>
      <c r="H42" s="6" t="s">
        <v>55</v>
      </c>
      <c r="I42" s="6">
        <v>0</v>
      </c>
      <c r="J42" s="6">
        <f t="shared" si="18"/>
        <v>0</v>
      </c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27.798999999999999</v>
      </c>
      <c r="B43" s="4" t="s">
        <v>2</v>
      </c>
      <c r="C43" s="5">
        <f t="shared" si="0"/>
        <v>0.161</v>
      </c>
      <c r="D43" s="6">
        <f t="shared" si="4"/>
        <v>4.4756390000000001</v>
      </c>
      <c r="E43" s="8" t="s">
        <v>17</v>
      </c>
      <c r="F43" s="6">
        <f t="shared" si="17"/>
        <v>9.3000000000000013E-2</v>
      </c>
      <c r="G43" s="6">
        <f t="shared" si="11"/>
        <v>0.41623442700000007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27.798999999999999</v>
      </c>
      <c r="B44" s="4" t="s">
        <v>2</v>
      </c>
      <c r="C44" s="5">
        <f t="shared" si="0"/>
        <v>0.161</v>
      </c>
      <c r="D44" s="6">
        <f t="shared" si="4"/>
        <v>4.4756390000000001</v>
      </c>
      <c r="E44" s="2" t="s">
        <v>18</v>
      </c>
      <c r="F44" s="6">
        <f>10.9/100</f>
        <v>0.109</v>
      </c>
      <c r="G44" s="6">
        <f t="shared" si="11"/>
        <v>0.48784465100000002</v>
      </c>
      <c r="H44" s="6" t="s">
        <v>11</v>
      </c>
      <c r="I44" s="8">
        <f>43/100</f>
        <v>0.43</v>
      </c>
      <c r="J44" s="6">
        <f>I44*G44</f>
        <v>0.20977319993000001</v>
      </c>
      <c r="K44" s="2" t="s">
        <v>32</v>
      </c>
      <c r="L44" s="2">
        <f>3.9/100</f>
        <v>3.9E-2</v>
      </c>
      <c r="M44" s="2">
        <f>L44*G44</f>
        <v>1.9025941389E-2</v>
      </c>
    </row>
    <row r="45" spans="1:13" x14ac:dyDescent="0.25">
      <c r="A45" s="4">
        <v>27.798999999999999</v>
      </c>
      <c r="B45" s="4" t="s">
        <v>2</v>
      </c>
      <c r="C45" s="5">
        <f t="shared" si="0"/>
        <v>0.161</v>
      </c>
      <c r="D45" s="6">
        <f t="shared" si="4"/>
        <v>4.4756390000000001</v>
      </c>
      <c r="E45" s="2" t="s">
        <v>18</v>
      </c>
      <c r="F45" s="6">
        <f t="shared" ref="F45:F51" si="20">10.9/100</f>
        <v>0.109</v>
      </c>
      <c r="G45" s="6">
        <f t="shared" si="11"/>
        <v>0.48784465100000002</v>
      </c>
      <c r="H45" s="6" t="s">
        <v>12</v>
      </c>
      <c r="I45" s="8">
        <f>5.4/100</f>
        <v>5.4000000000000006E-2</v>
      </c>
      <c r="J45" s="6">
        <f t="shared" ref="J45:J50" si="21">I45*G45</f>
        <v>2.6343611154000003E-2</v>
      </c>
      <c r="K45" s="2" t="s">
        <v>33</v>
      </c>
      <c r="L45" s="2">
        <f>10.9/100</f>
        <v>0.109</v>
      </c>
      <c r="M45" s="2">
        <f t="shared" ref="M45:M51" si="22">L45*G45</f>
        <v>5.3175066959000004E-2</v>
      </c>
    </row>
    <row r="46" spans="1:13" x14ac:dyDescent="0.25">
      <c r="A46" s="4">
        <v>27.798999999999999</v>
      </c>
      <c r="B46" s="4" t="s">
        <v>2</v>
      </c>
      <c r="C46" s="5">
        <f t="shared" si="0"/>
        <v>0.161</v>
      </c>
      <c r="D46" s="6">
        <f t="shared" si="4"/>
        <v>4.4756390000000001</v>
      </c>
      <c r="E46" s="2" t="s">
        <v>18</v>
      </c>
      <c r="F46" s="6">
        <f t="shared" si="20"/>
        <v>0.109</v>
      </c>
      <c r="G46" s="6">
        <f t="shared" si="11"/>
        <v>0.48784465100000002</v>
      </c>
      <c r="H46" s="6" t="s">
        <v>7</v>
      </c>
      <c r="I46" s="8">
        <f>10.6/100</f>
        <v>0.106</v>
      </c>
      <c r="J46" s="6">
        <f t="shared" si="21"/>
        <v>5.1711533006000003E-2</v>
      </c>
      <c r="K46" s="2" t="s">
        <v>34</v>
      </c>
      <c r="L46" s="2">
        <f>12.2/100</f>
        <v>0.122</v>
      </c>
      <c r="M46" s="2">
        <f t="shared" si="22"/>
        <v>5.9517047422000001E-2</v>
      </c>
    </row>
    <row r="47" spans="1:13" x14ac:dyDescent="0.25">
      <c r="A47" s="4">
        <v>27.798999999999999</v>
      </c>
      <c r="B47" s="4" t="s">
        <v>2</v>
      </c>
      <c r="C47" s="5">
        <f t="shared" si="0"/>
        <v>0.161</v>
      </c>
      <c r="D47" s="6">
        <f t="shared" si="4"/>
        <v>4.4756390000000001</v>
      </c>
      <c r="E47" s="2" t="s">
        <v>18</v>
      </c>
      <c r="F47" s="6">
        <f t="shared" si="20"/>
        <v>0.109</v>
      </c>
      <c r="G47" s="6">
        <f t="shared" si="11"/>
        <v>0.48784465100000002</v>
      </c>
      <c r="H47" s="6" t="s">
        <v>8</v>
      </c>
      <c r="I47" s="8">
        <f>20.2/100</f>
        <v>0.20199999999999999</v>
      </c>
      <c r="J47" s="6">
        <f>I50*G47</f>
        <v>7.3176697649999997E-3</v>
      </c>
      <c r="K47" s="2" t="s">
        <v>35</v>
      </c>
      <c r="L47" s="2">
        <f>27.7/100</f>
        <v>0.27699999999999997</v>
      </c>
      <c r="M47" s="2">
        <f t="shared" si="22"/>
        <v>0.135132968327</v>
      </c>
    </row>
    <row r="48" spans="1:13" x14ac:dyDescent="0.25">
      <c r="A48" s="4">
        <v>27.798999999999999</v>
      </c>
      <c r="B48" s="4" t="s">
        <v>2</v>
      </c>
      <c r="C48" s="5">
        <f t="shared" si="0"/>
        <v>0.161</v>
      </c>
      <c r="D48" s="6">
        <f t="shared" si="4"/>
        <v>4.4756390000000001</v>
      </c>
      <c r="E48" s="2" t="s">
        <v>18</v>
      </c>
      <c r="F48" s="6">
        <f t="shared" si="20"/>
        <v>0.109</v>
      </c>
      <c r="G48" s="6">
        <f t="shared" si="11"/>
        <v>0.48784465100000002</v>
      </c>
      <c r="H48" s="6" t="s">
        <v>10</v>
      </c>
      <c r="I48" s="8">
        <f>3.5/100</f>
        <v>3.5000000000000003E-2</v>
      </c>
      <c r="J48" s="6">
        <f>I47*G48</f>
        <v>9.8544619501999997E-2</v>
      </c>
      <c r="K48" s="2" t="s">
        <v>36</v>
      </c>
      <c r="L48" s="2">
        <f>26.4/100</f>
        <v>0.26400000000000001</v>
      </c>
      <c r="M48" s="2">
        <f t="shared" si="22"/>
        <v>0.12879098786400001</v>
      </c>
    </row>
    <row r="49" spans="1:13" x14ac:dyDescent="0.25">
      <c r="A49" s="4">
        <v>27.798999999999999</v>
      </c>
      <c r="B49" s="4" t="s">
        <v>2</v>
      </c>
      <c r="C49" s="5">
        <f t="shared" si="0"/>
        <v>0.161</v>
      </c>
      <c r="D49" s="6">
        <f t="shared" si="4"/>
        <v>4.4756390000000001</v>
      </c>
      <c r="E49" s="2" t="s">
        <v>48</v>
      </c>
      <c r="F49" s="6">
        <f t="shared" si="20"/>
        <v>0.109</v>
      </c>
      <c r="G49" s="6">
        <f t="shared" si="11"/>
        <v>0.48784465100000002</v>
      </c>
      <c r="H49" s="6" t="s">
        <v>9</v>
      </c>
      <c r="I49" s="8">
        <f>15.8/100</f>
        <v>0.158</v>
      </c>
      <c r="J49" s="6">
        <f t="shared" si="21"/>
        <v>7.707945485800001E-2</v>
      </c>
      <c r="K49" s="2" t="s">
        <v>37</v>
      </c>
      <c r="L49" s="2">
        <f>15.4/100</f>
        <v>0.154</v>
      </c>
      <c r="M49" s="2">
        <f t="shared" si="22"/>
        <v>7.5128076254000004E-2</v>
      </c>
    </row>
    <row r="50" spans="1:13" x14ac:dyDescent="0.25">
      <c r="A50" s="4">
        <v>27.798999999999999</v>
      </c>
      <c r="B50" s="4" t="s">
        <v>2</v>
      </c>
      <c r="C50" s="5">
        <f t="shared" si="0"/>
        <v>0.161</v>
      </c>
      <c r="D50" s="6">
        <f t="shared" si="4"/>
        <v>4.4756390000000001</v>
      </c>
      <c r="E50" s="2" t="s">
        <v>18</v>
      </c>
      <c r="F50" s="6">
        <f t="shared" si="20"/>
        <v>0.109</v>
      </c>
      <c r="G50" s="6">
        <f t="shared" si="11"/>
        <v>0.48784465100000002</v>
      </c>
      <c r="H50" s="6" t="s">
        <v>55</v>
      </c>
      <c r="I50" s="8">
        <f>1.5/100</f>
        <v>1.4999999999999999E-2</v>
      </c>
      <c r="J50" s="6">
        <f t="shared" si="21"/>
        <v>7.3176697649999997E-3</v>
      </c>
      <c r="K50" s="2" t="s">
        <v>38</v>
      </c>
      <c r="L50" s="2">
        <f>2.4/100</f>
        <v>2.4E-2</v>
      </c>
      <c r="M50" s="2">
        <f t="shared" si="22"/>
        <v>1.1708271624E-2</v>
      </c>
    </row>
    <row r="51" spans="1:13" x14ac:dyDescent="0.25">
      <c r="A51" s="4">
        <v>27.798999999999999</v>
      </c>
      <c r="B51" s="4" t="s">
        <v>2</v>
      </c>
      <c r="C51" s="5">
        <f t="shared" si="0"/>
        <v>0.161</v>
      </c>
      <c r="D51" s="6">
        <f t="shared" si="4"/>
        <v>4.4756390000000001</v>
      </c>
      <c r="E51" s="2" t="s">
        <v>18</v>
      </c>
      <c r="F51" s="6">
        <f t="shared" si="20"/>
        <v>0.109</v>
      </c>
      <c r="G51" s="6">
        <f t="shared" si="11"/>
        <v>0.48784465100000002</v>
      </c>
      <c r="H51" s="6"/>
      <c r="I51" s="6"/>
      <c r="J51" s="6"/>
      <c r="K51" s="2" t="s">
        <v>39</v>
      </c>
      <c r="L51" s="2">
        <f>1.2/100</f>
        <v>1.2E-2</v>
      </c>
      <c r="M51" s="2">
        <f t="shared" si="22"/>
        <v>5.8541358120000001E-3</v>
      </c>
    </row>
    <row r="52" spans="1:13" x14ac:dyDescent="0.25">
      <c r="A52" s="4">
        <v>27.798999999999999</v>
      </c>
      <c r="B52" s="2" t="s">
        <v>19</v>
      </c>
      <c r="C52" s="6">
        <f>83.9/100</f>
        <v>0.83900000000000008</v>
      </c>
      <c r="D52" s="6">
        <f t="shared" si="4"/>
        <v>23.323361000000002</v>
      </c>
      <c r="E52" s="6" t="s">
        <v>54</v>
      </c>
      <c r="F52" s="6">
        <f>81.4/100</f>
        <v>0.81400000000000006</v>
      </c>
      <c r="G52" s="6">
        <f t="shared" si="11"/>
        <v>18.985215854000003</v>
      </c>
      <c r="H52" s="6" t="s">
        <v>11</v>
      </c>
      <c r="I52" s="6">
        <f>12.4/100</f>
        <v>0.124</v>
      </c>
      <c r="J52" s="6">
        <f>I52*G52</f>
        <v>2.3541667658960006</v>
      </c>
      <c r="K52" s="2" t="s">
        <v>32</v>
      </c>
      <c r="L52" s="2">
        <f>4.6/100</f>
        <v>4.5999999999999999E-2</v>
      </c>
      <c r="M52" s="2">
        <f>L52*G52</f>
        <v>0.87331992928400015</v>
      </c>
    </row>
    <row r="53" spans="1:13" x14ac:dyDescent="0.25">
      <c r="A53" s="4">
        <v>27.798999999999999</v>
      </c>
      <c r="B53" s="2" t="s">
        <v>19</v>
      </c>
      <c r="C53" s="6">
        <f t="shared" ref="C53:C99" si="23">83.9/100</f>
        <v>0.83900000000000008</v>
      </c>
      <c r="D53" s="6">
        <f t="shared" si="4"/>
        <v>23.323361000000002</v>
      </c>
      <c r="E53" s="6" t="s">
        <v>14</v>
      </c>
      <c r="F53" s="6">
        <f t="shared" ref="F53:F59" si="24">81.4/100</f>
        <v>0.81400000000000006</v>
      </c>
      <c r="G53" s="6">
        <f t="shared" si="11"/>
        <v>18.985215854000003</v>
      </c>
      <c r="H53" s="6" t="s">
        <v>12</v>
      </c>
      <c r="I53" s="6">
        <f>7/100</f>
        <v>7.0000000000000007E-2</v>
      </c>
      <c r="J53" s="6">
        <f t="shared" ref="J53:J56" si="25">I53*G53</f>
        <v>1.3289651097800004</v>
      </c>
      <c r="K53" s="2" t="s">
        <v>33</v>
      </c>
      <c r="L53" s="2">
        <f>11.5/100</f>
        <v>0.115</v>
      </c>
      <c r="M53" s="2">
        <f t="shared" ref="M53:M59" si="26">L53*G53</f>
        <v>2.1832998232100005</v>
      </c>
    </row>
    <row r="54" spans="1:13" x14ac:dyDescent="0.25">
      <c r="A54" s="4">
        <v>27.798999999999999</v>
      </c>
      <c r="B54" s="2" t="s">
        <v>19</v>
      </c>
      <c r="C54" s="6">
        <f t="shared" si="23"/>
        <v>0.83900000000000008</v>
      </c>
      <c r="D54" s="6">
        <f t="shared" si="4"/>
        <v>23.323361000000002</v>
      </c>
      <c r="E54" s="6" t="s">
        <v>14</v>
      </c>
      <c r="F54" s="6">
        <f t="shared" si="24"/>
        <v>0.81400000000000006</v>
      </c>
      <c r="G54" s="6">
        <f t="shared" si="11"/>
        <v>18.985215854000003</v>
      </c>
      <c r="H54" s="6" t="s">
        <v>7</v>
      </c>
      <c r="I54" s="14">
        <f>15.8/100</f>
        <v>0.158</v>
      </c>
      <c r="J54" s="6">
        <f t="shared" si="25"/>
        <v>2.9996641049320005</v>
      </c>
      <c r="K54" s="2" t="s">
        <v>34</v>
      </c>
      <c r="L54" s="2">
        <f>16.3/100</f>
        <v>0.16300000000000001</v>
      </c>
      <c r="M54" s="2">
        <f t="shared" si="26"/>
        <v>3.0945901842020005</v>
      </c>
    </row>
    <row r="55" spans="1:13" x14ac:dyDescent="0.25">
      <c r="A55" s="4">
        <v>27.798999999999999</v>
      </c>
      <c r="B55" s="2" t="s">
        <v>19</v>
      </c>
      <c r="C55" s="6">
        <f t="shared" si="23"/>
        <v>0.83900000000000008</v>
      </c>
      <c r="D55" s="6">
        <f t="shared" si="4"/>
        <v>23.323361000000002</v>
      </c>
      <c r="E55" s="6" t="s">
        <v>14</v>
      </c>
      <c r="F55" s="6">
        <f t="shared" si="24"/>
        <v>0.81400000000000006</v>
      </c>
      <c r="G55" s="6">
        <f t="shared" si="11"/>
        <v>18.985215854000003</v>
      </c>
      <c r="H55" s="6" t="s">
        <v>8</v>
      </c>
      <c r="I55" s="6">
        <f>34.8/100</f>
        <v>0.34799999999999998</v>
      </c>
      <c r="J55" s="6">
        <f t="shared" si="25"/>
        <v>6.6068551171920005</v>
      </c>
      <c r="K55" s="2" t="s">
        <v>35</v>
      </c>
      <c r="L55" s="2">
        <f>27.7/100</f>
        <v>0.27699999999999997</v>
      </c>
      <c r="M55" s="2">
        <f t="shared" si="26"/>
        <v>5.2589047915580007</v>
      </c>
    </row>
    <row r="56" spans="1:13" x14ac:dyDescent="0.25">
      <c r="A56" s="4">
        <v>27.798999999999999</v>
      </c>
      <c r="B56" s="2" t="s">
        <v>19</v>
      </c>
      <c r="C56" s="6">
        <f t="shared" si="23"/>
        <v>0.83900000000000008</v>
      </c>
      <c r="D56" s="6">
        <f t="shared" si="4"/>
        <v>23.323361000000002</v>
      </c>
      <c r="E56" s="6" t="s">
        <v>14</v>
      </c>
      <c r="F56" s="6">
        <f t="shared" si="24"/>
        <v>0.81400000000000006</v>
      </c>
      <c r="G56" s="6">
        <f t="shared" si="11"/>
        <v>18.985215854000003</v>
      </c>
      <c r="H56" s="6" t="s">
        <v>10</v>
      </c>
      <c r="I56" s="6">
        <f>4.1/100</f>
        <v>4.0999999999999995E-2</v>
      </c>
      <c r="J56" s="6">
        <f t="shared" si="25"/>
        <v>0.77839385001400008</v>
      </c>
      <c r="K56" s="2" t="s">
        <v>36</v>
      </c>
      <c r="L56" s="2">
        <f>19.8/100</f>
        <v>0.19800000000000001</v>
      </c>
      <c r="M56" s="2">
        <f t="shared" si="26"/>
        <v>3.7590727390920007</v>
      </c>
    </row>
    <row r="57" spans="1:13" x14ac:dyDescent="0.25">
      <c r="A57" s="4">
        <v>27.798999999999999</v>
      </c>
      <c r="B57" s="2" t="s">
        <v>19</v>
      </c>
      <c r="C57" s="6">
        <f t="shared" si="23"/>
        <v>0.83900000000000008</v>
      </c>
      <c r="D57" s="6">
        <f t="shared" si="4"/>
        <v>23.323361000000002</v>
      </c>
      <c r="E57" s="6" t="s">
        <v>14</v>
      </c>
      <c r="F57" s="6">
        <f t="shared" si="24"/>
        <v>0.81400000000000006</v>
      </c>
      <c r="G57" s="6">
        <f t="shared" si="11"/>
        <v>18.985215854000003</v>
      </c>
      <c r="H57" s="6" t="s">
        <v>9</v>
      </c>
      <c r="I57" s="6">
        <f>23.4/100</f>
        <v>0.23399999999999999</v>
      </c>
      <c r="J57" s="6">
        <f>I58*G57</f>
        <v>0.47463039635000009</v>
      </c>
      <c r="K57" s="2" t="s">
        <v>37</v>
      </c>
      <c r="L57" s="2">
        <f>16.2/100</f>
        <v>0.16200000000000001</v>
      </c>
      <c r="M57" s="2">
        <f t="shared" si="26"/>
        <v>3.0756049683480007</v>
      </c>
    </row>
    <row r="58" spans="1:13" x14ac:dyDescent="0.25">
      <c r="A58" s="4">
        <v>27.798999999999999</v>
      </c>
      <c r="B58" s="2" t="s">
        <v>19</v>
      </c>
      <c r="C58" s="6">
        <f t="shared" si="23"/>
        <v>0.83900000000000008</v>
      </c>
      <c r="D58" s="6">
        <f t="shared" si="4"/>
        <v>23.323361000000002</v>
      </c>
      <c r="E58" s="6" t="s">
        <v>14</v>
      </c>
      <c r="F58" s="6">
        <f t="shared" si="24"/>
        <v>0.81400000000000006</v>
      </c>
      <c r="G58" s="6">
        <f t="shared" si="11"/>
        <v>18.985215854000003</v>
      </c>
      <c r="H58" s="6" t="s">
        <v>55</v>
      </c>
      <c r="I58" s="6">
        <f>2.5/100</f>
        <v>2.5000000000000001E-2</v>
      </c>
      <c r="J58" s="6">
        <f t="shared" ref="J58" si="27">I58*G58</f>
        <v>0.47463039635000009</v>
      </c>
      <c r="K58" s="2" t="s">
        <v>38</v>
      </c>
      <c r="L58" s="2">
        <f>2.6/100</f>
        <v>2.6000000000000002E-2</v>
      </c>
      <c r="M58" s="2">
        <f t="shared" si="26"/>
        <v>0.49361561220400013</v>
      </c>
    </row>
    <row r="59" spans="1:13" x14ac:dyDescent="0.25">
      <c r="A59" s="4">
        <v>27.798999999999999</v>
      </c>
      <c r="B59" s="2" t="s">
        <v>19</v>
      </c>
      <c r="C59" s="6">
        <f t="shared" si="23"/>
        <v>0.83900000000000008</v>
      </c>
      <c r="D59" s="6">
        <f t="shared" si="4"/>
        <v>23.323361000000002</v>
      </c>
      <c r="E59" s="6" t="s">
        <v>14</v>
      </c>
      <c r="F59" s="6">
        <f t="shared" si="24"/>
        <v>0.81400000000000006</v>
      </c>
      <c r="G59" s="6">
        <f t="shared" si="11"/>
        <v>18.985215854000003</v>
      </c>
      <c r="H59" s="6"/>
      <c r="I59" s="6"/>
      <c r="J59" s="6"/>
      <c r="K59" s="2" t="s">
        <v>39</v>
      </c>
      <c r="L59" s="2">
        <f>1.3/100</f>
        <v>1.3000000000000001E-2</v>
      </c>
      <c r="M59" s="2">
        <f t="shared" si="26"/>
        <v>0.24680780610200007</v>
      </c>
    </row>
    <row r="60" spans="1:13" x14ac:dyDescent="0.25">
      <c r="A60" s="4">
        <v>27.798999999999999</v>
      </c>
      <c r="B60" s="2" t="s">
        <v>19</v>
      </c>
      <c r="C60" s="6">
        <f t="shared" si="23"/>
        <v>0.83900000000000008</v>
      </c>
      <c r="D60" s="6">
        <f t="shared" si="4"/>
        <v>23.323361000000002</v>
      </c>
      <c r="E60" s="6" t="s">
        <v>52</v>
      </c>
      <c r="F60" s="6">
        <f>85.6/100</f>
        <v>0.85599999999999998</v>
      </c>
      <c r="G60" s="6">
        <f t="shared" si="11"/>
        <v>19.964797016000002</v>
      </c>
      <c r="H60" s="6" t="s">
        <v>11</v>
      </c>
      <c r="I60" s="6">
        <f>6.3/100</f>
        <v>6.3E-2</v>
      </c>
      <c r="J60" s="6">
        <f>I60*G60</f>
        <v>1.2577822120080002</v>
      </c>
      <c r="K60" s="2" t="s">
        <v>32</v>
      </c>
      <c r="L60" s="2">
        <f>1.5/100</f>
        <v>1.4999999999999999E-2</v>
      </c>
      <c r="M60" s="2">
        <f>L60*G60</f>
        <v>0.29947195524000003</v>
      </c>
    </row>
    <row r="61" spans="1:13" x14ac:dyDescent="0.25">
      <c r="A61" s="4">
        <v>27.798999999999999</v>
      </c>
      <c r="B61" s="2" t="s">
        <v>19</v>
      </c>
      <c r="C61" s="6">
        <f t="shared" si="23"/>
        <v>0.83900000000000008</v>
      </c>
      <c r="D61" s="6">
        <f t="shared" si="4"/>
        <v>23.323361000000002</v>
      </c>
      <c r="E61" s="6" t="s">
        <v>15</v>
      </c>
      <c r="F61" s="6">
        <f t="shared" ref="F61:F67" si="28">85.6/100</f>
        <v>0.85599999999999998</v>
      </c>
      <c r="G61" s="6">
        <f t="shared" si="11"/>
        <v>19.964797016000002</v>
      </c>
      <c r="H61" s="6" t="s">
        <v>12</v>
      </c>
      <c r="I61" s="6">
        <f>4.4/100</f>
        <v>4.4000000000000004E-2</v>
      </c>
      <c r="J61" s="6">
        <f t="shared" ref="J61:J66" si="29">I61*G61</f>
        <v>0.87845106870400014</v>
      </c>
      <c r="K61" s="2" t="s">
        <v>33</v>
      </c>
      <c r="L61" s="2">
        <f>10.5/100</f>
        <v>0.105</v>
      </c>
      <c r="M61" s="2">
        <f t="shared" ref="M61:M67" si="30">L61*G61</f>
        <v>2.0963036866800002</v>
      </c>
    </row>
    <row r="62" spans="1:13" x14ac:dyDescent="0.25">
      <c r="A62" s="4">
        <v>27.798999999999999</v>
      </c>
      <c r="B62" s="2" t="s">
        <v>19</v>
      </c>
      <c r="C62" s="6">
        <f t="shared" si="23"/>
        <v>0.83900000000000008</v>
      </c>
      <c r="D62" s="6">
        <f t="shared" si="4"/>
        <v>23.323361000000002</v>
      </c>
      <c r="E62" s="6" t="s">
        <v>15</v>
      </c>
      <c r="F62" s="6">
        <f t="shared" si="28"/>
        <v>0.85599999999999998</v>
      </c>
      <c r="G62" s="6">
        <f t="shared" si="11"/>
        <v>19.964797016000002</v>
      </c>
      <c r="H62" s="6" t="s">
        <v>7</v>
      </c>
      <c r="I62" s="6">
        <f>15.4/100</f>
        <v>0.154</v>
      </c>
      <c r="J62" s="6">
        <f t="shared" si="29"/>
        <v>3.0745787404640001</v>
      </c>
      <c r="K62" s="2" t="s">
        <v>34</v>
      </c>
      <c r="L62" s="2">
        <f>21.9/100</f>
        <v>0.21899999999999997</v>
      </c>
      <c r="M62" s="2">
        <f t="shared" si="30"/>
        <v>4.3722905465039998</v>
      </c>
    </row>
    <row r="63" spans="1:13" x14ac:dyDescent="0.25">
      <c r="A63" s="4">
        <v>27.798999999999999</v>
      </c>
      <c r="B63" s="2" t="s">
        <v>19</v>
      </c>
      <c r="C63" s="6">
        <f t="shared" si="23"/>
        <v>0.83900000000000008</v>
      </c>
      <c r="D63" s="6">
        <f t="shared" si="4"/>
        <v>23.323361000000002</v>
      </c>
      <c r="E63" s="6" t="s">
        <v>15</v>
      </c>
      <c r="F63" s="6">
        <f t="shared" si="28"/>
        <v>0.85599999999999998</v>
      </c>
      <c r="G63" s="6">
        <f t="shared" si="11"/>
        <v>19.964797016000002</v>
      </c>
      <c r="H63" s="6" t="s">
        <v>8</v>
      </c>
      <c r="I63" s="6">
        <f>43.9/100</f>
        <v>0.439</v>
      </c>
      <c r="J63" s="6">
        <f t="shared" si="29"/>
        <v>8.7645458900240012</v>
      </c>
      <c r="K63" s="2" t="s">
        <v>35</v>
      </c>
      <c r="L63" s="2">
        <f>32.4/100</f>
        <v>0.32400000000000001</v>
      </c>
      <c r="M63" s="2">
        <f t="shared" si="30"/>
        <v>6.4685942331840005</v>
      </c>
    </row>
    <row r="64" spans="1:13" x14ac:dyDescent="0.25">
      <c r="A64" s="4">
        <v>27.798999999999999</v>
      </c>
      <c r="B64" s="2" t="s">
        <v>19</v>
      </c>
      <c r="C64" s="6">
        <f t="shared" si="23"/>
        <v>0.83900000000000008</v>
      </c>
      <c r="D64" s="6">
        <f t="shared" si="4"/>
        <v>23.323361000000002</v>
      </c>
      <c r="E64" s="6" t="s">
        <v>15</v>
      </c>
      <c r="F64" s="6">
        <f t="shared" si="28"/>
        <v>0.85599999999999998</v>
      </c>
      <c r="G64" s="6">
        <f t="shared" si="11"/>
        <v>19.964797016000002</v>
      </c>
      <c r="H64" s="6" t="s">
        <v>10</v>
      </c>
      <c r="I64" s="6">
        <f>5.7/100</f>
        <v>5.7000000000000002E-2</v>
      </c>
      <c r="J64" s="6">
        <f t="shared" si="29"/>
        <v>1.1379934299120003</v>
      </c>
      <c r="K64" s="2" t="s">
        <v>36</v>
      </c>
      <c r="L64" s="2">
        <f>21.4/100</f>
        <v>0.214</v>
      </c>
      <c r="M64" s="2">
        <f t="shared" si="30"/>
        <v>4.2724665614240003</v>
      </c>
    </row>
    <row r="65" spans="1:13" x14ac:dyDescent="0.25">
      <c r="A65" s="4">
        <v>27.798999999999999</v>
      </c>
      <c r="B65" s="2" t="s">
        <v>19</v>
      </c>
      <c r="C65" s="6">
        <f t="shared" si="23"/>
        <v>0.83900000000000008</v>
      </c>
      <c r="D65" s="6">
        <f t="shared" si="4"/>
        <v>23.323361000000002</v>
      </c>
      <c r="E65" s="6" t="s">
        <v>15</v>
      </c>
      <c r="F65" s="6">
        <f t="shared" si="28"/>
        <v>0.85599999999999998</v>
      </c>
      <c r="G65" s="6">
        <f t="shared" si="11"/>
        <v>19.964797016000002</v>
      </c>
      <c r="H65" s="6" t="s">
        <v>9</v>
      </c>
      <c r="I65" s="6">
        <f>22.1/100</f>
        <v>0.221</v>
      </c>
      <c r="J65" s="6">
        <f t="shared" si="29"/>
        <v>4.4122201405360002</v>
      </c>
      <c r="K65" s="2" t="s">
        <v>37</v>
      </c>
      <c r="L65" s="2">
        <f>12/100</f>
        <v>0.12</v>
      </c>
      <c r="M65" s="2">
        <f t="shared" si="30"/>
        <v>2.3957756419200003</v>
      </c>
    </row>
    <row r="66" spans="1:13" x14ac:dyDescent="0.25">
      <c r="A66" s="4">
        <v>27.798999999999999</v>
      </c>
      <c r="B66" s="2" t="s">
        <v>19</v>
      </c>
      <c r="C66" s="6">
        <f t="shared" si="23"/>
        <v>0.83900000000000008</v>
      </c>
      <c r="D66" s="6">
        <f t="shared" si="4"/>
        <v>23.323361000000002</v>
      </c>
      <c r="E66" s="6" t="s">
        <v>15</v>
      </c>
      <c r="F66" s="6">
        <f t="shared" si="28"/>
        <v>0.85599999999999998</v>
      </c>
      <c r="G66" s="6">
        <f t="shared" si="11"/>
        <v>19.964797016000002</v>
      </c>
      <c r="H66" s="6" t="s">
        <v>55</v>
      </c>
      <c r="I66" s="6">
        <f>2.3/100</f>
        <v>2.3E-2</v>
      </c>
      <c r="J66" s="6">
        <f t="shared" si="29"/>
        <v>0.45919033136800003</v>
      </c>
      <c r="K66" s="2" t="s">
        <v>38</v>
      </c>
      <c r="L66" s="2">
        <f>0/100</f>
        <v>0</v>
      </c>
      <c r="M66" s="2">
        <f t="shared" si="30"/>
        <v>0</v>
      </c>
    </row>
    <row r="67" spans="1:13" x14ac:dyDescent="0.25">
      <c r="A67" s="4">
        <v>27.798999999999999</v>
      </c>
      <c r="B67" s="2" t="s">
        <v>19</v>
      </c>
      <c r="C67" s="6">
        <f t="shared" si="23"/>
        <v>0.83900000000000008</v>
      </c>
      <c r="D67" s="6">
        <f t="shared" si="4"/>
        <v>23.323361000000002</v>
      </c>
      <c r="E67" s="6" t="s">
        <v>15</v>
      </c>
      <c r="F67" s="6">
        <f t="shared" si="28"/>
        <v>0.85599999999999998</v>
      </c>
      <c r="G67" s="6">
        <f t="shared" si="11"/>
        <v>19.964797016000002</v>
      </c>
      <c r="H67" s="6"/>
      <c r="I67" s="6"/>
      <c r="J67" s="6"/>
      <c r="K67" s="2" t="s">
        <v>39</v>
      </c>
      <c r="L67" s="2">
        <f>0.3/100</f>
        <v>3.0000000000000001E-3</v>
      </c>
      <c r="M67" s="2">
        <f t="shared" si="30"/>
        <v>5.9894391048000005E-2</v>
      </c>
    </row>
    <row r="68" spans="1:13" x14ac:dyDescent="0.25">
      <c r="A68" s="4">
        <v>27.798999999999999</v>
      </c>
      <c r="B68" s="2" t="s">
        <v>19</v>
      </c>
      <c r="C68" s="6">
        <f t="shared" si="23"/>
        <v>0.83900000000000008</v>
      </c>
      <c r="D68" s="6">
        <f t="shared" si="4"/>
        <v>23.323361000000002</v>
      </c>
      <c r="E68" s="6" t="s">
        <v>53</v>
      </c>
      <c r="F68" s="6">
        <f>84.1/100</f>
        <v>0.84099999999999997</v>
      </c>
      <c r="G68" s="6">
        <f t="shared" si="11"/>
        <v>19.614946601</v>
      </c>
      <c r="H68" s="6" t="s">
        <v>11</v>
      </c>
      <c r="I68" s="6">
        <f>13.2/100</f>
        <v>0.13200000000000001</v>
      </c>
      <c r="J68" s="6">
        <f>I68*G68</f>
        <v>2.5891729513319999</v>
      </c>
      <c r="K68" s="2" t="s">
        <v>32</v>
      </c>
      <c r="L68" s="2">
        <f>5.8/100</f>
        <v>5.7999999999999996E-2</v>
      </c>
      <c r="M68" s="2">
        <f>L68*G68</f>
        <v>1.137666902858</v>
      </c>
    </row>
    <row r="69" spans="1:13" x14ac:dyDescent="0.25">
      <c r="A69" s="4">
        <v>27.798999999999999</v>
      </c>
      <c r="B69" s="2" t="s">
        <v>19</v>
      </c>
      <c r="C69" s="6">
        <f t="shared" si="23"/>
        <v>0.83900000000000008</v>
      </c>
      <c r="D69" s="6">
        <f t="shared" si="4"/>
        <v>23.323361000000002</v>
      </c>
      <c r="E69" s="6" t="s">
        <v>16</v>
      </c>
      <c r="F69" s="6">
        <f t="shared" ref="F69:F75" si="31">84.1/100</f>
        <v>0.84099999999999997</v>
      </c>
      <c r="G69" s="6">
        <f t="shared" si="11"/>
        <v>19.614946601</v>
      </c>
      <c r="H69" s="6" t="s">
        <v>12</v>
      </c>
      <c r="I69" s="6">
        <f>6.2/100</f>
        <v>6.2E-2</v>
      </c>
      <c r="J69" s="6">
        <f t="shared" ref="J69:J74" si="32">I69*G69</f>
        <v>1.216126689262</v>
      </c>
      <c r="K69" s="2" t="s">
        <v>33</v>
      </c>
      <c r="L69" s="2">
        <f>12.5/100</f>
        <v>0.125</v>
      </c>
      <c r="M69" s="2">
        <f t="shared" ref="M69:M75" si="33">L69*G69</f>
        <v>2.451868325125</v>
      </c>
    </row>
    <row r="70" spans="1:13" x14ac:dyDescent="0.25">
      <c r="A70" s="4">
        <v>27.798999999999999</v>
      </c>
      <c r="B70" s="2" t="s">
        <v>19</v>
      </c>
      <c r="C70" s="6">
        <f t="shared" si="23"/>
        <v>0.83900000000000008</v>
      </c>
      <c r="D70" s="6">
        <f t="shared" si="4"/>
        <v>23.323361000000002</v>
      </c>
      <c r="E70" s="6" t="s">
        <v>16</v>
      </c>
      <c r="F70" s="6">
        <f t="shared" si="31"/>
        <v>0.84099999999999997</v>
      </c>
      <c r="G70" s="6">
        <f t="shared" si="11"/>
        <v>19.614946601</v>
      </c>
      <c r="H70" s="6" t="s">
        <v>7</v>
      </c>
      <c r="I70" s="6">
        <f>16.2/100</f>
        <v>0.16200000000000001</v>
      </c>
      <c r="J70" s="6">
        <f t="shared" si="32"/>
        <v>3.177621349362</v>
      </c>
      <c r="K70" s="2" t="s">
        <v>34</v>
      </c>
      <c r="L70" s="2">
        <f>16.4/100</f>
        <v>0.16399999999999998</v>
      </c>
      <c r="M70" s="2">
        <f t="shared" si="33"/>
        <v>3.2168512425639997</v>
      </c>
    </row>
    <row r="71" spans="1:13" x14ac:dyDescent="0.25">
      <c r="A71" s="4">
        <v>27.798999999999999</v>
      </c>
      <c r="B71" s="2" t="s">
        <v>19</v>
      </c>
      <c r="C71" s="6">
        <f t="shared" si="23"/>
        <v>0.83900000000000008</v>
      </c>
      <c r="D71" s="6">
        <f t="shared" si="4"/>
        <v>23.323361000000002</v>
      </c>
      <c r="E71" s="6" t="s">
        <v>16</v>
      </c>
      <c r="F71" s="6">
        <f t="shared" si="31"/>
        <v>0.84099999999999997</v>
      </c>
      <c r="G71" s="6">
        <f t="shared" si="11"/>
        <v>19.614946601</v>
      </c>
      <c r="H71" s="6" t="s">
        <v>8</v>
      </c>
      <c r="I71" s="6">
        <f>36.6/100</f>
        <v>0.36599999999999999</v>
      </c>
      <c r="J71" s="6">
        <f t="shared" si="32"/>
        <v>7.1790704559659995</v>
      </c>
      <c r="K71" s="2" t="s">
        <v>35</v>
      </c>
      <c r="L71" s="2">
        <f>25.7/100</f>
        <v>0.25700000000000001</v>
      </c>
      <c r="M71" s="2">
        <f t="shared" si="33"/>
        <v>5.0410412764570003</v>
      </c>
    </row>
    <row r="72" spans="1:13" x14ac:dyDescent="0.25">
      <c r="A72" s="4">
        <v>27.798999999999999</v>
      </c>
      <c r="B72" s="2" t="s">
        <v>19</v>
      </c>
      <c r="C72" s="6">
        <f t="shared" si="23"/>
        <v>0.83900000000000008</v>
      </c>
      <c r="D72" s="6">
        <f t="shared" si="4"/>
        <v>23.323361000000002</v>
      </c>
      <c r="E72" s="6" t="s">
        <v>16</v>
      </c>
      <c r="F72" s="6">
        <f t="shared" si="31"/>
        <v>0.84099999999999997</v>
      </c>
      <c r="G72" s="6">
        <f t="shared" si="11"/>
        <v>19.614946601</v>
      </c>
      <c r="H72" s="6" t="s">
        <v>10</v>
      </c>
      <c r="I72" s="6">
        <f>4.4/100</f>
        <v>4.4000000000000004E-2</v>
      </c>
      <c r="J72" s="6">
        <f t="shared" si="32"/>
        <v>0.86305765044400007</v>
      </c>
      <c r="K72" s="2" t="s">
        <v>36</v>
      </c>
      <c r="L72" s="2">
        <f>21.5/100</f>
        <v>0.215</v>
      </c>
      <c r="M72" s="2">
        <f t="shared" si="33"/>
        <v>4.217213519215</v>
      </c>
    </row>
    <row r="73" spans="1:13" x14ac:dyDescent="0.25">
      <c r="A73" s="4">
        <v>27.798999999999999</v>
      </c>
      <c r="B73" s="2" t="s">
        <v>19</v>
      </c>
      <c r="C73" s="6">
        <f t="shared" si="23"/>
        <v>0.83900000000000008</v>
      </c>
      <c r="D73" s="6">
        <f t="shared" si="4"/>
        <v>23.323361000000002</v>
      </c>
      <c r="E73" s="6" t="s">
        <v>16</v>
      </c>
      <c r="F73" s="6">
        <f t="shared" si="31"/>
        <v>0.84099999999999997</v>
      </c>
      <c r="G73" s="6">
        <f t="shared" si="11"/>
        <v>19.614946601</v>
      </c>
      <c r="H73" s="6" t="s">
        <v>9</v>
      </c>
      <c r="I73" s="6">
        <f>20.1/100</f>
        <v>0.20100000000000001</v>
      </c>
      <c r="J73" s="6">
        <f t="shared" si="32"/>
        <v>3.9426042668010002</v>
      </c>
      <c r="K73" s="2" t="s">
        <v>37</v>
      </c>
      <c r="L73" s="2">
        <f>15.3/100</f>
        <v>0.153</v>
      </c>
      <c r="M73" s="2">
        <f t="shared" si="33"/>
        <v>3.001086829953</v>
      </c>
    </row>
    <row r="74" spans="1:13" x14ac:dyDescent="0.25">
      <c r="A74" s="4">
        <v>27.798999999999999</v>
      </c>
      <c r="B74" s="2" t="s">
        <v>19</v>
      </c>
      <c r="C74" s="6">
        <f t="shared" si="23"/>
        <v>0.83900000000000008</v>
      </c>
      <c r="D74" s="6">
        <f t="shared" si="4"/>
        <v>23.323361000000002</v>
      </c>
      <c r="E74" s="6" t="s">
        <v>16</v>
      </c>
      <c r="F74" s="6">
        <f t="shared" si="31"/>
        <v>0.84099999999999997</v>
      </c>
      <c r="G74" s="6">
        <f t="shared" si="11"/>
        <v>19.614946601</v>
      </c>
      <c r="H74" s="6" t="s">
        <v>55</v>
      </c>
      <c r="I74" s="6">
        <f>3.2/100</f>
        <v>3.2000000000000001E-2</v>
      </c>
      <c r="J74" s="6">
        <f t="shared" si="32"/>
        <v>0.62767829123200003</v>
      </c>
      <c r="K74" s="2" t="s">
        <v>38</v>
      </c>
      <c r="L74" s="2">
        <f>1.6/100</f>
        <v>1.6E-2</v>
      </c>
      <c r="M74" s="2">
        <f t="shared" si="33"/>
        <v>0.31383914561600001</v>
      </c>
    </row>
    <row r="75" spans="1:13" x14ac:dyDescent="0.25">
      <c r="A75" s="4">
        <v>27.798999999999999</v>
      </c>
      <c r="B75" s="2" t="s">
        <v>19</v>
      </c>
      <c r="C75" s="6">
        <f t="shared" si="23"/>
        <v>0.83900000000000008</v>
      </c>
      <c r="D75" s="6">
        <f t="shared" si="4"/>
        <v>23.323361000000002</v>
      </c>
      <c r="E75" s="6" t="s">
        <v>16</v>
      </c>
      <c r="F75" s="6">
        <f t="shared" si="31"/>
        <v>0.84099999999999997</v>
      </c>
      <c r="G75" s="6">
        <f t="shared" si="11"/>
        <v>19.614946601</v>
      </c>
      <c r="H75" s="6"/>
      <c r="I75" s="6"/>
      <c r="J75" s="6"/>
      <c r="K75" s="2" t="s">
        <v>39</v>
      </c>
      <c r="L75" s="2">
        <f>1.2/100</f>
        <v>1.2E-2</v>
      </c>
      <c r="M75" s="2">
        <f t="shared" si="33"/>
        <v>0.23537935921200001</v>
      </c>
    </row>
    <row r="76" spans="1:13" x14ac:dyDescent="0.25">
      <c r="A76" s="4">
        <v>27.798999999999999</v>
      </c>
      <c r="B76" s="2" t="s">
        <v>19</v>
      </c>
      <c r="C76" s="6">
        <f t="shared" si="23"/>
        <v>0.83900000000000008</v>
      </c>
      <c r="D76" s="6">
        <f t="shared" si="4"/>
        <v>23.323361000000002</v>
      </c>
      <c r="E76" s="2" t="s">
        <v>51</v>
      </c>
      <c r="F76" s="6">
        <f>81.5/100</f>
        <v>0.81499999999999995</v>
      </c>
      <c r="G76" s="6">
        <f t="shared" si="11"/>
        <v>19.008539214999999</v>
      </c>
      <c r="H76" s="6" t="s">
        <v>11</v>
      </c>
      <c r="I76" s="6">
        <f>16.7/100</f>
        <v>0.16699999999999998</v>
      </c>
      <c r="J76" s="8">
        <f>I76*G76</f>
        <v>3.1744260489049996</v>
      </c>
      <c r="K76" s="2" t="s">
        <v>32</v>
      </c>
      <c r="L76" s="2">
        <f>5.7/100</f>
        <v>5.7000000000000002E-2</v>
      </c>
      <c r="M76" s="2">
        <f>L76*G76</f>
        <v>1.0834867352549999</v>
      </c>
    </row>
    <row r="77" spans="1:13" x14ac:dyDescent="0.25">
      <c r="A77" s="4">
        <v>27.798999999999999</v>
      </c>
      <c r="B77" s="2" t="s">
        <v>19</v>
      </c>
      <c r="C77" s="6">
        <f t="shared" si="23"/>
        <v>0.83900000000000008</v>
      </c>
      <c r="D77" s="6">
        <f t="shared" si="4"/>
        <v>23.323361000000002</v>
      </c>
      <c r="E77" s="2" t="s">
        <v>13</v>
      </c>
      <c r="F77" s="6">
        <f t="shared" ref="F77:F83" si="34">81.5/100</f>
        <v>0.81499999999999995</v>
      </c>
      <c r="G77" s="6">
        <f t="shared" si="11"/>
        <v>19.008539214999999</v>
      </c>
      <c r="H77" s="6" t="s">
        <v>12</v>
      </c>
      <c r="I77" s="6">
        <f>8.9/100</f>
        <v>8.900000000000001E-2</v>
      </c>
      <c r="J77" s="8">
        <f t="shared" ref="J77:J82" si="35">I77*G77</f>
        <v>1.691759990135</v>
      </c>
      <c r="K77" s="2" t="s">
        <v>33</v>
      </c>
      <c r="L77" s="2">
        <f>12.7/100</f>
        <v>0.127</v>
      </c>
      <c r="M77" s="2">
        <f t="shared" ref="M77:M83" si="36">L77*G77</f>
        <v>2.4140844803050001</v>
      </c>
    </row>
    <row r="78" spans="1:13" x14ac:dyDescent="0.25">
      <c r="A78" s="4">
        <v>27.798999999999999</v>
      </c>
      <c r="B78" s="2" t="s">
        <v>19</v>
      </c>
      <c r="C78" s="6">
        <f t="shared" si="23"/>
        <v>0.83900000000000008</v>
      </c>
      <c r="D78" s="6">
        <f t="shared" si="4"/>
        <v>23.323361000000002</v>
      </c>
      <c r="E78" s="2" t="s">
        <v>13</v>
      </c>
      <c r="F78" s="6">
        <f t="shared" si="34"/>
        <v>0.81499999999999995</v>
      </c>
      <c r="G78" s="6">
        <f t="shared" si="11"/>
        <v>19.008539214999999</v>
      </c>
      <c r="H78" s="6" t="s">
        <v>7</v>
      </c>
      <c r="I78" s="6">
        <f>16.9/100</f>
        <v>0.16899999999999998</v>
      </c>
      <c r="J78" s="8">
        <f t="shared" si="35"/>
        <v>3.2124431273349994</v>
      </c>
      <c r="K78" s="2" t="s">
        <v>34</v>
      </c>
      <c r="L78" s="2">
        <f>16.1/100</f>
        <v>0.161</v>
      </c>
      <c r="M78" s="2">
        <f t="shared" si="36"/>
        <v>3.0603748136149997</v>
      </c>
    </row>
    <row r="79" spans="1:13" x14ac:dyDescent="0.25">
      <c r="A79" s="4">
        <v>27.798999999999999</v>
      </c>
      <c r="B79" s="2" t="s">
        <v>19</v>
      </c>
      <c r="C79" s="6">
        <f t="shared" si="23"/>
        <v>0.83900000000000008</v>
      </c>
      <c r="D79" s="6">
        <f t="shared" si="4"/>
        <v>23.323361000000002</v>
      </c>
      <c r="E79" s="2" t="s">
        <v>13</v>
      </c>
      <c r="F79" s="6">
        <f t="shared" si="34"/>
        <v>0.81499999999999995</v>
      </c>
      <c r="G79" s="6">
        <f t="shared" si="11"/>
        <v>19.008539214999999</v>
      </c>
      <c r="H79" s="6" t="s">
        <v>8</v>
      </c>
      <c r="I79" s="6">
        <f>37.8/100</f>
        <v>0.37799999999999995</v>
      </c>
      <c r="J79" s="8">
        <f t="shared" si="35"/>
        <v>7.1852278232699982</v>
      </c>
      <c r="K79" s="2" t="s">
        <v>35</v>
      </c>
      <c r="L79" s="2">
        <f>25.8/100</f>
        <v>0.25800000000000001</v>
      </c>
      <c r="M79" s="2">
        <f t="shared" si="36"/>
        <v>4.9042031174699998</v>
      </c>
    </row>
    <row r="80" spans="1:13" x14ac:dyDescent="0.25">
      <c r="A80" s="4">
        <v>27.798999999999999</v>
      </c>
      <c r="B80" s="2" t="s">
        <v>19</v>
      </c>
      <c r="C80" s="6">
        <f t="shared" si="23"/>
        <v>0.83900000000000008</v>
      </c>
      <c r="D80" s="6">
        <f t="shared" si="4"/>
        <v>23.323361000000002</v>
      </c>
      <c r="E80" s="2" t="s">
        <v>13</v>
      </c>
      <c r="F80" s="6">
        <f t="shared" si="34"/>
        <v>0.81499999999999995</v>
      </c>
      <c r="G80" s="6">
        <f t="shared" si="11"/>
        <v>19.008539214999999</v>
      </c>
      <c r="H80" s="6" t="s">
        <v>10</v>
      </c>
      <c r="I80" s="6">
        <f>3/100</f>
        <v>0.03</v>
      </c>
      <c r="J80" s="8">
        <f t="shared" si="35"/>
        <v>0.57025617644999993</v>
      </c>
      <c r="K80" s="2" t="s">
        <v>36</v>
      </c>
      <c r="L80" s="2">
        <f>20.5/100</f>
        <v>0.20499999999999999</v>
      </c>
      <c r="M80" s="2">
        <f t="shared" si="36"/>
        <v>3.8967505390749997</v>
      </c>
    </row>
    <row r="81" spans="1:13" x14ac:dyDescent="0.25">
      <c r="A81" s="4">
        <v>27.798999999999999</v>
      </c>
      <c r="B81" s="2" t="s">
        <v>19</v>
      </c>
      <c r="C81" s="6">
        <f t="shared" si="23"/>
        <v>0.83900000000000008</v>
      </c>
      <c r="D81" s="6">
        <f t="shared" si="4"/>
        <v>23.323361000000002</v>
      </c>
      <c r="E81" s="2" t="s">
        <v>13</v>
      </c>
      <c r="F81" s="6">
        <f t="shared" si="34"/>
        <v>0.81499999999999995</v>
      </c>
      <c r="G81" s="6">
        <f t="shared" si="11"/>
        <v>19.008539214999999</v>
      </c>
      <c r="H81" s="6" t="s">
        <v>9</v>
      </c>
      <c r="I81" s="6">
        <f>14/100</f>
        <v>0.14000000000000001</v>
      </c>
      <c r="J81" s="8">
        <f t="shared" si="35"/>
        <v>2.6611954900999999</v>
      </c>
      <c r="K81" s="2" t="s">
        <v>37</v>
      </c>
      <c r="L81" s="2">
        <f>14.2/100</f>
        <v>0.14199999999999999</v>
      </c>
      <c r="M81" s="2">
        <f t="shared" si="36"/>
        <v>2.6992125685299997</v>
      </c>
    </row>
    <row r="82" spans="1:13" x14ac:dyDescent="0.25">
      <c r="A82" s="4">
        <v>27.798999999999999</v>
      </c>
      <c r="B82" s="2" t="s">
        <v>19</v>
      </c>
      <c r="C82" s="6">
        <f t="shared" si="23"/>
        <v>0.83900000000000008</v>
      </c>
      <c r="D82" s="6">
        <f t="shared" si="4"/>
        <v>23.323361000000002</v>
      </c>
      <c r="E82" s="2" t="s">
        <v>13</v>
      </c>
      <c r="F82" s="6">
        <f t="shared" si="34"/>
        <v>0.81499999999999995</v>
      </c>
      <c r="G82" s="6">
        <f t="shared" si="11"/>
        <v>19.008539214999999</v>
      </c>
      <c r="H82" s="6" t="s">
        <v>55</v>
      </c>
      <c r="I82" s="6">
        <f>2.8/100</f>
        <v>2.7999999999999997E-2</v>
      </c>
      <c r="J82" s="6">
        <f t="shared" si="35"/>
        <v>0.53223909801999991</v>
      </c>
      <c r="K82" s="2" t="s">
        <v>38</v>
      </c>
      <c r="L82" s="2">
        <f>2.8/100</f>
        <v>2.7999999999999997E-2</v>
      </c>
      <c r="M82" s="2">
        <f t="shared" si="36"/>
        <v>0.53223909801999991</v>
      </c>
    </row>
    <row r="83" spans="1:13" x14ac:dyDescent="0.25">
      <c r="A83" s="4">
        <v>27.798999999999999</v>
      </c>
      <c r="B83" s="2" t="s">
        <v>19</v>
      </c>
      <c r="C83" s="6">
        <f t="shared" si="23"/>
        <v>0.83900000000000008</v>
      </c>
      <c r="D83" s="6">
        <f t="shared" si="4"/>
        <v>23.323361000000002</v>
      </c>
      <c r="E83" s="2" t="s">
        <v>13</v>
      </c>
      <c r="F83" s="6">
        <f t="shared" si="34"/>
        <v>0.81499999999999995</v>
      </c>
      <c r="G83" s="6">
        <f t="shared" si="11"/>
        <v>19.008539214999999</v>
      </c>
      <c r="H83" s="6"/>
      <c r="I83" s="6"/>
      <c r="J83" s="8"/>
      <c r="K83" s="2" t="s">
        <v>39</v>
      </c>
      <c r="L83" s="2">
        <f>2.2/100</f>
        <v>2.2000000000000002E-2</v>
      </c>
      <c r="M83" s="2">
        <f t="shared" si="36"/>
        <v>0.41818786273000003</v>
      </c>
    </row>
    <row r="84" spans="1:13" x14ac:dyDescent="0.25">
      <c r="A84" s="4">
        <v>27.798999999999999</v>
      </c>
      <c r="B84" s="2" t="s">
        <v>19</v>
      </c>
      <c r="C84" s="6">
        <f t="shared" si="23"/>
        <v>0.83900000000000008</v>
      </c>
      <c r="D84" s="6">
        <f t="shared" si="4"/>
        <v>23.323361000000002</v>
      </c>
      <c r="E84" s="2" t="s">
        <v>50</v>
      </c>
      <c r="F84" s="6">
        <f>90.7/100</f>
        <v>0.90700000000000003</v>
      </c>
      <c r="G84" s="6">
        <f t="shared" si="11"/>
        <v>21.154288427000001</v>
      </c>
      <c r="H84" s="6" t="s">
        <v>11</v>
      </c>
      <c r="I84" s="6">
        <f>9.7/100</f>
        <v>9.6999999999999989E-2</v>
      </c>
      <c r="J84" s="6">
        <f>I84*G84</f>
        <v>2.051965977419</v>
      </c>
      <c r="K84" s="2" t="s">
        <v>32</v>
      </c>
      <c r="L84" s="2">
        <f>1.2/100</f>
        <v>1.2E-2</v>
      </c>
      <c r="M84" s="2">
        <f>L84*G84</f>
        <v>0.25385146112400003</v>
      </c>
    </row>
    <row r="85" spans="1:13" x14ac:dyDescent="0.25">
      <c r="A85" s="4">
        <v>27.798999999999999</v>
      </c>
      <c r="B85" s="2" t="s">
        <v>19</v>
      </c>
      <c r="C85" s="6">
        <f t="shared" si="23"/>
        <v>0.83900000000000008</v>
      </c>
      <c r="D85" s="6">
        <f t="shared" si="4"/>
        <v>23.323361000000002</v>
      </c>
      <c r="E85" s="2" t="s">
        <v>17</v>
      </c>
      <c r="F85" s="6">
        <f t="shared" ref="F85:F91" si="37">90.7/100</f>
        <v>0.90700000000000003</v>
      </c>
      <c r="G85" s="6">
        <f t="shared" si="11"/>
        <v>21.154288427000001</v>
      </c>
      <c r="H85" s="6" t="s">
        <v>12</v>
      </c>
      <c r="I85" s="6">
        <f>9.1/100</f>
        <v>9.0999999999999998E-2</v>
      </c>
      <c r="J85" s="6">
        <f t="shared" ref="J85:J90" si="38">I85*G85</f>
        <v>1.925040246857</v>
      </c>
      <c r="K85" s="2" t="s">
        <v>33</v>
      </c>
      <c r="L85" s="2">
        <f>13.5/100</f>
        <v>0.13500000000000001</v>
      </c>
      <c r="M85" s="2">
        <f t="shared" ref="M85:M87" si="39">L85*G85</f>
        <v>2.8558289376450001</v>
      </c>
    </row>
    <row r="86" spans="1:13" x14ac:dyDescent="0.25">
      <c r="A86" s="4">
        <v>27.798999999999999</v>
      </c>
      <c r="B86" s="2" t="s">
        <v>19</v>
      </c>
      <c r="C86" s="6">
        <f t="shared" si="23"/>
        <v>0.83900000000000008</v>
      </c>
      <c r="D86" s="6">
        <f t="shared" si="4"/>
        <v>23.323361000000002</v>
      </c>
      <c r="E86" s="2" t="s">
        <v>17</v>
      </c>
      <c r="F86" s="6">
        <f t="shared" si="37"/>
        <v>0.90700000000000003</v>
      </c>
      <c r="G86" s="6">
        <f t="shared" si="11"/>
        <v>21.154288427000001</v>
      </c>
      <c r="H86" s="6" t="s">
        <v>7</v>
      </c>
      <c r="I86" s="6">
        <f>30/100</f>
        <v>0.3</v>
      </c>
      <c r="J86" s="6">
        <f t="shared" si="38"/>
        <v>6.3462865281000003</v>
      </c>
      <c r="K86" s="2" t="s">
        <v>34</v>
      </c>
      <c r="L86" s="2">
        <f>17.9/100</f>
        <v>0.17899999999999999</v>
      </c>
      <c r="M86" s="2">
        <f t="shared" si="39"/>
        <v>3.786617628433</v>
      </c>
    </row>
    <row r="87" spans="1:13" x14ac:dyDescent="0.25">
      <c r="A87" s="4">
        <v>27.798999999999999</v>
      </c>
      <c r="B87" s="2" t="s">
        <v>19</v>
      </c>
      <c r="C87" s="6">
        <f t="shared" si="23"/>
        <v>0.83900000000000008</v>
      </c>
      <c r="D87" s="6">
        <f t="shared" si="4"/>
        <v>23.323361000000002</v>
      </c>
      <c r="E87" s="2" t="s">
        <v>17</v>
      </c>
      <c r="F87" s="6">
        <f t="shared" si="37"/>
        <v>0.90700000000000003</v>
      </c>
      <c r="G87" s="6">
        <f t="shared" si="11"/>
        <v>21.154288427000001</v>
      </c>
      <c r="H87" s="6" t="s">
        <v>8</v>
      </c>
      <c r="I87" s="6">
        <f>29.4/100</f>
        <v>0.29399999999999998</v>
      </c>
      <c r="J87" s="6">
        <f t="shared" si="38"/>
        <v>6.2193607975380001</v>
      </c>
      <c r="K87" s="2" t="s">
        <v>35</v>
      </c>
      <c r="L87" s="2">
        <f>39.9/100</f>
        <v>0.39899999999999997</v>
      </c>
      <c r="M87" s="2">
        <f t="shared" si="39"/>
        <v>8.4405610823729997</v>
      </c>
    </row>
    <row r="88" spans="1:13" x14ac:dyDescent="0.25">
      <c r="A88" s="4">
        <v>27.798999999999999</v>
      </c>
      <c r="B88" s="2" t="s">
        <v>19</v>
      </c>
      <c r="C88" s="6">
        <f t="shared" si="23"/>
        <v>0.83900000000000008</v>
      </c>
      <c r="D88" s="6">
        <f t="shared" si="4"/>
        <v>23.323361000000002</v>
      </c>
      <c r="E88" s="2" t="s">
        <v>17</v>
      </c>
      <c r="F88" s="6">
        <f t="shared" si="37"/>
        <v>0.90700000000000003</v>
      </c>
      <c r="G88" s="6">
        <f t="shared" si="11"/>
        <v>21.154288427000001</v>
      </c>
      <c r="H88" s="6" t="s">
        <v>10</v>
      </c>
      <c r="I88" s="6">
        <f>3.9/100</f>
        <v>3.9E-2</v>
      </c>
      <c r="J88" s="6">
        <f t="shared" si="38"/>
        <v>0.82501724865300008</v>
      </c>
      <c r="K88" s="2" t="s">
        <v>36</v>
      </c>
      <c r="L88" s="2">
        <f>14.3/100</f>
        <v>0.14300000000000002</v>
      </c>
      <c r="M88" s="2">
        <f>L87*G88</f>
        <v>8.4405610823729997</v>
      </c>
    </row>
    <row r="89" spans="1:13" x14ac:dyDescent="0.25">
      <c r="A89" s="4">
        <v>27.798999999999999</v>
      </c>
      <c r="B89" s="2" t="s">
        <v>19</v>
      </c>
      <c r="C89" s="6">
        <f t="shared" si="23"/>
        <v>0.83900000000000008</v>
      </c>
      <c r="D89" s="6">
        <f t="shared" si="4"/>
        <v>23.323361000000002</v>
      </c>
      <c r="E89" s="2" t="s">
        <v>17</v>
      </c>
      <c r="F89" s="6">
        <f t="shared" si="37"/>
        <v>0.90700000000000003</v>
      </c>
      <c r="G89" s="6">
        <f t="shared" si="11"/>
        <v>21.154288427000001</v>
      </c>
      <c r="H89" s="6" t="s">
        <v>9</v>
      </c>
      <c r="I89" s="6">
        <f>16.2/100</f>
        <v>0.16200000000000001</v>
      </c>
      <c r="J89" s="6">
        <f t="shared" si="38"/>
        <v>3.4269947251740001</v>
      </c>
      <c r="K89" s="2" t="s">
        <v>37</v>
      </c>
      <c r="L89" s="2">
        <f>11.5/100</f>
        <v>0.115</v>
      </c>
      <c r="M89" s="2">
        <f>L88*G89</f>
        <v>3.0250632450610007</v>
      </c>
    </row>
    <row r="90" spans="1:13" x14ac:dyDescent="0.25">
      <c r="A90" s="4">
        <v>27.798999999999999</v>
      </c>
      <c r="B90" s="2" t="s">
        <v>19</v>
      </c>
      <c r="C90" s="6">
        <f t="shared" si="23"/>
        <v>0.83900000000000008</v>
      </c>
      <c r="D90" s="6">
        <f t="shared" si="4"/>
        <v>23.323361000000002</v>
      </c>
      <c r="E90" s="2" t="s">
        <v>17</v>
      </c>
      <c r="F90" s="6">
        <f t="shared" si="37"/>
        <v>0.90700000000000003</v>
      </c>
      <c r="G90" s="6">
        <f t="shared" si="11"/>
        <v>21.154288427000001</v>
      </c>
      <c r="H90" s="6" t="s">
        <v>55</v>
      </c>
      <c r="I90" s="6">
        <f>1.7/100</f>
        <v>1.7000000000000001E-2</v>
      </c>
      <c r="J90" s="6">
        <f t="shared" si="38"/>
        <v>0.35962290325900004</v>
      </c>
      <c r="K90" s="2" t="s">
        <v>38</v>
      </c>
      <c r="L90" s="2">
        <f>0.7/100</f>
        <v>6.9999999999999993E-3</v>
      </c>
      <c r="M90" s="2">
        <f>L89*G90</f>
        <v>2.4327431691050001</v>
      </c>
    </row>
    <row r="91" spans="1:13" x14ac:dyDescent="0.25">
      <c r="A91" s="4">
        <v>27.798999999999999</v>
      </c>
      <c r="B91" s="2" t="s">
        <v>19</v>
      </c>
      <c r="C91" s="6">
        <f t="shared" si="23"/>
        <v>0.83900000000000008</v>
      </c>
      <c r="D91" s="6">
        <f t="shared" si="4"/>
        <v>23.323361000000002</v>
      </c>
      <c r="E91" s="2" t="s">
        <v>17</v>
      </c>
      <c r="F91" s="6">
        <f t="shared" si="37"/>
        <v>0.90700000000000003</v>
      </c>
      <c r="G91" s="6">
        <f t="shared" si="11"/>
        <v>21.154288427000001</v>
      </c>
      <c r="H91" s="6"/>
      <c r="I91" s="6"/>
      <c r="J91" s="6"/>
      <c r="K91" s="2" t="s">
        <v>39</v>
      </c>
      <c r="L91" s="2">
        <f>1.1/100</f>
        <v>1.1000000000000001E-2</v>
      </c>
      <c r="M91" s="2">
        <f>L90*G91</f>
        <v>0.148080018989</v>
      </c>
    </row>
    <row r="92" spans="1:13" x14ac:dyDescent="0.25">
      <c r="A92" s="4">
        <v>27.798999999999999</v>
      </c>
      <c r="B92" s="2" t="s">
        <v>19</v>
      </c>
      <c r="C92" s="6">
        <f t="shared" si="23"/>
        <v>0.83900000000000008</v>
      </c>
      <c r="D92" s="6">
        <f t="shared" si="4"/>
        <v>23.323361000000002</v>
      </c>
      <c r="E92" s="2" t="s">
        <v>49</v>
      </c>
      <c r="F92" s="2">
        <f>89.1/100</f>
        <v>0.8909999999999999</v>
      </c>
      <c r="G92" s="6">
        <f t="shared" si="11"/>
        <v>20.781114650999999</v>
      </c>
      <c r="H92" s="6" t="s">
        <v>11</v>
      </c>
      <c r="I92" s="6">
        <f>20.6/100</f>
        <v>0.20600000000000002</v>
      </c>
      <c r="J92" s="6">
        <f>I92*G92</f>
        <v>4.2809096181060005</v>
      </c>
      <c r="K92" s="2" t="s">
        <v>32</v>
      </c>
      <c r="L92" s="2">
        <f>9.1/100</f>
        <v>9.0999999999999998E-2</v>
      </c>
      <c r="M92" s="2">
        <f>L92*G92</f>
        <v>1.891081433241</v>
      </c>
    </row>
    <row r="93" spans="1:13" x14ac:dyDescent="0.25">
      <c r="A93" s="4">
        <v>27.798999999999999</v>
      </c>
      <c r="B93" s="2" t="s">
        <v>19</v>
      </c>
      <c r="C93" s="6">
        <f t="shared" si="23"/>
        <v>0.83900000000000008</v>
      </c>
      <c r="D93" s="6">
        <f t="shared" ref="D93:D99" si="40">C93*A93</f>
        <v>23.323361000000002</v>
      </c>
      <c r="E93" s="2" t="s">
        <v>18</v>
      </c>
      <c r="F93" s="2">
        <f t="shared" ref="F93:F99" si="41">89.1/100</f>
        <v>0.8909999999999999</v>
      </c>
      <c r="G93" s="6">
        <f t="shared" si="11"/>
        <v>20.781114650999999</v>
      </c>
      <c r="H93" s="6" t="s">
        <v>12</v>
      </c>
      <c r="I93" s="6">
        <f>9.7/100</f>
        <v>9.6999999999999989E-2</v>
      </c>
      <c r="J93" s="6">
        <f t="shared" ref="J93:J98" si="42">I93*G93</f>
        <v>2.0157681211469995</v>
      </c>
      <c r="K93" s="2" t="s">
        <v>33</v>
      </c>
      <c r="L93" s="2">
        <f>14.4/100</f>
        <v>0.14400000000000002</v>
      </c>
      <c r="M93" s="2">
        <f t="shared" ref="M93:M99" si="43">L93*G93</f>
        <v>2.9924805097440004</v>
      </c>
    </row>
    <row r="94" spans="1:13" x14ac:dyDescent="0.25">
      <c r="A94" s="4">
        <v>27.798999999999999</v>
      </c>
      <c r="B94" s="2" t="s">
        <v>19</v>
      </c>
      <c r="C94" s="6">
        <f t="shared" si="23"/>
        <v>0.83900000000000008</v>
      </c>
      <c r="D94" s="6">
        <f t="shared" si="40"/>
        <v>23.323361000000002</v>
      </c>
      <c r="E94" s="2" t="s">
        <v>18</v>
      </c>
      <c r="F94" s="2">
        <f t="shared" si="41"/>
        <v>0.8909999999999999</v>
      </c>
      <c r="G94" s="6">
        <f t="shared" si="11"/>
        <v>20.781114650999999</v>
      </c>
      <c r="H94" s="6" t="s">
        <v>7</v>
      </c>
      <c r="I94" s="6">
        <f>18.8/100</f>
        <v>0.188</v>
      </c>
      <c r="J94" s="6">
        <f t="shared" si="42"/>
        <v>3.9068495543879997</v>
      </c>
      <c r="K94" s="2" t="s">
        <v>34</v>
      </c>
      <c r="L94" s="2">
        <f>15.7/100</f>
        <v>0.157</v>
      </c>
      <c r="M94" s="2">
        <f t="shared" si="43"/>
        <v>3.2626350002069997</v>
      </c>
    </row>
    <row r="95" spans="1:13" x14ac:dyDescent="0.25">
      <c r="A95" s="4">
        <v>27.798999999999999</v>
      </c>
      <c r="B95" s="2" t="s">
        <v>19</v>
      </c>
      <c r="C95" s="6">
        <f t="shared" si="23"/>
        <v>0.83900000000000008</v>
      </c>
      <c r="D95" s="6">
        <f t="shared" si="40"/>
        <v>23.323361000000002</v>
      </c>
      <c r="E95" s="2" t="s">
        <v>18</v>
      </c>
      <c r="F95" s="2">
        <f t="shared" si="41"/>
        <v>0.8909999999999999</v>
      </c>
      <c r="G95" s="6">
        <f t="shared" si="11"/>
        <v>20.781114650999999</v>
      </c>
      <c r="H95" s="6" t="s">
        <v>8</v>
      </c>
      <c r="I95" s="6">
        <f>37.1/100</f>
        <v>0.371</v>
      </c>
      <c r="J95" s="6">
        <f t="shared" si="42"/>
        <v>7.7097935355209994</v>
      </c>
      <c r="K95" s="2" t="s">
        <v>35</v>
      </c>
      <c r="L95" s="2">
        <f>24.7/100</f>
        <v>0.247</v>
      </c>
      <c r="M95" s="2">
        <f t="shared" si="43"/>
        <v>5.1329353187970002</v>
      </c>
    </row>
    <row r="96" spans="1:13" x14ac:dyDescent="0.25">
      <c r="A96" s="4">
        <v>27.798999999999999</v>
      </c>
      <c r="B96" s="2" t="s">
        <v>19</v>
      </c>
      <c r="C96" s="6">
        <f t="shared" si="23"/>
        <v>0.83900000000000008</v>
      </c>
      <c r="D96" s="6">
        <f t="shared" si="40"/>
        <v>23.323361000000002</v>
      </c>
      <c r="E96" s="2" t="s">
        <v>18</v>
      </c>
      <c r="F96" s="2">
        <f t="shared" si="41"/>
        <v>0.8909999999999999</v>
      </c>
      <c r="G96" s="6">
        <f t="shared" si="11"/>
        <v>20.781114650999999</v>
      </c>
      <c r="H96" s="6" t="s">
        <v>10</v>
      </c>
      <c r="I96" s="6">
        <f>2.7/100</f>
        <v>2.7000000000000003E-2</v>
      </c>
      <c r="J96" s="6">
        <f t="shared" si="42"/>
        <v>0.56109009557700007</v>
      </c>
      <c r="K96" s="2" t="s">
        <v>36</v>
      </c>
      <c r="L96" s="2">
        <f>17.3/100</f>
        <v>0.17300000000000001</v>
      </c>
      <c r="M96" s="2">
        <f t="shared" si="43"/>
        <v>3.595132834623</v>
      </c>
    </row>
    <row r="97" spans="1:13" x14ac:dyDescent="0.25">
      <c r="A97" s="4">
        <v>27.798999999999999</v>
      </c>
      <c r="B97" s="2" t="s">
        <v>19</v>
      </c>
      <c r="C97" s="6">
        <f t="shared" si="23"/>
        <v>0.83900000000000008</v>
      </c>
      <c r="D97" s="6">
        <f t="shared" si="40"/>
        <v>23.323361000000002</v>
      </c>
      <c r="E97" s="2" t="s">
        <v>18</v>
      </c>
      <c r="F97" s="2">
        <f t="shared" si="41"/>
        <v>0.8909999999999999</v>
      </c>
      <c r="G97" s="6">
        <f t="shared" si="11"/>
        <v>20.781114650999999</v>
      </c>
      <c r="H97" s="6" t="s">
        <v>9</v>
      </c>
      <c r="I97" s="6">
        <f>8.5/100</f>
        <v>8.5000000000000006E-2</v>
      </c>
      <c r="J97" s="6">
        <f t="shared" si="42"/>
        <v>1.766394745335</v>
      </c>
      <c r="K97" s="2" t="s">
        <v>37</v>
      </c>
      <c r="L97" s="2">
        <f>13.3/100</f>
        <v>0.13300000000000001</v>
      </c>
      <c r="M97" s="2">
        <f t="shared" si="43"/>
        <v>2.7638882485830001</v>
      </c>
    </row>
    <row r="98" spans="1:13" x14ac:dyDescent="0.25">
      <c r="A98" s="4">
        <v>27.798999999999999</v>
      </c>
      <c r="B98" s="2" t="s">
        <v>19</v>
      </c>
      <c r="C98" s="6">
        <f t="shared" si="23"/>
        <v>0.83900000000000008</v>
      </c>
      <c r="D98" s="6">
        <f t="shared" si="40"/>
        <v>23.323361000000002</v>
      </c>
      <c r="E98" s="2" t="s">
        <v>18</v>
      </c>
      <c r="F98" s="2">
        <f t="shared" si="41"/>
        <v>0.8909999999999999</v>
      </c>
      <c r="G98" s="6">
        <f t="shared" si="11"/>
        <v>20.781114650999999</v>
      </c>
      <c r="H98" s="6" t="s">
        <v>55</v>
      </c>
      <c r="I98" s="2">
        <f>2.4/100</f>
        <v>2.4E-2</v>
      </c>
      <c r="J98" s="6">
        <f t="shared" si="42"/>
        <v>0.49874675162400001</v>
      </c>
      <c r="K98" s="2" t="s">
        <v>38</v>
      </c>
      <c r="L98" s="2">
        <f>3/100</f>
        <v>0.03</v>
      </c>
      <c r="M98" s="2">
        <f t="shared" si="43"/>
        <v>0.62343343952999997</v>
      </c>
    </row>
    <row r="99" spans="1:13" x14ac:dyDescent="0.25">
      <c r="A99" s="4">
        <v>27.798999999999999</v>
      </c>
      <c r="B99" s="2" t="s">
        <v>19</v>
      </c>
      <c r="C99" s="6">
        <f t="shared" si="23"/>
        <v>0.83900000000000008</v>
      </c>
      <c r="D99" s="6">
        <f t="shared" si="40"/>
        <v>23.323361000000002</v>
      </c>
      <c r="E99" s="2" t="s">
        <v>18</v>
      </c>
      <c r="F99" s="2">
        <f t="shared" si="41"/>
        <v>0.8909999999999999</v>
      </c>
      <c r="G99" s="6">
        <f t="shared" ref="G99" si="44">F99*D99</f>
        <v>20.781114650999999</v>
      </c>
      <c r="H99" s="2"/>
      <c r="I99" s="2"/>
      <c r="J99" s="2"/>
      <c r="K99" s="2" t="s">
        <v>39</v>
      </c>
      <c r="L99" s="2">
        <f>2.3/100</f>
        <v>2.3E-2</v>
      </c>
      <c r="M99" s="2">
        <f t="shared" si="43"/>
        <v>0.47796563697299999</v>
      </c>
    </row>
  </sheetData>
  <mergeCells count="1">
    <mergeCell ref="E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87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27.129000000000001</v>
      </c>
      <c r="B4" s="4" t="s">
        <v>2</v>
      </c>
      <c r="C4" s="5">
        <f>15.8/100</f>
        <v>0.158</v>
      </c>
      <c r="D4" s="6">
        <f>C4*A4</f>
        <v>4.2863820000000006</v>
      </c>
      <c r="E4" s="6" t="s">
        <v>14</v>
      </c>
      <c r="F4" s="5">
        <f>16.7/100</f>
        <v>0.16699999999999998</v>
      </c>
      <c r="G4" s="5">
        <f>D4*F4</f>
        <v>0.71582579400000002</v>
      </c>
      <c r="H4" s="6" t="s">
        <v>11</v>
      </c>
      <c r="I4" s="6">
        <f>9.2/100</f>
        <v>9.1999999999999998E-2</v>
      </c>
      <c r="J4" s="7">
        <f>I4*G4</f>
        <v>6.5855973048000005E-2</v>
      </c>
      <c r="K4" s="2" t="s">
        <v>32</v>
      </c>
      <c r="L4" s="2">
        <f>1.2/100</f>
        <v>1.2E-2</v>
      </c>
      <c r="M4" s="2">
        <f>L4*G4</f>
        <v>8.5899095280000011E-3</v>
      </c>
    </row>
    <row r="5" spans="1:13" x14ac:dyDescent="0.25">
      <c r="A5" s="4">
        <v>27.129000000000001</v>
      </c>
      <c r="B5" s="4" t="s">
        <v>2</v>
      </c>
      <c r="C5" s="5">
        <f t="shared" ref="C5:C51" si="0">15.8/100</f>
        <v>0.158</v>
      </c>
      <c r="D5" s="6">
        <f>C5*A5</f>
        <v>4.2863820000000006</v>
      </c>
      <c r="E5" s="6" t="s">
        <v>43</v>
      </c>
      <c r="F5" s="5">
        <f t="shared" ref="F5:F11" si="1">16.7/100</f>
        <v>0.16699999999999998</v>
      </c>
      <c r="G5" s="5">
        <f>D5*F5</f>
        <v>0.71582579400000002</v>
      </c>
      <c r="H5" s="6" t="s">
        <v>12</v>
      </c>
      <c r="I5" s="6">
        <f>3.1/100</f>
        <v>3.1E-2</v>
      </c>
      <c r="J5" s="8">
        <f t="shared" ref="J5:J10" si="2">G5*I5</f>
        <v>2.2190599614000002E-2</v>
      </c>
      <c r="K5" s="2" t="s">
        <v>33</v>
      </c>
      <c r="L5" s="2">
        <f>8.7/100</f>
        <v>8.6999999999999994E-2</v>
      </c>
      <c r="M5" s="2">
        <f t="shared" ref="M5:M11" si="3">L5*G5</f>
        <v>6.2276844078E-2</v>
      </c>
    </row>
    <row r="6" spans="1:13" x14ac:dyDescent="0.25">
      <c r="A6" s="4">
        <v>27.129000000000001</v>
      </c>
      <c r="B6" s="4" t="s">
        <v>2</v>
      </c>
      <c r="C6" s="5">
        <f t="shared" si="0"/>
        <v>0.158</v>
      </c>
      <c r="D6" s="6">
        <f t="shared" ref="D6:D92" si="4">C6*A6</f>
        <v>4.2863820000000006</v>
      </c>
      <c r="E6" s="6" t="s">
        <v>14</v>
      </c>
      <c r="F6" s="5">
        <f t="shared" si="1"/>
        <v>0.16699999999999998</v>
      </c>
      <c r="G6" s="5">
        <f t="shared" ref="G6:G11" si="5">D6*F6</f>
        <v>0.71582579400000002</v>
      </c>
      <c r="H6" s="6" t="s">
        <v>7</v>
      </c>
      <c r="I6" s="14">
        <f>5.1/100</f>
        <v>5.0999999999999997E-2</v>
      </c>
      <c r="J6" s="8">
        <f t="shared" si="2"/>
        <v>3.6507115494E-2</v>
      </c>
      <c r="K6" s="2" t="s">
        <v>34</v>
      </c>
      <c r="L6" s="2">
        <f>16.5/100</f>
        <v>0.16500000000000001</v>
      </c>
      <c r="M6" s="2">
        <f t="shared" si="3"/>
        <v>0.11811125601000001</v>
      </c>
    </row>
    <row r="7" spans="1:13" x14ac:dyDescent="0.25">
      <c r="A7" s="4">
        <v>27.129000000000001</v>
      </c>
      <c r="B7" s="4" t="s">
        <v>2</v>
      </c>
      <c r="C7" s="5">
        <f t="shared" si="0"/>
        <v>0.158</v>
      </c>
      <c r="D7" s="6">
        <f t="shared" si="4"/>
        <v>4.2863820000000006</v>
      </c>
      <c r="E7" s="6" t="s">
        <v>14</v>
      </c>
      <c r="F7" s="5">
        <f t="shared" si="1"/>
        <v>0.16699999999999998</v>
      </c>
      <c r="G7" s="5">
        <f t="shared" si="5"/>
        <v>0.71582579400000002</v>
      </c>
      <c r="H7" s="6" t="s">
        <v>8</v>
      </c>
      <c r="I7" s="6">
        <f>29.6/100</f>
        <v>0.29600000000000004</v>
      </c>
      <c r="J7" s="8">
        <f t="shared" si="2"/>
        <v>0.21188443502400003</v>
      </c>
      <c r="K7" s="2" t="s">
        <v>35</v>
      </c>
      <c r="L7" s="2">
        <f>22.8/100</f>
        <v>0.22800000000000001</v>
      </c>
      <c r="M7" s="2">
        <f t="shared" si="3"/>
        <v>0.163208281032</v>
      </c>
    </row>
    <row r="8" spans="1:13" x14ac:dyDescent="0.25">
      <c r="A8" s="4">
        <v>27.129000000000001</v>
      </c>
      <c r="B8" s="4" t="s">
        <v>2</v>
      </c>
      <c r="C8" s="5">
        <f t="shared" si="0"/>
        <v>0.158</v>
      </c>
      <c r="D8" s="6">
        <f t="shared" si="4"/>
        <v>4.2863820000000006</v>
      </c>
      <c r="E8" s="6" t="s">
        <v>14</v>
      </c>
      <c r="F8" s="5">
        <f t="shared" si="1"/>
        <v>0.16699999999999998</v>
      </c>
      <c r="G8" s="5">
        <f t="shared" si="5"/>
        <v>0.71582579400000002</v>
      </c>
      <c r="H8" s="6" t="s">
        <v>10</v>
      </c>
      <c r="I8" s="6">
        <f>8/100</f>
        <v>0.08</v>
      </c>
      <c r="J8" s="8">
        <f t="shared" si="2"/>
        <v>5.726606352E-2</v>
      </c>
      <c r="K8" s="2" t="s">
        <v>36</v>
      </c>
      <c r="L8" s="2">
        <f>26.5/100</f>
        <v>0.26500000000000001</v>
      </c>
      <c r="M8" s="2">
        <f t="shared" si="3"/>
        <v>0.18969383541000001</v>
      </c>
    </row>
    <row r="9" spans="1:13" x14ac:dyDescent="0.25">
      <c r="A9" s="4">
        <v>27.129000000000001</v>
      </c>
      <c r="B9" s="4" t="s">
        <v>2</v>
      </c>
      <c r="C9" s="5">
        <f t="shared" si="0"/>
        <v>0.158</v>
      </c>
      <c r="D9" s="6">
        <f>C9*A9</f>
        <v>4.2863820000000006</v>
      </c>
      <c r="E9" s="6" t="s">
        <v>14</v>
      </c>
      <c r="F9" s="5">
        <f t="shared" si="1"/>
        <v>0.16699999999999998</v>
      </c>
      <c r="G9" s="5">
        <f t="shared" si="5"/>
        <v>0.71582579400000002</v>
      </c>
      <c r="H9" s="6" t="s">
        <v>9</v>
      </c>
      <c r="I9" s="6">
        <f>44.7/100</f>
        <v>0.44700000000000001</v>
      </c>
      <c r="J9" s="8">
        <f t="shared" si="2"/>
        <v>0.31997412991800001</v>
      </c>
      <c r="K9" s="2" t="s">
        <v>37</v>
      </c>
      <c r="L9" s="2">
        <f>23.1/100</f>
        <v>0.23100000000000001</v>
      </c>
      <c r="M9" s="2">
        <f t="shared" si="3"/>
        <v>0.16535575841400002</v>
      </c>
    </row>
    <row r="10" spans="1:13" x14ac:dyDescent="0.25">
      <c r="A10" s="4">
        <v>27.129000000000001</v>
      </c>
      <c r="B10" s="4" t="s">
        <v>2</v>
      </c>
      <c r="C10" s="5">
        <f t="shared" si="0"/>
        <v>0.158</v>
      </c>
      <c r="D10" s="6">
        <f t="shared" si="4"/>
        <v>4.2863820000000006</v>
      </c>
      <c r="E10" s="6" t="s">
        <v>14</v>
      </c>
      <c r="F10" s="5">
        <f t="shared" si="1"/>
        <v>0.16699999999999998</v>
      </c>
      <c r="G10" s="5">
        <f t="shared" si="5"/>
        <v>0.71582579400000002</v>
      </c>
      <c r="H10" s="6" t="s">
        <v>55</v>
      </c>
      <c r="I10" s="6">
        <f>0.4/100</f>
        <v>4.0000000000000001E-3</v>
      </c>
      <c r="J10" s="8">
        <f t="shared" si="2"/>
        <v>2.8633031759999999E-3</v>
      </c>
      <c r="K10" s="2" t="s">
        <v>38</v>
      </c>
      <c r="L10" s="2">
        <f>0.7/100</f>
        <v>6.9999999999999993E-3</v>
      </c>
      <c r="M10" s="2">
        <f t="shared" si="3"/>
        <v>5.0107805579999998E-3</v>
      </c>
    </row>
    <row r="11" spans="1:13" x14ac:dyDescent="0.25">
      <c r="A11" s="4">
        <v>27.129000000000001</v>
      </c>
      <c r="B11" s="4" t="s">
        <v>2</v>
      </c>
      <c r="C11" s="5">
        <f t="shared" si="0"/>
        <v>0.158</v>
      </c>
      <c r="D11" s="6">
        <f t="shared" si="4"/>
        <v>4.2863820000000006</v>
      </c>
      <c r="E11" s="6" t="s">
        <v>14</v>
      </c>
      <c r="F11" s="5">
        <f t="shared" si="1"/>
        <v>0.16699999999999998</v>
      </c>
      <c r="G11" s="5">
        <f t="shared" si="5"/>
        <v>0.71582579400000002</v>
      </c>
      <c r="H11" s="6"/>
      <c r="I11" s="6"/>
      <c r="J11" s="8"/>
      <c r="K11" s="2" t="s">
        <v>39</v>
      </c>
      <c r="L11" s="2">
        <f>0.5/100</f>
        <v>5.0000000000000001E-3</v>
      </c>
      <c r="M11" s="2">
        <f t="shared" si="3"/>
        <v>3.57912897E-3</v>
      </c>
    </row>
    <row r="12" spans="1:13" x14ac:dyDescent="0.25">
      <c r="A12" s="4">
        <v>27.129000000000001</v>
      </c>
      <c r="B12" s="4" t="s">
        <v>2</v>
      </c>
      <c r="C12" s="5">
        <f t="shared" si="0"/>
        <v>0.158</v>
      </c>
      <c r="D12" s="6">
        <f t="shared" si="4"/>
        <v>4.2863820000000006</v>
      </c>
      <c r="E12" s="6" t="s">
        <v>44</v>
      </c>
      <c r="F12" s="8">
        <f>17.3/100</f>
        <v>0.17300000000000001</v>
      </c>
      <c r="G12" s="6">
        <f>F12*D12</f>
        <v>0.74154408600000021</v>
      </c>
      <c r="H12" s="6" t="s">
        <v>11</v>
      </c>
      <c r="I12" s="6">
        <f>3/100</f>
        <v>0.03</v>
      </c>
      <c r="J12" s="8">
        <f>I12*G12</f>
        <v>2.2246322580000005E-2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27.129000000000001</v>
      </c>
      <c r="B13" s="4" t="s">
        <v>2</v>
      </c>
      <c r="C13" s="5">
        <f t="shared" si="0"/>
        <v>0.158</v>
      </c>
      <c r="D13" s="6">
        <f t="shared" si="4"/>
        <v>4.2863820000000006</v>
      </c>
      <c r="E13" s="6" t="s">
        <v>15</v>
      </c>
      <c r="F13" s="8">
        <f t="shared" ref="F13:F19" si="6">17.3/100</f>
        <v>0.17300000000000001</v>
      </c>
      <c r="G13" s="6">
        <f t="shared" ref="G13:G19" si="7">F13*D13</f>
        <v>0.74154408600000021</v>
      </c>
      <c r="H13" s="6" t="s">
        <v>12</v>
      </c>
      <c r="I13" s="6">
        <f>0/100</f>
        <v>0</v>
      </c>
      <c r="J13" s="8">
        <f t="shared" ref="J13:J17" si="8">I13*G13</f>
        <v>0</v>
      </c>
      <c r="K13" s="2" t="s">
        <v>33</v>
      </c>
      <c r="L13" s="2">
        <f>2.9/100</f>
        <v>2.8999999999999998E-2</v>
      </c>
      <c r="M13" s="2">
        <f t="shared" ref="M13:M19" si="9">L13*G13</f>
        <v>2.1504778494000006E-2</v>
      </c>
    </row>
    <row r="14" spans="1:13" x14ac:dyDescent="0.25">
      <c r="A14" s="4">
        <v>27.129000000000001</v>
      </c>
      <c r="B14" s="4" t="s">
        <v>2</v>
      </c>
      <c r="C14" s="5">
        <f t="shared" si="0"/>
        <v>0.158</v>
      </c>
      <c r="D14" s="6">
        <f t="shared" si="4"/>
        <v>4.2863820000000006</v>
      </c>
      <c r="E14" s="6" t="s">
        <v>15</v>
      </c>
      <c r="F14" s="8">
        <f t="shared" si="6"/>
        <v>0.17300000000000001</v>
      </c>
      <c r="G14" s="6">
        <f t="shared" si="7"/>
        <v>0.74154408600000021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18.6/100</f>
        <v>0.18600000000000003</v>
      </c>
      <c r="M14" s="2">
        <f t="shared" si="9"/>
        <v>0.13792719999600006</v>
      </c>
    </row>
    <row r="15" spans="1:13" x14ac:dyDescent="0.25">
      <c r="A15" s="4">
        <v>27.129000000000001</v>
      </c>
      <c r="B15" s="4" t="s">
        <v>2</v>
      </c>
      <c r="C15" s="5">
        <f t="shared" si="0"/>
        <v>0.158</v>
      </c>
      <c r="D15" s="6">
        <f t="shared" si="4"/>
        <v>4.2863820000000006</v>
      </c>
      <c r="E15" s="6" t="s">
        <v>15</v>
      </c>
      <c r="F15" s="8">
        <f t="shared" si="6"/>
        <v>0.17300000000000001</v>
      </c>
      <c r="G15" s="6">
        <f t="shared" si="7"/>
        <v>0.74154408600000021</v>
      </c>
      <c r="H15" s="6" t="s">
        <v>8</v>
      </c>
      <c r="I15" s="6">
        <f>18.2/100</f>
        <v>0.182</v>
      </c>
      <c r="J15" s="8">
        <f>I15*G15</f>
        <v>0.13496102365200002</v>
      </c>
      <c r="K15" s="2" t="s">
        <v>35</v>
      </c>
      <c r="L15" s="2">
        <f>34.5/100</f>
        <v>0.34499999999999997</v>
      </c>
      <c r="M15" s="2">
        <f t="shared" si="9"/>
        <v>0.25583270967000005</v>
      </c>
    </row>
    <row r="16" spans="1:13" x14ac:dyDescent="0.25">
      <c r="A16" s="4">
        <v>27.129000000000001</v>
      </c>
      <c r="B16" s="4" t="s">
        <v>2</v>
      </c>
      <c r="C16" s="5">
        <f t="shared" si="0"/>
        <v>0.158</v>
      </c>
      <c r="D16" s="6">
        <f t="shared" si="4"/>
        <v>4.2863820000000006</v>
      </c>
      <c r="E16" s="6" t="s">
        <v>15</v>
      </c>
      <c r="F16" s="8">
        <f t="shared" si="6"/>
        <v>0.17300000000000001</v>
      </c>
      <c r="G16" s="6">
        <f t="shared" si="7"/>
        <v>0.74154408600000021</v>
      </c>
      <c r="H16" s="6" t="s">
        <v>10</v>
      </c>
      <c r="I16" s="6">
        <f>7/100</f>
        <v>7.0000000000000007E-2</v>
      </c>
      <c r="J16" s="8">
        <f t="shared" si="8"/>
        <v>5.1908086020000022E-2</v>
      </c>
      <c r="K16" s="2" t="s">
        <v>36</v>
      </c>
      <c r="L16" s="2">
        <f>26.2/100</f>
        <v>0.26200000000000001</v>
      </c>
      <c r="M16" s="2">
        <f t="shared" si="9"/>
        <v>0.19428455053200006</v>
      </c>
    </row>
    <row r="17" spans="1:13" x14ac:dyDescent="0.25">
      <c r="A17" s="4">
        <v>27.129000000000001</v>
      </c>
      <c r="B17" s="4" t="s">
        <v>2</v>
      </c>
      <c r="C17" s="5">
        <f t="shared" si="0"/>
        <v>0.158</v>
      </c>
      <c r="D17" s="6">
        <f t="shared" si="4"/>
        <v>4.2863820000000006</v>
      </c>
      <c r="E17" s="6" t="s">
        <v>15</v>
      </c>
      <c r="F17" s="8">
        <f t="shared" si="6"/>
        <v>0.17300000000000001</v>
      </c>
      <c r="G17" s="6">
        <f t="shared" si="7"/>
        <v>0.74154408600000021</v>
      </c>
      <c r="H17" s="6" t="s">
        <v>9</v>
      </c>
      <c r="I17" s="6">
        <f>71.7/100</f>
        <v>0.71700000000000008</v>
      </c>
      <c r="J17" s="8">
        <f t="shared" si="8"/>
        <v>0.53168710966200017</v>
      </c>
      <c r="K17" s="2" t="s">
        <v>37</v>
      </c>
      <c r="L17" s="2">
        <f>17.8/100</f>
        <v>0.17800000000000002</v>
      </c>
      <c r="M17" s="2">
        <f t="shared" si="9"/>
        <v>0.13199484730800004</v>
      </c>
    </row>
    <row r="18" spans="1:13" x14ac:dyDescent="0.25">
      <c r="A18" s="4">
        <v>27.129000000000001</v>
      </c>
      <c r="B18" s="4" t="s">
        <v>2</v>
      </c>
      <c r="C18" s="5">
        <f t="shared" si="0"/>
        <v>0.158</v>
      </c>
      <c r="D18" s="6">
        <f t="shared" si="4"/>
        <v>4.2863820000000006</v>
      </c>
      <c r="E18" s="6" t="s">
        <v>15</v>
      </c>
      <c r="F18" s="8">
        <f t="shared" si="6"/>
        <v>0.17300000000000001</v>
      </c>
      <c r="G18" s="6">
        <f t="shared" si="7"/>
        <v>0.74154408600000021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27.129000000000001</v>
      </c>
      <c r="B19" s="4" t="s">
        <v>2</v>
      </c>
      <c r="C19" s="5">
        <f t="shared" si="0"/>
        <v>0.158</v>
      </c>
      <c r="D19" s="6">
        <f t="shared" si="4"/>
        <v>4.2863820000000006</v>
      </c>
      <c r="E19" s="6" t="s">
        <v>15</v>
      </c>
      <c r="F19" s="8">
        <f t="shared" si="6"/>
        <v>0.17300000000000001</v>
      </c>
      <c r="G19" s="6">
        <f t="shared" si="7"/>
        <v>0.74154408600000021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27.129000000000001</v>
      </c>
      <c r="B20" s="4" t="s">
        <v>2</v>
      </c>
      <c r="C20" s="5">
        <f t="shared" si="0"/>
        <v>0.158</v>
      </c>
      <c r="D20" s="6">
        <f t="shared" si="4"/>
        <v>4.2863820000000006</v>
      </c>
      <c r="E20" s="6" t="s">
        <v>45</v>
      </c>
      <c r="F20" s="6">
        <f>15.3/100</f>
        <v>0.153</v>
      </c>
      <c r="G20" s="6">
        <f>F20*D20</f>
        <v>0.65581644600000011</v>
      </c>
      <c r="H20" s="6" t="s">
        <v>11</v>
      </c>
      <c r="I20" s="6">
        <f>6.7/100</f>
        <v>6.7000000000000004E-2</v>
      </c>
      <c r="J20" s="6">
        <f>I20*G20</f>
        <v>4.3939701882000012E-2</v>
      </c>
      <c r="K20" s="2" t="s">
        <v>32</v>
      </c>
      <c r="L20" s="2">
        <f>2.4/100</f>
        <v>2.4E-2</v>
      </c>
      <c r="M20" s="2">
        <f>L20*G20</f>
        <v>1.5739594704000003E-2</v>
      </c>
    </row>
    <row r="21" spans="1:13" x14ac:dyDescent="0.25">
      <c r="A21" s="4">
        <v>27.129000000000001</v>
      </c>
      <c r="B21" s="4" t="s">
        <v>2</v>
      </c>
      <c r="C21" s="5">
        <f t="shared" si="0"/>
        <v>0.158</v>
      </c>
      <c r="D21" s="6">
        <f t="shared" si="4"/>
        <v>4.2863820000000006</v>
      </c>
      <c r="E21" s="6" t="s">
        <v>16</v>
      </c>
      <c r="F21" s="6">
        <f t="shared" ref="F21:F27" si="10">15.3/100</f>
        <v>0.153</v>
      </c>
      <c r="G21" s="6">
        <f t="shared" ref="G21:G98" si="11">F21*D21</f>
        <v>0.65581644600000011</v>
      </c>
      <c r="H21" s="6" t="s">
        <v>12</v>
      </c>
      <c r="I21" s="6">
        <f>3.5/100</f>
        <v>3.5000000000000003E-2</v>
      </c>
      <c r="J21" s="6">
        <f t="shared" ref="J21:J26" si="12">I21*G21</f>
        <v>2.2953575610000006E-2</v>
      </c>
      <c r="K21" s="2" t="s">
        <v>33</v>
      </c>
      <c r="L21" s="2">
        <f>9/100</f>
        <v>0.09</v>
      </c>
      <c r="M21" s="2">
        <f t="shared" ref="M21:M27" si="13">L21*G21</f>
        <v>5.9023480140000008E-2</v>
      </c>
    </row>
    <row r="22" spans="1:13" x14ac:dyDescent="0.25">
      <c r="A22" s="4">
        <v>27.129000000000001</v>
      </c>
      <c r="B22" s="4" t="s">
        <v>2</v>
      </c>
      <c r="C22" s="5">
        <f t="shared" si="0"/>
        <v>0.158</v>
      </c>
      <c r="D22" s="6">
        <f t="shared" si="4"/>
        <v>4.2863820000000006</v>
      </c>
      <c r="E22" s="6" t="s">
        <v>16</v>
      </c>
      <c r="F22" s="6">
        <f t="shared" si="10"/>
        <v>0.153</v>
      </c>
      <c r="G22" s="6">
        <f t="shared" si="11"/>
        <v>0.65581644600000011</v>
      </c>
      <c r="H22" s="6" t="s">
        <v>7</v>
      </c>
      <c r="I22" s="6">
        <f>4.2/100</f>
        <v>4.2000000000000003E-2</v>
      </c>
      <c r="J22" s="6">
        <f t="shared" si="12"/>
        <v>2.7544290732000005E-2</v>
      </c>
      <c r="K22" s="2" t="s">
        <v>34</v>
      </c>
      <c r="L22" s="2">
        <f>15.5/100</f>
        <v>0.155</v>
      </c>
      <c r="M22" s="2">
        <f t="shared" si="13"/>
        <v>0.10165154913000002</v>
      </c>
    </row>
    <row r="23" spans="1:13" x14ac:dyDescent="0.25">
      <c r="A23" s="4">
        <v>27.129000000000001</v>
      </c>
      <c r="B23" s="4" t="s">
        <v>2</v>
      </c>
      <c r="C23" s="5">
        <f t="shared" si="0"/>
        <v>0.158</v>
      </c>
      <c r="D23" s="6">
        <f t="shared" si="4"/>
        <v>4.2863820000000006</v>
      </c>
      <c r="E23" s="6" t="s">
        <v>16</v>
      </c>
      <c r="F23" s="6">
        <f t="shared" si="10"/>
        <v>0.153</v>
      </c>
      <c r="G23" s="6">
        <f t="shared" si="11"/>
        <v>0.65581644600000011</v>
      </c>
      <c r="H23" s="6" t="s">
        <v>8</v>
      </c>
      <c r="I23" s="6">
        <f>26.3/100</f>
        <v>0.26300000000000001</v>
      </c>
      <c r="J23" s="6">
        <f t="shared" si="12"/>
        <v>0.17247972529800004</v>
      </c>
      <c r="K23" s="2" t="s">
        <v>35</v>
      </c>
      <c r="L23" s="2">
        <f>26.3/100</f>
        <v>0.26300000000000001</v>
      </c>
      <c r="M23" s="2">
        <f t="shared" si="13"/>
        <v>0.17247972529800004</v>
      </c>
    </row>
    <row r="24" spans="1:13" x14ac:dyDescent="0.25">
      <c r="A24" s="4">
        <v>27.129000000000001</v>
      </c>
      <c r="B24" s="4" t="s">
        <v>2</v>
      </c>
      <c r="C24" s="5">
        <f t="shared" si="0"/>
        <v>0.158</v>
      </c>
      <c r="D24" s="6">
        <f t="shared" si="4"/>
        <v>4.2863820000000006</v>
      </c>
      <c r="E24" s="6" t="s">
        <v>16</v>
      </c>
      <c r="F24" s="6">
        <f t="shared" si="10"/>
        <v>0.153</v>
      </c>
      <c r="G24" s="6">
        <f t="shared" si="11"/>
        <v>0.65581644600000011</v>
      </c>
      <c r="H24" s="6" t="s">
        <v>10</v>
      </c>
      <c r="I24" s="6">
        <f>6.6/100</f>
        <v>6.6000000000000003E-2</v>
      </c>
      <c r="J24" s="6">
        <f t="shared" si="12"/>
        <v>4.3283885436000008E-2</v>
      </c>
      <c r="K24" s="2" t="s">
        <v>36</v>
      </c>
      <c r="L24" s="2">
        <f>22.4/100</f>
        <v>0.22399999999999998</v>
      </c>
      <c r="M24" s="2">
        <f t="shared" si="13"/>
        <v>0.146902883904</v>
      </c>
    </row>
    <row r="25" spans="1:13" x14ac:dyDescent="0.25">
      <c r="A25" s="4">
        <v>27.129000000000001</v>
      </c>
      <c r="B25" s="4" t="s">
        <v>2</v>
      </c>
      <c r="C25" s="5">
        <f t="shared" si="0"/>
        <v>0.158</v>
      </c>
      <c r="D25" s="6">
        <f t="shared" si="4"/>
        <v>4.2863820000000006</v>
      </c>
      <c r="E25" s="6" t="s">
        <v>16</v>
      </c>
      <c r="F25" s="6">
        <f t="shared" si="10"/>
        <v>0.153</v>
      </c>
      <c r="G25" s="6">
        <f t="shared" si="11"/>
        <v>0.65581644600000011</v>
      </c>
      <c r="H25" s="6" t="s">
        <v>9</v>
      </c>
      <c r="I25" s="6">
        <f>50.3/100</f>
        <v>0.503</v>
      </c>
      <c r="J25" s="6">
        <f t="shared" si="12"/>
        <v>0.32987567233800008</v>
      </c>
      <c r="K25" s="2" t="s">
        <v>37</v>
      </c>
      <c r="L25" s="2">
        <f>23.3/100</f>
        <v>0.23300000000000001</v>
      </c>
      <c r="M25" s="2">
        <f t="shared" si="13"/>
        <v>0.15280523191800002</v>
      </c>
    </row>
    <row r="26" spans="1:13" x14ac:dyDescent="0.25">
      <c r="A26" s="4">
        <v>27.129000000000001</v>
      </c>
      <c r="B26" s="4" t="s">
        <v>2</v>
      </c>
      <c r="C26" s="5">
        <f t="shared" si="0"/>
        <v>0.158</v>
      </c>
      <c r="D26" s="6">
        <f t="shared" si="4"/>
        <v>4.2863820000000006</v>
      </c>
      <c r="E26" s="6" t="s">
        <v>16</v>
      </c>
      <c r="F26" s="6">
        <f t="shared" si="10"/>
        <v>0.153</v>
      </c>
      <c r="G26" s="6">
        <f t="shared" si="11"/>
        <v>0.65581644600000011</v>
      </c>
      <c r="H26" s="6" t="s">
        <v>55</v>
      </c>
      <c r="I26" s="6">
        <f>1.6/100</f>
        <v>1.6E-2</v>
      </c>
      <c r="J26" s="6">
        <f t="shared" si="12"/>
        <v>1.0493063136000002E-2</v>
      </c>
      <c r="K26" s="2" t="s">
        <v>38</v>
      </c>
      <c r="L26" s="2">
        <f>0.8/100</f>
        <v>8.0000000000000002E-3</v>
      </c>
      <c r="M26" s="2">
        <f t="shared" si="13"/>
        <v>5.2465315680000008E-3</v>
      </c>
    </row>
    <row r="27" spans="1:13" x14ac:dyDescent="0.25">
      <c r="A27" s="4">
        <v>27.129000000000001</v>
      </c>
      <c r="B27" s="4" t="s">
        <v>2</v>
      </c>
      <c r="C27" s="5">
        <f t="shared" si="0"/>
        <v>0.158</v>
      </c>
      <c r="D27" s="6">
        <f t="shared" si="4"/>
        <v>4.2863820000000006</v>
      </c>
      <c r="E27" s="6" t="s">
        <v>16</v>
      </c>
      <c r="F27" s="6">
        <f t="shared" si="10"/>
        <v>0.153</v>
      </c>
      <c r="G27" s="6">
        <f t="shared" si="11"/>
        <v>0.65581644600000011</v>
      </c>
      <c r="H27" s="6"/>
      <c r="I27" s="6"/>
      <c r="J27" s="6"/>
      <c r="K27" s="2" t="s">
        <v>39</v>
      </c>
      <c r="L27" s="2">
        <f>0.4/100</f>
        <v>4.0000000000000001E-3</v>
      </c>
      <c r="M27" s="2">
        <f t="shared" si="13"/>
        <v>2.6232657840000004E-3</v>
      </c>
    </row>
    <row r="28" spans="1:13" x14ac:dyDescent="0.25">
      <c r="A28" s="4">
        <v>27.129000000000001</v>
      </c>
      <c r="B28" s="4" t="s">
        <v>2</v>
      </c>
      <c r="C28" s="5">
        <f t="shared" si="0"/>
        <v>0.158</v>
      </c>
      <c r="D28" s="6">
        <f t="shared" si="4"/>
        <v>4.2863820000000006</v>
      </c>
      <c r="E28" s="6" t="s">
        <v>46</v>
      </c>
      <c r="F28" s="8">
        <f>17.4/100</f>
        <v>0.17399999999999999</v>
      </c>
      <c r="G28" s="6">
        <f t="shared" si="11"/>
        <v>0.74583046800000008</v>
      </c>
      <c r="H28" s="6" t="s">
        <v>11</v>
      </c>
      <c r="I28" s="8">
        <f>23.6/100</f>
        <v>0.23600000000000002</v>
      </c>
      <c r="J28" s="8">
        <f>I28*G28</f>
        <v>0.17601599044800004</v>
      </c>
      <c r="K28" s="2" t="s">
        <v>32</v>
      </c>
      <c r="L28" s="2">
        <f>2.1/100</f>
        <v>2.1000000000000001E-2</v>
      </c>
      <c r="M28" s="2">
        <f>L28*G28</f>
        <v>1.5662439828000002E-2</v>
      </c>
    </row>
    <row r="29" spans="1:13" x14ac:dyDescent="0.25">
      <c r="A29" s="4">
        <v>27.129000000000001</v>
      </c>
      <c r="B29" s="4" t="s">
        <v>2</v>
      </c>
      <c r="C29" s="5">
        <f t="shared" si="0"/>
        <v>0.158</v>
      </c>
      <c r="D29" s="6">
        <f t="shared" si="4"/>
        <v>4.2863820000000006</v>
      </c>
      <c r="E29" s="6" t="s">
        <v>13</v>
      </c>
      <c r="F29" s="8">
        <f t="shared" ref="F29:F35" si="14">17.4/100</f>
        <v>0.17399999999999999</v>
      </c>
      <c r="G29" s="6">
        <f t="shared" si="11"/>
        <v>0.74583046800000008</v>
      </c>
      <c r="H29" s="6" t="s">
        <v>12</v>
      </c>
      <c r="I29" s="8">
        <f>4.9/100</f>
        <v>4.9000000000000002E-2</v>
      </c>
      <c r="J29" s="8">
        <f t="shared" ref="J29:J33" si="15">I29*G29</f>
        <v>3.6545692932000003E-2</v>
      </c>
      <c r="K29" s="2" t="s">
        <v>33</v>
      </c>
      <c r="L29" s="2">
        <f>9.3/100</f>
        <v>9.3000000000000013E-2</v>
      </c>
      <c r="M29" s="2">
        <f t="shared" ref="M29:M32" si="16">L29*G29</f>
        <v>6.9362233524000019E-2</v>
      </c>
    </row>
    <row r="30" spans="1:13" x14ac:dyDescent="0.25">
      <c r="A30" s="4">
        <v>27.129000000000001</v>
      </c>
      <c r="B30" s="4" t="s">
        <v>2</v>
      </c>
      <c r="C30" s="5">
        <f t="shared" si="0"/>
        <v>0.158</v>
      </c>
      <c r="D30" s="6">
        <f t="shared" si="4"/>
        <v>4.2863820000000006</v>
      </c>
      <c r="E30" s="6" t="s">
        <v>13</v>
      </c>
      <c r="F30" s="8">
        <f t="shared" si="14"/>
        <v>0.17399999999999999</v>
      </c>
      <c r="G30" s="6">
        <f t="shared" si="11"/>
        <v>0.74583046800000008</v>
      </c>
      <c r="H30" s="6" t="s">
        <v>7</v>
      </c>
      <c r="I30" s="8">
        <f>6.2/100</f>
        <v>6.2E-2</v>
      </c>
      <c r="J30" s="8">
        <f t="shared" si="15"/>
        <v>4.6241489016000004E-2</v>
      </c>
      <c r="K30" s="2" t="s">
        <v>34</v>
      </c>
      <c r="L30" s="2">
        <f>12.5/100</f>
        <v>0.125</v>
      </c>
      <c r="M30" s="2">
        <f t="shared" si="16"/>
        <v>9.322880850000001E-2</v>
      </c>
    </row>
    <row r="31" spans="1:13" x14ac:dyDescent="0.25">
      <c r="A31" s="4">
        <v>27.129000000000001</v>
      </c>
      <c r="B31" s="4" t="s">
        <v>2</v>
      </c>
      <c r="C31" s="5">
        <f t="shared" si="0"/>
        <v>0.158</v>
      </c>
      <c r="D31" s="6">
        <f t="shared" si="4"/>
        <v>4.2863820000000006</v>
      </c>
      <c r="E31" s="6" t="s">
        <v>13</v>
      </c>
      <c r="F31" s="8">
        <f t="shared" si="14"/>
        <v>0.17399999999999999</v>
      </c>
      <c r="G31" s="6">
        <f t="shared" si="11"/>
        <v>0.74583046800000008</v>
      </c>
      <c r="H31" s="6" t="s">
        <v>8</v>
      </c>
      <c r="I31" s="8">
        <f>30.2/100</f>
        <v>0.30199999999999999</v>
      </c>
      <c r="J31" s="8">
        <f t="shared" si="15"/>
        <v>0.22524080133600002</v>
      </c>
      <c r="K31" s="2" t="s">
        <v>35</v>
      </c>
      <c r="L31" s="2">
        <f>26.6/100</f>
        <v>0.26600000000000001</v>
      </c>
      <c r="M31" s="2">
        <f t="shared" si="16"/>
        <v>0.19839090448800004</v>
      </c>
    </row>
    <row r="32" spans="1:13" x14ac:dyDescent="0.25">
      <c r="A32" s="4">
        <v>27.129000000000001</v>
      </c>
      <c r="B32" s="4" t="s">
        <v>2</v>
      </c>
      <c r="C32" s="5">
        <f t="shared" si="0"/>
        <v>0.158</v>
      </c>
      <c r="D32" s="6">
        <f t="shared" si="4"/>
        <v>4.2863820000000006</v>
      </c>
      <c r="E32" s="6" t="s">
        <v>13</v>
      </c>
      <c r="F32" s="8">
        <f t="shared" si="14"/>
        <v>0.17399999999999999</v>
      </c>
      <c r="G32" s="6">
        <f t="shared" si="11"/>
        <v>0.74583046800000008</v>
      </c>
      <c r="H32" s="6" t="s">
        <v>10</v>
      </c>
      <c r="I32" s="8">
        <f>5.9/100</f>
        <v>5.9000000000000004E-2</v>
      </c>
      <c r="J32" s="8">
        <f t="shared" si="15"/>
        <v>4.4003997612000009E-2</v>
      </c>
      <c r="K32" s="2" t="s">
        <v>36</v>
      </c>
      <c r="L32" s="2">
        <f>26.8/100</f>
        <v>0.26800000000000002</v>
      </c>
      <c r="M32" s="2">
        <f t="shared" si="16"/>
        <v>0.19988256542400004</v>
      </c>
    </row>
    <row r="33" spans="1:13" x14ac:dyDescent="0.25">
      <c r="A33" s="4">
        <v>27.129000000000001</v>
      </c>
      <c r="B33" s="4" t="s">
        <v>2</v>
      </c>
      <c r="C33" s="5">
        <f t="shared" si="0"/>
        <v>0.158</v>
      </c>
      <c r="D33" s="6">
        <f t="shared" si="4"/>
        <v>4.2863820000000006</v>
      </c>
      <c r="E33" s="6" t="s">
        <v>13</v>
      </c>
      <c r="F33" s="8">
        <f t="shared" si="14"/>
        <v>0.17399999999999999</v>
      </c>
      <c r="G33" s="6">
        <f t="shared" si="11"/>
        <v>0.74583046800000008</v>
      </c>
      <c r="H33" s="6" t="s">
        <v>9</v>
      </c>
      <c r="I33" s="8">
        <f>28.1/100</f>
        <v>0.28100000000000003</v>
      </c>
      <c r="J33" s="8">
        <f t="shared" si="15"/>
        <v>0.20957836150800005</v>
      </c>
      <c r="K33" s="2" t="s">
        <v>37</v>
      </c>
      <c r="L33" s="2">
        <f>19.7/100</f>
        <v>0.19699999999999998</v>
      </c>
      <c r="M33" s="2">
        <f>L32*G33</f>
        <v>0.19988256542400004</v>
      </c>
    </row>
    <row r="34" spans="1:13" x14ac:dyDescent="0.25">
      <c r="A34" s="4">
        <v>27.129000000000001</v>
      </c>
      <c r="B34" s="4" t="s">
        <v>2</v>
      </c>
      <c r="C34" s="5">
        <f t="shared" si="0"/>
        <v>0.158</v>
      </c>
      <c r="D34" s="6">
        <f t="shared" si="4"/>
        <v>4.2863820000000006</v>
      </c>
      <c r="E34" s="6" t="s">
        <v>13</v>
      </c>
      <c r="F34" s="8">
        <f t="shared" si="14"/>
        <v>0.17399999999999999</v>
      </c>
      <c r="G34" s="6">
        <f t="shared" si="11"/>
        <v>0.74583046800000008</v>
      </c>
      <c r="H34" s="6" t="s">
        <v>55</v>
      </c>
      <c r="I34" s="8">
        <f>1.2/100</f>
        <v>1.2E-2</v>
      </c>
      <c r="J34" s="8"/>
      <c r="K34" s="2" t="s">
        <v>38</v>
      </c>
      <c r="L34" s="2">
        <f>2.2/100</f>
        <v>2.2000000000000002E-2</v>
      </c>
      <c r="M34" s="2">
        <f>L33*G34</f>
        <v>0.14692860219600001</v>
      </c>
    </row>
    <row r="35" spans="1:13" x14ac:dyDescent="0.25">
      <c r="A35" s="4">
        <v>27.129000000000001</v>
      </c>
      <c r="B35" s="4" t="s">
        <v>2</v>
      </c>
      <c r="C35" s="5">
        <f t="shared" si="0"/>
        <v>0.158</v>
      </c>
      <c r="D35" s="6">
        <f t="shared" si="4"/>
        <v>4.2863820000000006</v>
      </c>
      <c r="E35" s="6" t="s">
        <v>13</v>
      </c>
      <c r="F35" s="8">
        <f t="shared" si="14"/>
        <v>0.17399999999999999</v>
      </c>
      <c r="G35" s="6">
        <f t="shared" si="11"/>
        <v>0.74583046800000008</v>
      </c>
      <c r="H35" s="6"/>
      <c r="I35" s="8"/>
      <c r="J35" s="8"/>
      <c r="K35" s="2" t="s">
        <v>39</v>
      </c>
      <c r="L35" s="2">
        <f>0.8/100</f>
        <v>8.0000000000000002E-3</v>
      </c>
      <c r="M35" s="2">
        <f>L34*G35</f>
        <v>1.6408270296000005E-2</v>
      </c>
    </row>
    <row r="36" spans="1:13" x14ac:dyDescent="0.25">
      <c r="A36" s="4">
        <v>27.129000000000001</v>
      </c>
      <c r="B36" s="4" t="s">
        <v>2</v>
      </c>
      <c r="C36" s="5">
        <f t="shared" si="0"/>
        <v>0.158</v>
      </c>
      <c r="D36" s="6">
        <f t="shared" si="4"/>
        <v>4.2863820000000006</v>
      </c>
      <c r="E36" s="8" t="s">
        <v>47</v>
      </c>
      <c r="F36" s="6">
        <f>9.4/100</f>
        <v>9.4E-2</v>
      </c>
      <c r="G36" s="6">
        <f t="shared" si="11"/>
        <v>0.40291990800000005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27.129000000000001</v>
      </c>
      <c r="B37" s="4" t="s">
        <v>2</v>
      </c>
      <c r="C37" s="5">
        <f t="shared" si="0"/>
        <v>0.158</v>
      </c>
      <c r="D37" s="6">
        <f t="shared" si="4"/>
        <v>4.2863820000000006</v>
      </c>
      <c r="E37" s="8" t="s">
        <v>17</v>
      </c>
      <c r="F37" s="6">
        <f t="shared" ref="F37:F43" si="17">9.4/100</f>
        <v>9.4E-2</v>
      </c>
      <c r="G37" s="6">
        <f t="shared" si="11"/>
        <v>0.40291990800000005</v>
      </c>
      <c r="H37" s="6" t="s">
        <v>12</v>
      </c>
      <c r="I37" s="6">
        <f>0/100</f>
        <v>0</v>
      </c>
      <c r="J37" s="6">
        <f t="shared" ref="J37:J41" si="18">I37*G37</f>
        <v>0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27.129000000000001</v>
      </c>
      <c r="B38" s="4" t="s">
        <v>2</v>
      </c>
      <c r="C38" s="5">
        <f t="shared" si="0"/>
        <v>0.158</v>
      </c>
      <c r="D38" s="6">
        <f t="shared" si="4"/>
        <v>4.2863820000000006</v>
      </c>
      <c r="E38" s="8" t="s">
        <v>17</v>
      </c>
      <c r="F38" s="6">
        <f t="shared" si="17"/>
        <v>9.4E-2</v>
      </c>
      <c r="G38" s="6">
        <f t="shared" si="11"/>
        <v>0.40291990800000005</v>
      </c>
      <c r="H38" s="6" t="s">
        <v>7</v>
      </c>
      <c r="I38" s="6">
        <f>11.3/100</f>
        <v>0.113</v>
      </c>
      <c r="J38" s="6">
        <f t="shared" si="18"/>
        <v>4.552994960400001E-2</v>
      </c>
      <c r="K38" s="2" t="s">
        <v>34</v>
      </c>
      <c r="L38" s="2">
        <f>5.3/100</f>
        <v>5.2999999999999999E-2</v>
      </c>
      <c r="M38" s="2">
        <f t="shared" si="19"/>
        <v>2.1354755124000001E-2</v>
      </c>
    </row>
    <row r="39" spans="1:13" x14ac:dyDescent="0.25">
      <c r="A39" s="4">
        <v>27.129000000000001</v>
      </c>
      <c r="B39" s="4" t="s">
        <v>2</v>
      </c>
      <c r="C39" s="5">
        <f t="shared" si="0"/>
        <v>0.158</v>
      </c>
      <c r="D39" s="6">
        <f t="shared" si="4"/>
        <v>4.2863820000000006</v>
      </c>
      <c r="E39" s="8" t="s">
        <v>17</v>
      </c>
      <c r="F39" s="6">
        <f t="shared" si="17"/>
        <v>9.4E-2</v>
      </c>
      <c r="G39" s="6">
        <f t="shared" si="11"/>
        <v>0.40291990800000005</v>
      </c>
      <c r="H39" s="6" t="s">
        <v>8</v>
      </c>
      <c r="I39" s="6">
        <f>41.1/100</f>
        <v>0.41100000000000003</v>
      </c>
      <c r="J39" s="6">
        <f t="shared" si="18"/>
        <v>0.16560008218800004</v>
      </c>
      <c r="K39" s="2" t="s">
        <v>35</v>
      </c>
      <c r="L39" s="2">
        <f>54.9/100</f>
        <v>0.54899999999999993</v>
      </c>
      <c r="M39" s="2">
        <f t="shared" si="19"/>
        <v>0.22120302949199999</v>
      </c>
    </row>
    <row r="40" spans="1:13" x14ac:dyDescent="0.25">
      <c r="A40" s="4">
        <v>27.129000000000001</v>
      </c>
      <c r="B40" s="4" t="s">
        <v>2</v>
      </c>
      <c r="C40" s="5">
        <f t="shared" si="0"/>
        <v>0.158</v>
      </c>
      <c r="D40" s="6">
        <f t="shared" si="4"/>
        <v>4.2863820000000006</v>
      </c>
      <c r="E40" s="8" t="s">
        <v>17</v>
      </c>
      <c r="F40" s="6">
        <f t="shared" si="17"/>
        <v>9.4E-2</v>
      </c>
      <c r="G40" s="6">
        <f t="shared" si="11"/>
        <v>0.40291990800000005</v>
      </c>
      <c r="H40" s="6" t="s">
        <v>10</v>
      </c>
      <c r="I40" s="6">
        <f>0/100</f>
        <v>0</v>
      </c>
      <c r="J40" s="6">
        <f t="shared" si="18"/>
        <v>0</v>
      </c>
      <c r="K40" s="2" t="s">
        <v>36</v>
      </c>
      <c r="L40" s="2">
        <f>27/100</f>
        <v>0.27</v>
      </c>
      <c r="M40" s="2">
        <f t="shared" si="19"/>
        <v>0.10878837516000002</v>
      </c>
    </row>
    <row r="41" spans="1:13" x14ac:dyDescent="0.25">
      <c r="A41" s="4">
        <v>27.129000000000001</v>
      </c>
      <c r="B41" s="4" t="s">
        <v>2</v>
      </c>
      <c r="C41" s="5">
        <f t="shared" si="0"/>
        <v>0.158</v>
      </c>
      <c r="D41" s="6">
        <f t="shared" si="4"/>
        <v>4.2863820000000006</v>
      </c>
      <c r="E41" s="8" t="s">
        <v>17</v>
      </c>
      <c r="F41" s="6">
        <f t="shared" si="17"/>
        <v>9.4E-2</v>
      </c>
      <c r="G41" s="6">
        <f t="shared" si="11"/>
        <v>0.40291990800000005</v>
      </c>
      <c r="H41" s="6" t="s">
        <v>9</v>
      </c>
      <c r="I41" s="6">
        <f>47.6/100</f>
        <v>0.47600000000000003</v>
      </c>
      <c r="J41" s="6">
        <f t="shared" si="18"/>
        <v>0.19178987620800003</v>
      </c>
      <c r="K41" s="2" t="s">
        <v>37</v>
      </c>
      <c r="L41" s="2">
        <f>12.7/100</f>
        <v>0.127</v>
      </c>
      <c r="M41" s="2">
        <f t="shared" si="19"/>
        <v>5.1170828316000005E-2</v>
      </c>
    </row>
    <row r="42" spans="1:13" x14ac:dyDescent="0.25">
      <c r="A42" s="4">
        <v>27.129000000000001</v>
      </c>
      <c r="B42" s="4" t="s">
        <v>2</v>
      </c>
      <c r="C42" s="5">
        <f t="shared" si="0"/>
        <v>0.158</v>
      </c>
      <c r="D42" s="6">
        <f t="shared" si="4"/>
        <v>4.2863820000000006</v>
      </c>
      <c r="E42" s="8" t="s">
        <v>17</v>
      </c>
      <c r="F42" s="6">
        <f t="shared" si="17"/>
        <v>9.4E-2</v>
      </c>
      <c r="G42" s="6">
        <f t="shared" si="11"/>
        <v>0.40291990800000005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27.129000000000001</v>
      </c>
      <c r="B43" s="4" t="s">
        <v>2</v>
      </c>
      <c r="C43" s="5">
        <f t="shared" si="0"/>
        <v>0.158</v>
      </c>
      <c r="D43" s="6">
        <f t="shared" si="4"/>
        <v>4.2863820000000006</v>
      </c>
      <c r="E43" s="8" t="s">
        <v>17</v>
      </c>
      <c r="F43" s="6">
        <f t="shared" si="17"/>
        <v>9.4E-2</v>
      </c>
      <c r="G43" s="6">
        <f t="shared" si="11"/>
        <v>0.40291990800000005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27.129000000000001</v>
      </c>
      <c r="B44" s="4" t="s">
        <v>2</v>
      </c>
      <c r="C44" s="5">
        <f t="shared" si="0"/>
        <v>0.158</v>
      </c>
      <c r="D44" s="6">
        <f t="shared" si="4"/>
        <v>4.2863820000000006</v>
      </c>
      <c r="E44" s="2" t="s">
        <v>18</v>
      </c>
      <c r="F44" s="6">
        <f>12.4/100</f>
        <v>0.124</v>
      </c>
      <c r="G44" s="6">
        <f t="shared" si="11"/>
        <v>0.5315113680000001</v>
      </c>
      <c r="H44" s="6" t="s">
        <v>11</v>
      </c>
      <c r="I44" s="8">
        <f>38.4/100</f>
        <v>0.38400000000000001</v>
      </c>
      <c r="J44" s="6">
        <f>I44*G44</f>
        <v>0.20410036531200004</v>
      </c>
      <c r="K44" s="2" t="s">
        <v>32</v>
      </c>
      <c r="L44" s="2">
        <f>2.6/100</f>
        <v>2.6000000000000002E-2</v>
      </c>
      <c r="M44" s="2">
        <f>L44*G44</f>
        <v>1.3819295568000003E-2</v>
      </c>
    </row>
    <row r="45" spans="1:13" x14ac:dyDescent="0.25">
      <c r="A45" s="4">
        <v>27.129000000000001</v>
      </c>
      <c r="B45" s="4" t="s">
        <v>2</v>
      </c>
      <c r="C45" s="5">
        <f t="shared" si="0"/>
        <v>0.158</v>
      </c>
      <c r="D45" s="6">
        <f t="shared" si="4"/>
        <v>4.2863820000000006</v>
      </c>
      <c r="E45" s="2" t="s">
        <v>18</v>
      </c>
      <c r="F45" s="6">
        <f t="shared" ref="F45:F51" si="20">12.4/100</f>
        <v>0.124</v>
      </c>
      <c r="G45" s="6">
        <f t="shared" si="11"/>
        <v>0.5315113680000001</v>
      </c>
      <c r="H45" s="6" t="s">
        <v>12</v>
      </c>
      <c r="I45" s="8">
        <f>5/100</f>
        <v>0.05</v>
      </c>
      <c r="J45" s="6">
        <f t="shared" ref="J45:J49" si="21">I45*G45</f>
        <v>2.6575568400000006E-2</v>
      </c>
      <c r="K45" s="2" t="s">
        <v>33</v>
      </c>
      <c r="L45" s="2">
        <f>10.4/100</f>
        <v>0.10400000000000001</v>
      </c>
      <c r="M45" s="2">
        <f t="shared" ref="M45:M51" si="22">L45*G45</f>
        <v>5.5277182272000014E-2</v>
      </c>
    </row>
    <row r="46" spans="1:13" x14ac:dyDescent="0.25">
      <c r="A46" s="4">
        <v>27.129000000000001</v>
      </c>
      <c r="B46" s="4" t="s">
        <v>2</v>
      </c>
      <c r="C46" s="5">
        <f t="shared" si="0"/>
        <v>0.158</v>
      </c>
      <c r="D46" s="6">
        <f t="shared" si="4"/>
        <v>4.2863820000000006</v>
      </c>
      <c r="E46" s="2" t="s">
        <v>18</v>
      </c>
      <c r="F46" s="6">
        <f t="shared" si="20"/>
        <v>0.124</v>
      </c>
      <c r="G46" s="6">
        <f t="shared" si="11"/>
        <v>0.5315113680000001</v>
      </c>
      <c r="H46" s="6" t="s">
        <v>7</v>
      </c>
      <c r="I46" s="8">
        <f>7.8/100</f>
        <v>7.8E-2</v>
      </c>
      <c r="J46" s="6">
        <f t="shared" si="21"/>
        <v>4.145788670400001E-2</v>
      </c>
      <c r="K46" s="2" t="s">
        <v>34</v>
      </c>
      <c r="L46" s="2">
        <f>13.8/100</f>
        <v>0.13800000000000001</v>
      </c>
      <c r="M46" s="2">
        <f t="shared" si="22"/>
        <v>7.3348568784000021E-2</v>
      </c>
    </row>
    <row r="47" spans="1:13" x14ac:dyDescent="0.25">
      <c r="A47" s="4">
        <v>27.129000000000001</v>
      </c>
      <c r="B47" s="4" t="s">
        <v>2</v>
      </c>
      <c r="C47" s="5">
        <f t="shared" si="0"/>
        <v>0.158</v>
      </c>
      <c r="D47" s="6">
        <f t="shared" si="4"/>
        <v>4.2863820000000006</v>
      </c>
      <c r="E47" s="2" t="s">
        <v>18</v>
      </c>
      <c r="F47" s="6">
        <f t="shared" si="20"/>
        <v>0.124</v>
      </c>
      <c r="G47" s="6">
        <f t="shared" si="11"/>
        <v>0.5315113680000001</v>
      </c>
      <c r="H47" s="6" t="s">
        <v>8</v>
      </c>
      <c r="I47" s="8">
        <f>21.4/100</f>
        <v>0.214</v>
      </c>
      <c r="J47" s="6">
        <f>I50*G47</f>
        <v>2.6575568400000007E-3</v>
      </c>
      <c r="K47" s="2" t="s">
        <v>35</v>
      </c>
      <c r="L47" s="2">
        <f>27.2/100</f>
        <v>0.27200000000000002</v>
      </c>
      <c r="M47" s="2">
        <f t="shared" si="22"/>
        <v>0.14457109209600003</v>
      </c>
    </row>
    <row r="48" spans="1:13" x14ac:dyDescent="0.25">
      <c r="A48" s="4">
        <v>27.129000000000001</v>
      </c>
      <c r="B48" s="4" t="s">
        <v>2</v>
      </c>
      <c r="C48" s="5">
        <f t="shared" si="0"/>
        <v>0.158</v>
      </c>
      <c r="D48" s="6">
        <f t="shared" si="4"/>
        <v>4.2863820000000006</v>
      </c>
      <c r="E48" s="2" t="s">
        <v>18</v>
      </c>
      <c r="F48" s="6">
        <f t="shared" si="20"/>
        <v>0.124</v>
      </c>
      <c r="G48" s="6">
        <f t="shared" si="11"/>
        <v>0.5315113680000001</v>
      </c>
      <c r="H48" s="6" t="s">
        <v>10</v>
      </c>
      <c r="I48" s="8">
        <f>6.5/100</f>
        <v>6.5000000000000002E-2</v>
      </c>
      <c r="J48" s="6">
        <f>I47*G48</f>
        <v>0.11374343275200002</v>
      </c>
      <c r="K48" s="2" t="s">
        <v>36</v>
      </c>
      <c r="L48" s="2">
        <f>26.8/100</f>
        <v>0.26800000000000002</v>
      </c>
      <c r="M48" s="2">
        <f t="shared" si="22"/>
        <v>0.14244504662400004</v>
      </c>
    </row>
    <row r="49" spans="1:13" x14ac:dyDescent="0.25">
      <c r="A49" s="4">
        <v>27.129000000000001</v>
      </c>
      <c r="B49" s="4" t="s">
        <v>2</v>
      </c>
      <c r="C49" s="5">
        <f t="shared" si="0"/>
        <v>0.158</v>
      </c>
      <c r="D49" s="6">
        <f t="shared" si="4"/>
        <v>4.2863820000000006</v>
      </c>
      <c r="E49" s="2" t="s">
        <v>48</v>
      </c>
      <c r="F49" s="6">
        <f t="shared" si="20"/>
        <v>0.124</v>
      </c>
      <c r="G49" s="6">
        <f t="shared" si="11"/>
        <v>0.5315113680000001</v>
      </c>
      <c r="H49" s="6" t="s">
        <v>9</v>
      </c>
      <c r="I49" s="8">
        <f>20.4/100</f>
        <v>0.20399999999999999</v>
      </c>
      <c r="J49" s="6">
        <f t="shared" si="21"/>
        <v>0.10842831907200001</v>
      </c>
      <c r="K49" s="2" t="s">
        <v>37</v>
      </c>
      <c r="L49" s="2">
        <f>15/100</f>
        <v>0.15</v>
      </c>
      <c r="M49" s="2">
        <f t="shared" si="22"/>
        <v>7.9726705200000011E-2</v>
      </c>
    </row>
    <row r="50" spans="1:13" x14ac:dyDescent="0.25">
      <c r="A50" s="4">
        <v>27.129000000000001</v>
      </c>
      <c r="B50" s="4" t="s">
        <v>2</v>
      </c>
      <c r="C50" s="5">
        <f t="shared" si="0"/>
        <v>0.158</v>
      </c>
      <c r="D50" s="6">
        <f t="shared" si="4"/>
        <v>4.2863820000000006</v>
      </c>
      <c r="E50" s="2" t="s">
        <v>18</v>
      </c>
      <c r="F50" s="6">
        <f t="shared" si="20"/>
        <v>0.124</v>
      </c>
      <c r="G50" s="6">
        <f t="shared" si="11"/>
        <v>0.5315113680000001</v>
      </c>
      <c r="H50" s="6" t="s">
        <v>55</v>
      </c>
      <c r="I50" s="8">
        <f>0.5/100</f>
        <v>5.0000000000000001E-3</v>
      </c>
      <c r="J50" s="6"/>
      <c r="K50" s="2" t="s">
        <v>38</v>
      </c>
      <c r="L50" s="2">
        <f>2.7/100</f>
        <v>2.7000000000000003E-2</v>
      </c>
      <c r="M50" s="2">
        <f t="shared" si="22"/>
        <v>1.4350806936000004E-2</v>
      </c>
    </row>
    <row r="51" spans="1:13" x14ac:dyDescent="0.25">
      <c r="A51" s="4">
        <v>27.129000000000001</v>
      </c>
      <c r="B51" s="4" t="s">
        <v>2</v>
      </c>
      <c r="C51" s="5">
        <f t="shared" si="0"/>
        <v>0.158</v>
      </c>
      <c r="D51" s="6">
        <f t="shared" si="4"/>
        <v>4.2863820000000006</v>
      </c>
      <c r="E51" s="2" t="s">
        <v>18</v>
      </c>
      <c r="F51" s="6">
        <f t="shared" si="20"/>
        <v>0.124</v>
      </c>
      <c r="G51" s="6">
        <f t="shared" si="11"/>
        <v>0.5315113680000001</v>
      </c>
      <c r="H51" s="6"/>
      <c r="I51" s="6"/>
      <c r="J51" s="6"/>
      <c r="K51" s="2" t="s">
        <v>39</v>
      </c>
      <c r="L51" s="2">
        <f>1.6/100</f>
        <v>1.6E-2</v>
      </c>
      <c r="M51" s="2">
        <f t="shared" si="22"/>
        <v>8.5041818880000012E-3</v>
      </c>
    </row>
    <row r="52" spans="1:13" x14ac:dyDescent="0.25">
      <c r="A52" s="4">
        <v>27.129000000000001</v>
      </c>
      <c r="B52" s="2" t="s">
        <v>19</v>
      </c>
      <c r="C52" s="6">
        <f>84.2/100</f>
        <v>0.84200000000000008</v>
      </c>
      <c r="D52" s="6">
        <f t="shared" si="4"/>
        <v>22.842618000000002</v>
      </c>
      <c r="E52" s="6" t="s">
        <v>54</v>
      </c>
      <c r="F52" s="6">
        <f>83.3/100</f>
        <v>0.83299999999999996</v>
      </c>
      <c r="G52" s="6">
        <f t="shared" si="11"/>
        <v>19.027900794000001</v>
      </c>
      <c r="H52" s="6" t="s">
        <v>11</v>
      </c>
      <c r="I52" s="6">
        <f>12.4/100</f>
        <v>0.124</v>
      </c>
      <c r="J52" s="6">
        <f>I52*G52</f>
        <v>2.3594596984559999</v>
      </c>
      <c r="K52" s="2" t="s">
        <v>32</v>
      </c>
      <c r="L52" s="2">
        <f>4.2/100</f>
        <v>4.2000000000000003E-2</v>
      </c>
      <c r="M52" s="2">
        <f>L52*G52</f>
        <v>0.79917183334800013</v>
      </c>
    </row>
    <row r="53" spans="1:13" x14ac:dyDescent="0.25">
      <c r="A53" s="4">
        <v>27.129000000000001</v>
      </c>
      <c r="B53" s="2" t="s">
        <v>19</v>
      </c>
      <c r="C53" s="6">
        <f t="shared" ref="C53:C99" si="23">84.2/100</f>
        <v>0.84200000000000008</v>
      </c>
      <c r="D53" s="6">
        <f t="shared" si="4"/>
        <v>22.842618000000002</v>
      </c>
      <c r="E53" s="6" t="s">
        <v>14</v>
      </c>
      <c r="F53" s="6">
        <f t="shared" ref="F53:F59" si="24">83.3/100</f>
        <v>0.83299999999999996</v>
      </c>
      <c r="G53" s="6">
        <f t="shared" si="11"/>
        <v>19.027900794000001</v>
      </c>
      <c r="H53" s="6" t="s">
        <v>12</v>
      </c>
      <c r="I53" s="6">
        <f>11.6/100</f>
        <v>0.11599999999999999</v>
      </c>
      <c r="J53" s="6">
        <f t="shared" ref="J53:J56" si="25">I53*G53</f>
        <v>2.2072364921039997</v>
      </c>
      <c r="K53" s="2" t="s">
        <v>33</v>
      </c>
      <c r="L53" s="2">
        <f>9.7/100</f>
        <v>9.6999999999999989E-2</v>
      </c>
      <c r="M53" s="2">
        <f t="shared" ref="M53:M59" si="26">L53*G53</f>
        <v>1.8457063770179998</v>
      </c>
    </row>
    <row r="54" spans="1:13" x14ac:dyDescent="0.25">
      <c r="A54" s="4">
        <v>27.129000000000001</v>
      </c>
      <c r="B54" s="2" t="s">
        <v>19</v>
      </c>
      <c r="C54" s="6">
        <f t="shared" si="23"/>
        <v>0.84200000000000008</v>
      </c>
      <c r="D54" s="6">
        <f t="shared" si="4"/>
        <v>22.842618000000002</v>
      </c>
      <c r="E54" s="6" t="s">
        <v>14</v>
      </c>
      <c r="F54" s="6">
        <f t="shared" si="24"/>
        <v>0.83299999999999996</v>
      </c>
      <c r="G54" s="6">
        <f t="shared" si="11"/>
        <v>19.027900794000001</v>
      </c>
      <c r="H54" s="6" t="s">
        <v>7</v>
      </c>
      <c r="I54" s="14">
        <f>13.3/100</f>
        <v>0.13300000000000001</v>
      </c>
      <c r="J54" s="6">
        <f t="shared" si="25"/>
        <v>2.5307108056020002</v>
      </c>
      <c r="K54" s="2" t="s">
        <v>34</v>
      </c>
      <c r="L54" s="2">
        <f>16.8/100</f>
        <v>0.16800000000000001</v>
      </c>
      <c r="M54" s="2">
        <f t="shared" si="26"/>
        <v>3.1966873333920005</v>
      </c>
    </row>
    <row r="55" spans="1:13" x14ac:dyDescent="0.25">
      <c r="A55" s="4">
        <v>27.129000000000001</v>
      </c>
      <c r="B55" s="2" t="s">
        <v>19</v>
      </c>
      <c r="C55" s="6">
        <f t="shared" si="23"/>
        <v>0.84200000000000008</v>
      </c>
      <c r="D55" s="6">
        <f t="shared" si="4"/>
        <v>22.842618000000002</v>
      </c>
      <c r="E55" s="6" t="s">
        <v>14</v>
      </c>
      <c r="F55" s="6">
        <f t="shared" si="24"/>
        <v>0.83299999999999996</v>
      </c>
      <c r="G55" s="6">
        <f t="shared" si="11"/>
        <v>19.027900794000001</v>
      </c>
      <c r="H55" s="6" t="s">
        <v>8</v>
      </c>
      <c r="I55" s="6">
        <f>33/100</f>
        <v>0.33</v>
      </c>
      <c r="J55" s="6">
        <f t="shared" si="25"/>
        <v>6.2792072620200008</v>
      </c>
      <c r="K55" s="2" t="s">
        <v>35</v>
      </c>
      <c r="L55" s="2">
        <f>28.1/100</f>
        <v>0.28100000000000003</v>
      </c>
      <c r="M55" s="2">
        <f t="shared" si="26"/>
        <v>5.346840123114001</v>
      </c>
    </row>
    <row r="56" spans="1:13" x14ac:dyDescent="0.25">
      <c r="A56" s="4">
        <v>27.129000000000001</v>
      </c>
      <c r="B56" s="2" t="s">
        <v>19</v>
      </c>
      <c r="C56" s="6">
        <f t="shared" si="23"/>
        <v>0.84200000000000008</v>
      </c>
      <c r="D56" s="6">
        <f t="shared" si="4"/>
        <v>22.842618000000002</v>
      </c>
      <c r="E56" s="6" t="s">
        <v>14</v>
      </c>
      <c r="F56" s="6">
        <f t="shared" si="24"/>
        <v>0.83299999999999996</v>
      </c>
      <c r="G56" s="6">
        <f t="shared" si="11"/>
        <v>19.027900794000001</v>
      </c>
      <c r="H56" s="6" t="s">
        <v>10</v>
      </c>
      <c r="I56" s="6">
        <f>4.7/100</f>
        <v>4.7E-2</v>
      </c>
      <c r="J56" s="6">
        <f t="shared" si="25"/>
        <v>0.89431133731800005</v>
      </c>
      <c r="K56" s="2" t="s">
        <v>36</v>
      </c>
      <c r="L56" s="2">
        <f>20.4/100</f>
        <v>0.20399999999999999</v>
      </c>
      <c r="M56" s="2">
        <f t="shared" si="26"/>
        <v>3.8816917619760001</v>
      </c>
    </row>
    <row r="57" spans="1:13" x14ac:dyDescent="0.25">
      <c r="A57" s="4">
        <v>27.129000000000001</v>
      </c>
      <c r="B57" s="2" t="s">
        <v>19</v>
      </c>
      <c r="C57" s="6">
        <f t="shared" si="23"/>
        <v>0.84200000000000008</v>
      </c>
      <c r="D57" s="6">
        <f t="shared" si="4"/>
        <v>22.842618000000002</v>
      </c>
      <c r="E57" s="6" t="s">
        <v>14</v>
      </c>
      <c r="F57" s="6">
        <f t="shared" si="24"/>
        <v>0.83299999999999996</v>
      </c>
      <c r="G57" s="6">
        <f t="shared" si="11"/>
        <v>19.027900794000001</v>
      </c>
      <c r="H57" s="6" t="s">
        <v>9</v>
      </c>
      <c r="I57" s="6">
        <f>23.7/100</f>
        <v>0.23699999999999999</v>
      </c>
      <c r="J57" s="6">
        <f>I58*G57</f>
        <v>0.24736271032200002</v>
      </c>
      <c r="K57" s="2" t="s">
        <v>37</v>
      </c>
      <c r="L57" s="2">
        <f>17.1/100</f>
        <v>0.17100000000000001</v>
      </c>
      <c r="M57" s="2">
        <f t="shared" si="26"/>
        <v>3.2537710357740002</v>
      </c>
    </row>
    <row r="58" spans="1:13" x14ac:dyDescent="0.25">
      <c r="A58" s="4">
        <v>27.129000000000001</v>
      </c>
      <c r="B58" s="2" t="s">
        <v>19</v>
      </c>
      <c r="C58" s="6">
        <f t="shared" si="23"/>
        <v>0.84200000000000008</v>
      </c>
      <c r="D58" s="6">
        <f t="shared" si="4"/>
        <v>22.842618000000002</v>
      </c>
      <c r="E58" s="6" t="s">
        <v>14</v>
      </c>
      <c r="F58" s="6">
        <f t="shared" si="24"/>
        <v>0.83299999999999996</v>
      </c>
      <c r="G58" s="6">
        <f t="shared" si="11"/>
        <v>19.027900794000001</v>
      </c>
      <c r="H58" s="6" t="s">
        <v>55</v>
      </c>
      <c r="I58" s="6">
        <f>1.3/100</f>
        <v>1.3000000000000001E-2</v>
      </c>
      <c r="J58" s="6"/>
      <c r="K58" s="2" t="s">
        <v>38</v>
      </c>
      <c r="L58" s="2">
        <f>2.2/100</f>
        <v>2.2000000000000002E-2</v>
      </c>
      <c r="M58" s="2">
        <f t="shared" si="26"/>
        <v>0.41861381746800008</v>
      </c>
    </row>
    <row r="59" spans="1:13" x14ac:dyDescent="0.25">
      <c r="A59" s="4">
        <v>27.129000000000001</v>
      </c>
      <c r="B59" s="2" t="s">
        <v>19</v>
      </c>
      <c r="C59" s="6">
        <f t="shared" si="23"/>
        <v>0.84200000000000008</v>
      </c>
      <c r="D59" s="6">
        <f t="shared" si="4"/>
        <v>22.842618000000002</v>
      </c>
      <c r="E59" s="6" t="s">
        <v>14</v>
      </c>
      <c r="F59" s="6">
        <f t="shared" si="24"/>
        <v>0.83299999999999996</v>
      </c>
      <c r="G59" s="6">
        <f t="shared" si="11"/>
        <v>19.027900794000001</v>
      </c>
      <c r="H59" s="6"/>
      <c r="I59" s="6"/>
      <c r="J59" s="6"/>
      <c r="K59" s="2" t="s">
        <v>39</v>
      </c>
      <c r="L59" s="2">
        <f>1.5/100</f>
        <v>1.4999999999999999E-2</v>
      </c>
      <c r="M59" s="2">
        <f t="shared" si="26"/>
        <v>0.28541851191000001</v>
      </c>
    </row>
    <row r="60" spans="1:13" x14ac:dyDescent="0.25">
      <c r="A60" s="4">
        <v>27.129000000000001</v>
      </c>
      <c r="B60" s="2" t="s">
        <v>19</v>
      </c>
      <c r="C60" s="6">
        <f t="shared" si="23"/>
        <v>0.84200000000000008</v>
      </c>
      <c r="D60" s="6">
        <f t="shared" si="4"/>
        <v>22.842618000000002</v>
      </c>
      <c r="E60" s="6" t="s">
        <v>52</v>
      </c>
      <c r="F60" s="6">
        <f>82.7/100</f>
        <v>0.82700000000000007</v>
      </c>
      <c r="G60" s="6">
        <f t="shared" si="11"/>
        <v>18.890845086000002</v>
      </c>
      <c r="H60" s="6" t="s">
        <v>11</v>
      </c>
      <c r="I60" s="6">
        <f>9.8/100</f>
        <v>9.8000000000000004E-2</v>
      </c>
      <c r="J60" s="6">
        <f>I60*G60</f>
        <v>1.8513028184280003</v>
      </c>
      <c r="K60" s="2" t="s">
        <v>32</v>
      </c>
      <c r="L60" s="2">
        <f>1.1/100</f>
        <v>1.1000000000000001E-2</v>
      </c>
      <c r="M60" s="2">
        <f>L60*G60</f>
        <v>0.20779929594600005</v>
      </c>
    </row>
    <row r="61" spans="1:13" x14ac:dyDescent="0.25">
      <c r="A61" s="4">
        <v>27.129000000000001</v>
      </c>
      <c r="B61" s="2" t="s">
        <v>19</v>
      </c>
      <c r="C61" s="6">
        <f t="shared" si="23"/>
        <v>0.84200000000000008</v>
      </c>
      <c r="D61" s="6">
        <f t="shared" si="4"/>
        <v>22.842618000000002</v>
      </c>
      <c r="E61" s="6" t="s">
        <v>15</v>
      </c>
      <c r="F61" s="6">
        <f t="shared" ref="F61:F67" si="27">82.7/100</f>
        <v>0.82700000000000007</v>
      </c>
      <c r="G61" s="6">
        <f t="shared" si="11"/>
        <v>18.890845086000002</v>
      </c>
      <c r="H61" s="6" t="s">
        <v>12</v>
      </c>
      <c r="I61" s="6">
        <f>6.7/100</f>
        <v>6.7000000000000004E-2</v>
      </c>
      <c r="J61" s="6">
        <f t="shared" ref="J61:J65" si="28">I61*G61</f>
        <v>1.2656866207620003</v>
      </c>
      <c r="K61" s="2" t="s">
        <v>33</v>
      </c>
      <c r="L61" s="2">
        <f>5.6/100</f>
        <v>5.5999999999999994E-2</v>
      </c>
      <c r="M61" s="2">
        <f t="shared" ref="M61:M67" si="29">L61*G61</f>
        <v>1.0578873248160001</v>
      </c>
    </row>
    <row r="62" spans="1:13" x14ac:dyDescent="0.25">
      <c r="A62" s="4">
        <v>27.129000000000001</v>
      </c>
      <c r="B62" s="2" t="s">
        <v>19</v>
      </c>
      <c r="C62" s="6">
        <f t="shared" si="23"/>
        <v>0.84200000000000008</v>
      </c>
      <c r="D62" s="6">
        <f t="shared" si="4"/>
        <v>22.842618000000002</v>
      </c>
      <c r="E62" s="6" t="s">
        <v>15</v>
      </c>
      <c r="F62" s="6">
        <f t="shared" si="27"/>
        <v>0.82700000000000007</v>
      </c>
      <c r="G62" s="6">
        <f t="shared" si="11"/>
        <v>18.890845086000002</v>
      </c>
      <c r="H62" s="6" t="s">
        <v>7</v>
      </c>
      <c r="I62" s="6">
        <f>7.1/100</f>
        <v>7.0999999999999994E-2</v>
      </c>
      <c r="J62" s="6">
        <f t="shared" si="28"/>
        <v>1.341250001106</v>
      </c>
      <c r="K62" s="2" t="s">
        <v>34</v>
      </c>
      <c r="L62" s="2">
        <f>12.8/100</f>
        <v>0.128</v>
      </c>
      <c r="M62" s="2">
        <f t="shared" si="29"/>
        <v>2.4180281710080003</v>
      </c>
    </row>
    <row r="63" spans="1:13" x14ac:dyDescent="0.25">
      <c r="A63" s="4">
        <v>27.129000000000001</v>
      </c>
      <c r="B63" s="2" t="s">
        <v>19</v>
      </c>
      <c r="C63" s="6">
        <f t="shared" si="23"/>
        <v>0.84200000000000008</v>
      </c>
      <c r="D63" s="6">
        <f t="shared" si="4"/>
        <v>22.842618000000002</v>
      </c>
      <c r="E63" s="6" t="s">
        <v>15</v>
      </c>
      <c r="F63" s="6">
        <f t="shared" si="27"/>
        <v>0.82700000000000007</v>
      </c>
      <c r="G63" s="6">
        <f t="shared" si="11"/>
        <v>18.890845086000002</v>
      </c>
      <c r="H63" s="6" t="s">
        <v>8</v>
      </c>
      <c r="I63" s="6">
        <f>39.9/100</f>
        <v>0.39899999999999997</v>
      </c>
      <c r="J63" s="6">
        <f t="shared" si="28"/>
        <v>7.5374471893140003</v>
      </c>
      <c r="K63" s="2" t="s">
        <v>35</v>
      </c>
      <c r="L63" s="2">
        <f>31.6/100</f>
        <v>0.316</v>
      </c>
      <c r="M63" s="2">
        <f t="shared" si="29"/>
        <v>5.969507047176001</v>
      </c>
    </row>
    <row r="64" spans="1:13" x14ac:dyDescent="0.25">
      <c r="A64" s="4">
        <v>27.129000000000001</v>
      </c>
      <c r="B64" s="2" t="s">
        <v>19</v>
      </c>
      <c r="C64" s="6">
        <f t="shared" si="23"/>
        <v>0.84200000000000008</v>
      </c>
      <c r="D64" s="6">
        <f t="shared" si="4"/>
        <v>22.842618000000002</v>
      </c>
      <c r="E64" s="6" t="s">
        <v>15</v>
      </c>
      <c r="F64" s="6">
        <f t="shared" si="27"/>
        <v>0.82700000000000007</v>
      </c>
      <c r="G64" s="6">
        <f t="shared" si="11"/>
        <v>18.890845086000002</v>
      </c>
      <c r="H64" s="6" t="s">
        <v>10</v>
      </c>
      <c r="I64" s="6">
        <f>7.9/100</f>
        <v>7.9000000000000001E-2</v>
      </c>
      <c r="J64" s="6">
        <f t="shared" si="28"/>
        <v>1.4923767617940003</v>
      </c>
      <c r="K64" s="2" t="s">
        <v>36</v>
      </c>
      <c r="L64" s="2">
        <f>32/100</f>
        <v>0.32</v>
      </c>
      <c r="M64" s="2">
        <f t="shared" si="29"/>
        <v>6.0450704275200007</v>
      </c>
    </row>
    <row r="65" spans="1:13" x14ac:dyDescent="0.25">
      <c r="A65" s="4">
        <v>27.129000000000001</v>
      </c>
      <c r="B65" s="2" t="s">
        <v>19</v>
      </c>
      <c r="C65" s="6">
        <f t="shared" si="23"/>
        <v>0.84200000000000008</v>
      </c>
      <c r="D65" s="6">
        <f t="shared" si="4"/>
        <v>22.842618000000002</v>
      </c>
      <c r="E65" s="6" t="s">
        <v>15</v>
      </c>
      <c r="F65" s="6">
        <f t="shared" si="27"/>
        <v>0.82700000000000007</v>
      </c>
      <c r="G65" s="6">
        <f t="shared" si="11"/>
        <v>18.890845086000002</v>
      </c>
      <c r="H65" s="6" t="s">
        <v>9</v>
      </c>
      <c r="I65" s="6">
        <f>27.2/100</f>
        <v>0.27200000000000002</v>
      </c>
      <c r="J65" s="6">
        <f t="shared" si="28"/>
        <v>5.138309863392001</v>
      </c>
      <c r="K65" s="2" t="s">
        <v>37</v>
      </c>
      <c r="L65" s="2">
        <f>15.8/100</f>
        <v>0.158</v>
      </c>
      <c r="M65" s="2">
        <f t="shared" si="29"/>
        <v>2.9847535235880005</v>
      </c>
    </row>
    <row r="66" spans="1:13" x14ac:dyDescent="0.25">
      <c r="A66" s="4">
        <v>27.129000000000001</v>
      </c>
      <c r="B66" s="2" t="s">
        <v>19</v>
      </c>
      <c r="C66" s="6">
        <f t="shared" si="23"/>
        <v>0.84200000000000008</v>
      </c>
      <c r="D66" s="6">
        <f t="shared" si="4"/>
        <v>22.842618000000002</v>
      </c>
      <c r="E66" s="6" t="s">
        <v>15</v>
      </c>
      <c r="F66" s="6">
        <f t="shared" si="27"/>
        <v>0.82700000000000007</v>
      </c>
      <c r="G66" s="6">
        <f t="shared" si="11"/>
        <v>18.890845086000002</v>
      </c>
      <c r="H66" s="6" t="s">
        <v>55</v>
      </c>
      <c r="I66" s="6">
        <f>1.4/100</f>
        <v>1.3999999999999999E-2</v>
      </c>
      <c r="J66" s="6"/>
      <c r="K66" s="2" t="s">
        <v>38</v>
      </c>
      <c r="L66" s="2">
        <f>1.2/100</f>
        <v>1.2E-2</v>
      </c>
      <c r="M66" s="2">
        <f t="shared" si="29"/>
        <v>0.22669014103200003</v>
      </c>
    </row>
    <row r="67" spans="1:13" x14ac:dyDescent="0.25">
      <c r="A67" s="4">
        <v>27.129000000000001</v>
      </c>
      <c r="B67" s="2" t="s">
        <v>19</v>
      </c>
      <c r="C67" s="6">
        <f t="shared" si="23"/>
        <v>0.84200000000000008</v>
      </c>
      <c r="D67" s="6">
        <f t="shared" si="4"/>
        <v>22.842618000000002</v>
      </c>
      <c r="E67" s="6" t="s">
        <v>15</v>
      </c>
      <c r="F67" s="6">
        <f t="shared" si="27"/>
        <v>0.82700000000000007</v>
      </c>
      <c r="G67" s="6">
        <f t="shared" si="11"/>
        <v>18.890845086000002</v>
      </c>
      <c r="H67" s="6"/>
      <c r="I67" s="6"/>
      <c r="J67" s="6"/>
      <c r="K67" s="2" t="s">
        <v>39</v>
      </c>
      <c r="L67" s="2">
        <f>0/100</f>
        <v>0</v>
      </c>
      <c r="M67" s="2">
        <f t="shared" si="29"/>
        <v>0</v>
      </c>
    </row>
    <row r="68" spans="1:13" x14ac:dyDescent="0.25">
      <c r="A68" s="4">
        <v>27.129000000000001</v>
      </c>
      <c r="B68" s="2" t="s">
        <v>19</v>
      </c>
      <c r="C68" s="6">
        <f t="shared" si="23"/>
        <v>0.84200000000000008</v>
      </c>
      <c r="D68" s="6">
        <f t="shared" si="4"/>
        <v>22.842618000000002</v>
      </c>
      <c r="E68" s="6" t="s">
        <v>53</v>
      </c>
      <c r="F68" s="6">
        <f>84.7/100</f>
        <v>0.84699999999999998</v>
      </c>
      <c r="G68" s="6">
        <f t="shared" si="11"/>
        <v>19.347697446000002</v>
      </c>
      <c r="H68" s="6" t="s">
        <v>11</v>
      </c>
      <c r="I68" s="6">
        <f>11.8/100</f>
        <v>0.11800000000000001</v>
      </c>
      <c r="J68" s="6">
        <f>I68*G68</f>
        <v>2.2830282986280004</v>
      </c>
      <c r="K68" s="2" t="s">
        <v>32</v>
      </c>
      <c r="L68" s="2">
        <f>5.4/100</f>
        <v>5.4000000000000006E-2</v>
      </c>
      <c r="M68" s="2">
        <f>L68*G68</f>
        <v>1.0447756620840003</v>
      </c>
    </row>
    <row r="69" spans="1:13" x14ac:dyDescent="0.25">
      <c r="A69" s="4">
        <v>27.129000000000001</v>
      </c>
      <c r="B69" s="2" t="s">
        <v>19</v>
      </c>
      <c r="C69" s="6">
        <f t="shared" si="23"/>
        <v>0.84200000000000008</v>
      </c>
      <c r="D69" s="6">
        <f t="shared" si="4"/>
        <v>22.842618000000002</v>
      </c>
      <c r="E69" s="6" t="s">
        <v>16</v>
      </c>
      <c r="F69" s="6">
        <f t="shared" ref="F69:F75" si="30">84.7/100</f>
        <v>0.84699999999999998</v>
      </c>
      <c r="G69" s="6">
        <f t="shared" si="11"/>
        <v>19.347697446000002</v>
      </c>
      <c r="H69" s="6" t="s">
        <v>12</v>
      </c>
      <c r="I69" s="6">
        <f>11/100</f>
        <v>0.11</v>
      </c>
      <c r="J69" s="6">
        <f t="shared" ref="J69:J73" si="31">I69*G69</f>
        <v>2.1282467190600003</v>
      </c>
      <c r="K69" s="2" t="s">
        <v>33</v>
      </c>
      <c r="L69" s="2">
        <f>10.9/100</f>
        <v>0.109</v>
      </c>
      <c r="M69" s="2">
        <f t="shared" ref="M69:M75" si="32">L69*G69</f>
        <v>2.108899021614</v>
      </c>
    </row>
    <row r="70" spans="1:13" x14ac:dyDescent="0.25">
      <c r="A70" s="4">
        <v>27.129000000000001</v>
      </c>
      <c r="B70" s="2" t="s">
        <v>19</v>
      </c>
      <c r="C70" s="6">
        <f t="shared" si="23"/>
        <v>0.84200000000000008</v>
      </c>
      <c r="D70" s="6">
        <f t="shared" si="4"/>
        <v>22.842618000000002</v>
      </c>
      <c r="E70" s="6" t="s">
        <v>16</v>
      </c>
      <c r="F70" s="6">
        <f t="shared" si="30"/>
        <v>0.84699999999999998</v>
      </c>
      <c r="G70" s="6">
        <f t="shared" si="11"/>
        <v>19.347697446000002</v>
      </c>
      <c r="H70" s="6" t="s">
        <v>7</v>
      </c>
      <c r="I70" s="6">
        <f>12/100</f>
        <v>0.12</v>
      </c>
      <c r="J70" s="6">
        <f t="shared" si="31"/>
        <v>2.3217236935200001</v>
      </c>
      <c r="K70" s="2" t="s">
        <v>34</v>
      </c>
      <c r="L70" s="2">
        <f>16.9/100</f>
        <v>0.16899999999999998</v>
      </c>
      <c r="M70" s="2">
        <f t="shared" si="32"/>
        <v>3.269760868374</v>
      </c>
    </row>
    <row r="71" spans="1:13" x14ac:dyDescent="0.25">
      <c r="A71" s="4">
        <v>27.129000000000001</v>
      </c>
      <c r="B71" s="2" t="s">
        <v>19</v>
      </c>
      <c r="C71" s="6">
        <f t="shared" si="23"/>
        <v>0.84200000000000008</v>
      </c>
      <c r="D71" s="6">
        <f t="shared" si="4"/>
        <v>22.842618000000002</v>
      </c>
      <c r="E71" s="6" t="s">
        <v>16</v>
      </c>
      <c r="F71" s="6">
        <f t="shared" si="30"/>
        <v>0.84699999999999998</v>
      </c>
      <c r="G71" s="6">
        <f t="shared" si="11"/>
        <v>19.347697446000002</v>
      </c>
      <c r="H71" s="6" t="s">
        <v>8</v>
      </c>
      <c r="I71" s="6">
        <f>37.2/100</f>
        <v>0.37200000000000005</v>
      </c>
      <c r="J71" s="6">
        <f t="shared" si="31"/>
        <v>7.1973434499120019</v>
      </c>
      <c r="K71" s="2" t="s">
        <v>35</v>
      </c>
      <c r="L71" s="2">
        <f>27.6/100</f>
        <v>0.27600000000000002</v>
      </c>
      <c r="M71" s="2">
        <f t="shared" si="32"/>
        <v>5.3399644950960008</v>
      </c>
    </row>
    <row r="72" spans="1:13" x14ac:dyDescent="0.25">
      <c r="A72" s="4">
        <v>27.129000000000001</v>
      </c>
      <c r="B72" s="2" t="s">
        <v>19</v>
      </c>
      <c r="C72" s="6">
        <f t="shared" si="23"/>
        <v>0.84200000000000008</v>
      </c>
      <c r="D72" s="6">
        <f t="shared" si="4"/>
        <v>22.842618000000002</v>
      </c>
      <c r="E72" s="6" t="s">
        <v>16</v>
      </c>
      <c r="F72" s="6">
        <f t="shared" si="30"/>
        <v>0.84699999999999998</v>
      </c>
      <c r="G72" s="6">
        <f t="shared" si="11"/>
        <v>19.347697446000002</v>
      </c>
      <c r="H72" s="6" t="s">
        <v>10</v>
      </c>
      <c r="I72" s="6">
        <f>4.9/100</f>
        <v>4.9000000000000002E-2</v>
      </c>
      <c r="J72" s="6">
        <f t="shared" si="31"/>
        <v>0.94803717485400008</v>
      </c>
      <c r="K72" s="2" t="s">
        <v>36</v>
      </c>
      <c r="L72" s="2">
        <f>20.5/100</f>
        <v>0.20499999999999999</v>
      </c>
      <c r="M72" s="2">
        <f t="shared" si="32"/>
        <v>3.9662779764300002</v>
      </c>
    </row>
    <row r="73" spans="1:13" x14ac:dyDescent="0.25">
      <c r="A73" s="4">
        <v>27.129000000000001</v>
      </c>
      <c r="B73" s="2" t="s">
        <v>19</v>
      </c>
      <c r="C73" s="6">
        <f t="shared" si="23"/>
        <v>0.84200000000000008</v>
      </c>
      <c r="D73" s="6">
        <f t="shared" si="4"/>
        <v>22.842618000000002</v>
      </c>
      <c r="E73" s="6" t="s">
        <v>16</v>
      </c>
      <c r="F73" s="6">
        <f t="shared" si="30"/>
        <v>0.84699999999999998</v>
      </c>
      <c r="G73" s="6">
        <f t="shared" si="11"/>
        <v>19.347697446000002</v>
      </c>
      <c r="H73" s="6" t="s">
        <v>9</v>
      </c>
      <c r="I73" s="6">
        <f>22.1/100</f>
        <v>0.221</v>
      </c>
      <c r="J73" s="6">
        <f t="shared" si="31"/>
        <v>4.275841135566</v>
      </c>
      <c r="K73" s="2" t="s">
        <v>37</v>
      </c>
      <c r="L73" s="2">
        <f>15.7/100</f>
        <v>0.157</v>
      </c>
      <c r="M73" s="2">
        <f t="shared" si="32"/>
        <v>3.0375884990220001</v>
      </c>
    </row>
    <row r="74" spans="1:13" x14ac:dyDescent="0.25">
      <c r="A74" s="4">
        <v>27.129000000000001</v>
      </c>
      <c r="B74" s="2" t="s">
        <v>19</v>
      </c>
      <c r="C74" s="6">
        <f t="shared" si="23"/>
        <v>0.84200000000000008</v>
      </c>
      <c r="D74" s="6">
        <f t="shared" si="4"/>
        <v>22.842618000000002</v>
      </c>
      <c r="E74" s="6" t="s">
        <v>16</v>
      </c>
      <c r="F74" s="6">
        <f t="shared" si="30"/>
        <v>0.84699999999999998</v>
      </c>
      <c r="G74" s="6">
        <f t="shared" si="11"/>
        <v>19.347697446000002</v>
      </c>
      <c r="H74" s="6" t="s">
        <v>55</v>
      </c>
      <c r="I74" s="6">
        <f>1.1/100</f>
        <v>1.1000000000000001E-2</v>
      </c>
      <c r="J74" s="6"/>
      <c r="K74" s="2" t="s">
        <v>38</v>
      </c>
      <c r="L74" s="2">
        <f>1.8/100</f>
        <v>1.8000000000000002E-2</v>
      </c>
      <c r="M74" s="2">
        <f t="shared" si="32"/>
        <v>0.34825855402800004</v>
      </c>
    </row>
    <row r="75" spans="1:13" x14ac:dyDescent="0.25">
      <c r="A75" s="4">
        <v>27.129000000000001</v>
      </c>
      <c r="B75" s="2" t="s">
        <v>19</v>
      </c>
      <c r="C75" s="6">
        <f t="shared" si="23"/>
        <v>0.84200000000000008</v>
      </c>
      <c r="D75" s="6">
        <f t="shared" si="4"/>
        <v>22.842618000000002</v>
      </c>
      <c r="E75" s="6" t="s">
        <v>16</v>
      </c>
      <c r="F75" s="6">
        <f t="shared" si="30"/>
        <v>0.84699999999999998</v>
      </c>
      <c r="G75" s="6">
        <f t="shared" si="11"/>
        <v>19.347697446000002</v>
      </c>
      <c r="H75" s="6"/>
      <c r="I75" s="6"/>
      <c r="J75" s="6"/>
      <c r="K75" s="2" t="s">
        <v>39</v>
      </c>
      <c r="L75" s="2">
        <f>1.1/100</f>
        <v>1.1000000000000001E-2</v>
      </c>
      <c r="M75" s="2">
        <f t="shared" si="32"/>
        <v>0.21282467190600005</v>
      </c>
    </row>
    <row r="76" spans="1:13" x14ac:dyDescent="0.25">
      <c r="A76" s="4">
        <v>27.129000000000001</v>
      </c>
      <c r="B76" s="2" t="s">
        <v>19</v>
      </c>
      <c r="C76" s="6">
        <f t="shared" si="23"/>
        <v>0.84200000000000008</v>
      </c>
      <c r="D76" s="6">
        <f t="shared" si="4"/>
        <v>22.842618000000002</v>
      </c>
      <c r="E76" s="2" t="s">
        <v>51</v>
      </c>
      <c r="F76" s="6">
        <f>82.6/100</f>
        <v>0.82599999999999996</v>
      </c>
      <c r="G76" s="6">
        <f t="shared" si="11"/>
        <v>18.868002468</v>
      </c>
      <c r="H76" s="6" t="s">
        <v>11</v>
      </c>
      <c r="I76" s="6">
        <f>15.8/100</f>
        <v>0.158</v>
      </c>
      <c r="J76" s="8">
        <f>I76*G76</f>
        <v>2.9811443899440002</v>
      </c>
      <c r="K76" s="2" t="s">
        <v>32</v>
      </c>
      <c r="L76" s="2">
        <f>5.3/100</f>
        <v>5.2999999999999999E-2</v>
      </c>
      <c r="M76" s="2">
        <f>L76*G76</f>
        <v>1.000004130804</v>
      </c>
    </row>
    <row r="77" spans="1:13" x14ac:dyDescent="0.25">
      <c r="A77" s="4">
        <v>27.129000000000001</v>
      </c>
      <c r="B77" s="2" t="s">
        <v>19</v>
      </c>
      <c r="C77" s="6">
        <f t="shared" si="23"/>
        <v>0.84200000000000008</v>
      </c>
      <c r="D77" s="6">
        <f t="shared" si="4"/>
        <v>22.842618000000002</v>
      </c>
      <c r="E77" s="2" t="s">
        <v>13</v>
      </c>
      <c r="F77" s="6">
        <f t="shared" ref="F77:F83" si="33">82.6/100</f>
        <v>0.82599999999999996</v>
      </c>
      <c r="G77" s="6">
        <f t="shared" si="11"/>
        <v>18.868002468</v>
      </c>
      <c r="H77" s="6" t="s">
        <v>12</v>
      </c>
      <c r="I77" s="6">
        <f>13.6/100</f>
        <v>0.13600000000000001</v>
      </c>
      <c r="J77" s="8">
        <f t="shared" ref="J77:J81" si="34">I77*G77</f>
        <v>2.5660483356480004</v>
      </c>
      <c r="K77" s="2" t="s">
        <v>33</v>
      </c>
      <c r="L77" s="2">
        <f>10.9/100</f>
        <v>0.109</v>
      </c>
      <c r="M77" s="2">
        <f t="shared" ref="M77:M83" si="35">L77*G77</f>
        <v>2.0566122690120001</v>
      </c>
    </row>
    <row r="78" spans="1:13" x14ac:dyDescent="0.25">
      <c r="A78" s="4">
        <v>27.129000000000001</v>
      </c>
      <c r="B78" s="2" t="s">
        <v>19</v>
      </c>
      <c r="C78" s="6">
        <f t="shared" si="23"/>
        <v>0.84200000000000008</v>
      </c>
      <c r="D78" s="6">
        <f t="shared" si="4"/>
        <v>22.842618000000002</v>
      </c>
      <c r="E78" s="2" t="s">
        <v>13</v>
      </c>
      <c r="F78" s="6">
        <f t="shared" si="33"/>
        <v>0.82599999999999996</v>
      </c>
      <c r="G78" s="6">
        <f t="shared" si="11"/>
        <v>18.868002468</v>
      </c>
      <c r="H78" s="6" t="s">
        <v>7</v>
      </c>
      <c r="I78" s="6">
        <f>14.7/100</f>
        <v>0.14699999999999999</v>
      </c>
      <c r="J78" s="8">
        <f t="shared" si="34"/>
        <v>2.7735963627959999</v>
      </c>
      <c r="K78" s="2" t="s">
        <v>34</v>
      </c>
      <c r="L78" s="2">
        <f>16.6/100</f>
        <v>0.16600000000000001</v>
      </c>
      <c r="M78" s="2">
        <f t="shared" si="35"/>
        <v>3.1320884096880004</v>
      </c>
    </row>
    <row r="79" spans="1:13" x14ac:dyDescent="0.25">
      <c r="A79" s="4">
        <v>27.129000000000001</v>
      </c>
      <c r="B79" s="2" t="s">
        <v>19</v>
      </c>
      <c r="C79" s="6">
        <f t="shared" si="23"/>
        <v>0.84200000000000008</v>
      </c>
      <c r="D79" s="6">
        <f t="shared" si="4"/>
        <v>22.842618000000002</v>
      </c>
      <c r="E79" s="2" t="s">
        <v>13</v>
      </c>
      <c r="F79" s="6">
        <f t="shared" si="33"/>
        <v>0.82599999999999996</v>
      </c>
      <c r="G79" s="6">
        <f t="shared" si="11"/>
        <v>18.868002468</v>
      </c>
      <c r="H79" s="6" t="s">
        <v>8</v>
      </c>
      <c r="I79" s="6">
        <f>36.7/100</f>
        <v>0.36700000000000005</v>
      </c>
      <c r="J79" s="8">
        <f t="shared" si="34"/>
        <v>6.9245569057560008</v>
      </c>
      <c r="K79" s="2" t="s">
        <v>35</v>
      </c>
      <c r="L79" s="2">
        <f>26.7/100</f>
        <v>0.26700000000000002</v>
      </c>
      <c r="M79" s="2">
        <f t="shared" si="35"/>
        <v>5.0377566589560008</v>
      </c>
    </row>
    <row r="80" spans="1:13" x14ac:dyDescent="0.25">
      <c r="A80" s="4">
        <v>27.129000000000001</v>
      </c>
      <c r="B80" s="2" t="s">
        <v>19</v>
      </c>
      <c r="C80" s="6">
        <f t="shared" si="23"/>
        <v>0.84200000000000008</v>
      </c>
      <c r="D80" s="6">
        <f t="shared" si="4"/>
        <v>22.842618000000002</v>
      </c>
      <c r="E80" s="2" t="s">
        <v>13</v>
      </c>
      <c r="F80" s="6">
        <f t="shared" si="33"/>
        <v>0.82599999999999996</v>
      </c>
      <c r="G80" s="6">
        <f t="shared" si="11"/>
        <v>18.868002468</v>
      </c>
      <c r="H80" s="6" t="s">
        <v>10</v>
      </c>
      <c r="I80" s="6">
        <f>3.2/100</f>
        <v>3.2000000000000001E-2</v>
      </c>
      <c r="J80" s="8">
        <f t="shared" si="34"/>
        <v>0.60377607897600005</v>
      </c>
      <c r="K80" s="2" t="s">
        <v>36</v>
      </c>
      <c r="L80" s="2">
        <f>20/100</f>
        <v>0.2</v>
      </c>
      <c r="M80" s="2">
        <f t="shared" si="35"/>
        <v>3.7736004936</v>
      </c>
    </row>
    <row r="81" spans="1:13" x14ac:dyDescent="0.25">
      <c r="A81" s="4">
        <v>27.129000000000001</v>
      </c>
      <c r="B81" s="2" t="s">
        <v>19</v>
      </c>
      <c r="C81" s="6">
        <f t="shared" si="23"/>
        <v>0.84200000000000008</v>
      </c>
      <c r="D81" s="6">
        <f t="shared" si="4"/>
        <v>22.842618000000002</v>
      </c>
      <c r="E81" s="2" t="s">
        <v>13</v>
      </c>
      <c r="F81" s="6">
        <f t="shared" si="33"/>
        <v>0.82599999999999996</v>
      </c>
      <c r="G81" s="6">
        <f t="shared" si="11"/>
        <v>18.868002468</v>
      </c>
      <c r="H81" s="6" t="s">
        <v>9</v>
      </c>
      <c r="I81" s="6">
        <f>13.8/100</f>
        <v>0.13800000000000001</v>
      </c>
      <c r="J81" s="8">
        <f t="shared" si="34"/>
        <v>2.6037843405840002</v>
      </c>
      <c r="K81" s="2" t="s">
        <v>37</v>
      </c>
      <c r="L81" s="2">
        <f>16/100</f>
        <v>0.16</v>
      </c>
      <c r="M81" s="2">
        <f t="shared" si="35"/>
        <v>3.01888039488</v>
      </c>
    </row>
    <row r="82" spans="1:13" x14ac:dyDescent="0.25">
      <c r="A82" s="4">
        <v>27.129000000000001</v>
      </c>
      <c r="B82" s="2" t="s">
        <v>19</v>
      </c>
      <c r="C82" s="6">
        <f t="shared" si="23"/>
        <v>0.84200000000000008</v>
      </c>
      <c r="D82" s="6">
        <f t="shared" si="4"/>
        <v>22.842618000000002</v>
      </c>
      <c r="E82" s="2" t="s">
        <v>13</v>
      </c>
      <c r="F82" s="6">
        <f t="shared" si="33"/>
        <v>0.82599999999999996</v>
      </c>
      <c r="G82" s="6">
        <f t="shared" si="11"/>
        <v>18.868002468</v>
      </c>
      <c r="H82" s="6" t="s">
        <v>55</v>
      </c>
      <c r="I82" s="6">
        <f>2.2/100</f>
        <v>2.2000000000000002E-2</v>
      </c>
      <c r="J82" s="8"/>
      <c r="K82" s="2" t="s">
        <v>38</v>
      </c>
      <c r="L82" s="2">
        <f>2.8/100</f>
        <v>2.7999999999999997E-2</v>
      </c>
      <c r="M82" s="2">
        <f t="shared" si="35"/>
        <v>0.52830406910399996</v>
      </c>
    </row>
    <row r="83" spans="1:13" x14ac:dyDescent="0.25">
      <c r="A83" s="4">
        <v>27.129000000000001</v>
      </c>
      <c r="B83" s="2" t="s">
        <v>19</v>
      </c>
      <c r="C83" s="6">
        <f t="shared" si="23"/>
        <v>0.84200000000000008</v>
      </c>
      <c r="D83" s="6">
        <f t="shared" si="4"/>
        <v>22.842618000000002</v>
      </c>
      <c r="E83" s="2" t="s">
        <v>13</v>
      </c>
      <c r="F83" s="6">
        <f t="shared" si="33"/>
        <v>0.82599999999999996</v>
      </c>
      <c r="G83" s="6">
        <f t="shared" si="11"/>
        <v>18.868002468</v>
      </c>
      <c r="H83" s="6"/>
      <c r="I83" s="6"/>
      <c r="J83" s="8"/>
      <c r="K83" s="2" t="s">
        <v>39</v>
      </c>
      <c r="L83" s="2">
        <f>1.5/100</f>
        <v>1.4999999999999999E-2</v>
      </c>
      <c r="M83" s="2">
        <f t="shared" si="35"/>
        <v>0.28302003702</v>
      </c>
    </row>
    <row r="84" spans="1:13" x14ac:dyDescent="0.25">
      <c r="A84" s="4">
        <v>27.129000000000001</v>
      </c>
      <c r="B84" s="2" t="s">
        <v>19</v>
      </c>
      <c r="C84" s="6">
        <f t="shared" si="23"/>
        <v>0.84200000000000008</v>
      </c>
      <c r="D84" s="6">
        <f t="shared" si="4"/>
        <v>22.842618000000002</v>
      </c>
      <c r="E84" s="2" t="s">
        <v>50</v>
      </c>
      <c r="F84" s="6">
        <f>90.6/100</f>
        <v>0.90599999999999992</v>
      </c>
      <c r="G84" s="6">
        <f t="shared" si="11"/>
        <v>20.695411908000001</v>
      </c>
      <c r="H84" s="6" t="s">
        <v>11</v>
      </c>
      <c r="I84" s="6">
        <f>34.2/100</f>
        <v>0.34200000000000003</v>
      </c>
      <c r="J84" s="6">
        <f>I84*G84</f>
        <v>7.0778308725360004</v>
      </c>
      <c r="K84" s="2" t="s">
        <v>32</v>
      </c>
      <c r="L84" s="2">
        <f>0/100</f>
        <v>0</v>
      </c>
      <c r="M84" s="2">
        <f>L84*G84</f>
        <v>0</v>
      </c>
    </row>
    <row r="85" spans="1:13" x14ac:dyDescent="0.25">
      <c r="A85" s="4">
        <v>27.129000000000001</v>
      </c>
      <c r="B85" s="2" t="s">
        <v>19</v>
      </c>
      <c r="C85" s="6">
        <f t="shared" si="23"/>
        <v>0.84200000000000008</v>
      </c>
      <c r="D85" s="6">
        <f t="shared" si="4"/>
        <v>22.842618000000002</v>
      </c>
      <c r="E85" s="2" t="s">
        <v>17</v>
      </c>
      <c r="F85" s="6">
        <f t="shared" ref="F85:F91" si="36">90.6/100</f>
        <v>0.90599999999999992</v>
      </c>
      <c r="G85" s="6">
        <f t="shared" si="11"/>
        <v>20.695411908000001</v>
      </c>
      <c r="H85" s="6" t="s">
        <v>12</v>
      </c>
      <c r="I85" s="6">
        <f>13.4/100</f>
        <v>0.13400000000000001</v>
      </c>
      <c r="J85" s="6">
        <f t="shared" ref="J85:J89" si="37">I85*G85</f>
        <v>2.7731851956720002</v>
      </c>
      <c r="K85" s="2" t="s">
        <v>33</v>
      </c>
      <c r="L85" s="2">
        <f>4.2/100</f>
        <v>4.2000000000000003E-2</v>
      </c>
      <c r="M85" s="2">
        <f t="shared" ref="M85:M87" si="38">L85*G85</f>
        <v>0.86920730013600012</v>
      </c>
    </row>
    <row r="86" spans="1:13" x14ac:dyDescent="0.25">
      <c r="A86" s="4">
        <v>27.129000000000001</v>
      </c>
      <c r="B86" s="2" t="s">
        <v>19</v>
      </c>
      <c r="C86" s="6">
        <f t="shared" si="23"/>
        <v>0.84200000000000008</v>
      </c>
      <c r="D86" s="6">
        <f t="shared" si="4"/>
        <v>22.842618000000002</v>
      </c>
      <c r="E86" s="2" t="s">
        <v>17</v>
      </c>
      <c r="F86" s="6">
        <f t="shared" si="36"/>
        <v>0.90599999999999992</v>
      </c>
      <c r="G86" s="6">
        <f t="shared" si="11"/>
        <v>20.695411908000001</v>
      </c>
      <c r="H86" s="6" t="s">
        <v>7</v>
      </c>
      <c r="I86" s="6">
        <f>9.4/100</f>
        <v>9.4E-2</v>
      </c>
      <c r="J86" s="6">
        <f t="shared" si="37"/>
        <v>1.945368719352</v>
      </c>
      <c r="K86" s="2" t="s">
        <v>34</v>
      </c>
      <c r="L86" s="2">
        <f>11.4/100</f>
        <v>0.114</v>
      </c>
      <c r="M86" s="2">
        <f t="shared" si="38"/>
        <v>2.3592769575120003</v>
      </c>
    </row>
    <row r="87" spans="1:13" x14ac:dyDescent="0.25">
      <c r="A87" s="4">
        <v>27.129000000000001</v>
      </c>
      <c r="B87" s="2" t="s">
        <v>19</v>
      </c>
      <c r="C87" s="6">
        <f t="shared" si="23"/>
        <v>0.84200000000000008</v>
      </c>
      <c r="D87" s="6">
        <f t="shared" si="4"/>
        <v>22.842618000000002</v>
      </c>
      <c r="E87" s="2" t="s">
        <v>17</v>
      </c>
      <c r="F87" s="6">
        <f t="shared" si="36"/>
        <v>0.90599999999999992</v>
      </c>
      <c r="G87" s="6">
        <f t="shared" si="11"/>
        <v>20.695411908000001</v>
      </c>
      <c r="H87" s="6" t="s">
        <v>8</v>
      </c>
      <c r="I87" s="6">
        <f>27.6/100</f>
        <v>0.27600000000000002</v>
      </c>
      <c r="J87" s="6">
        <f t="shared" si="37"/>
        <v>5.7119336866080008</v>
      </c>
      <c r="K87" s="2" t="s">
        <v>35</v>
      </c>
      <c r="L87" s="2">
        <f>35.6/100</f>
        <v>0.35600000000000004</v>
      </c>
      <c r="M87" s="2">
        <f t="shared" si="38"/>
        <v>7.3675666392480013</v>
      </c>
    </row>
    <row r="88" spans="1:13" x14ac:dyDescent="0.25">
      <c r="A88" s="4">
        <v>27.129000000000001</v>
      </c>
      <c r="B88" s="2" t="s">
        <v>19</v>
      </c>
      <c r="C88" s="6">
        <f t="shared" si="23"/>
        <v>0.84200000000000008</v>
      </c>
      <c r="D88" s="6">
        <f t="shared" si="4"/>
        <v>22.842618000000002</v>
      </c>
      <c r="E88" s="2" t="s">
        <v>17</v>
      </c>
      <c r="F88" s="6">
        <f t="shared" si="36"/>
        <v>0.90599999999999992</v>
      </c>
      <c r="G88" s="6">
        <f t="shared" si="11"/>
        <v>20.695411908000001</v>
      </c>
      <c r="H88" s="6" t="s">
        <v>10</v>
      </c>
      <c r="I88" s="6">
        <f>2.7/100</f>
        <v>2.7000000000000003E-2</v>
      </c>
      <c r="J88" s="6">
        <f t="shared" si="37"/>
        <v>0.55877612151600009</v>
      </c>
      <c r="K88" s="2" t="s">
        <v>36</v>
      </c>
      <c r="L88" s="2">
        <f>33.1/100</f>
        <v>0.33100000000000002</v>
      </c>
      <c r="M88" s="2">
        <f>L87*G88</f>
        <v>7.3675666392480013</v>
      </c>
    </row>
    <row r="89" spans="1:13" x14ac:dyDescent="0.25">
      <c r="A89" s="4">
        <v>27.129000000000001</v>
      </c>
      <c r="B89" s="2" t="s">
        <v>19</v>
      </c>
      <c r="C89" s="6">
        <f t="shared" si="23"/>
        <v>0.84200000000000008</v>
      </c>
      <c r="D89" s="6">
        <f t="shared" si="4"/>
        <v>22.842618000000002</v>
      </c>
      <c r="E89" s="2" t="s">
        <v>17</v>
      </c>
      <c r="F89" s="6">
        <f t="shared" si="36"/>
        <v>0.90599999999999992</v>
      </c>
      <c r="G89" s="6">
        <f t="shared" si="11"/>
        <v>20.695411908000001</v>
      </c>
      <c r="H89" s="6" t="s">
        <v>9</v>
      </c>
      <c r="I89" s="6">
        <f>12.3/100</f>
        <v>0.12300000000000001</v>
      </c>
      <c r="J89" s="6">
        <f t="shared" si="37"/>
        <v>2.5455356646840004</v>
      </c>
      <c r="K89" s="2" t="s">
        <v>37</v>
      </c>
      <c r="L89" s="2">
        <f>14.7/100</f>
        <v>0.14699999999999999</v>
      </c>
      <c r="M89" s="2">
        <f>L88*G89</f>
        <v>6.8501813415480006</v>
      </c>
    </row>
    <row r="90" spans="1:13" x14ac:dyDescent="0.25">
      <c r="A90" s="4">
        <v>27.129000000000001</v>
      </c>
      <c r="B90" s="2" t="s">
        <v>19</v>
      </c>
      <c r="C90" s="6">
        <f t="shared" si="23"/>
        <v>0.84200000000000008</v>
      </c>
      <c r="D90" s="6">
        <f t="shared" si="4"/>
        <v>22.842618000000002</v>
      </c>
      <c r="E90" s="2" t="s">
        <v>17</v>
      </c>
      <c r="F90" s="6">
        <f t="shared" si="36"/>
        <v>0.90599999999999992</v>
      </c>
      <c r="G90" s="6">
        <f t="shared" si="11"/>
        <v>20.695411908000001</v>
      </c>
      <c r="H90" s="6" t="s">
        <v>55</v>
      </c>
      <c r="I90" s="6">
        <f>0.4/100</f>
        <v>4.0000000000000001E-3</v>
      </c>
      <c r="J90" s="6"/>
      <c r="K90" s="2" t="s">
        <v>38</v>
      </c>
      <c r="L90" s="2">
        <f>0/100</f>
        <v>0</v>
      </c>
      <c r="M90" s="2">
        <f>L89*G90</f>
        <v>3.0422255504760001</v>
      </c>
    </row>
    <row r="91" spans="1:13" x14ac:dyDescent="0.25">
      <c r="A91" s="4">
        <v>27.129000000000001</v>
      </c>
      <c r="B91" s="2" t="s">
        <v>19</v>
      </c>
      <c r="C91" s="6">
        <f t="shared" si="23"/>
        <v>0.84200000000000008</v>
      </c>
      <c r="D91" s="6">
        <f t="shared" si="4"/>
        <v>22.842618000000002</v>
      </c>
      <c r="E91" s="2" t="s">
        <v>17</v>
      </c>
      <c r="F91" s="6">
        <f t="shared" si="36"/>
        <v>0.90599999999999992</v>
      </c>
      <c r="G91" s="6">
        <f t="shared" si="11"/>
        <v>20.695411908000001</v>
      </c>
      <c r="H91" s="6"/>
      <c r="I91" s="6"/>
      <c r="J91" s="6"/>
      <c r="K91" s="2" t="s">
        <v>39</v>
      </c>
      <c r="L91" s="2">
        <f>0.9/100</f>
        <v>9.0000000000000011E-3</v>
      </c>
      <c r="M91" s="2">
        <f>L90*G91</f>
        <v>0</v>
      </c>
    </row>
    <row r="92" spans="1:13" x14ac:dyDescent="0.25">
      <c r="A92" s="4">
        <v>27.129000000000001</v>
      </c>
      <c r="B92" s="2" t="s">
        <v>19</v>
      </c>
      <c r="C92" s="6">
        <f t="shared" si="23"/>
        <v>0.84200000000000008</v>
      </c>
      <c r="D92" s="6">
        <f t="shared" si="4"/>
        <v>22.842618000000002</v>
      </c>
      <c r="E92" s="2" t="s">
        <v>49</v>
      </c>
      <c r="F92" s="2">
        <f>87.6/100</f>
        <v>0.87599999999999989</v>
      </c>
      <c r="G92" s="6">
        <f t="shared" si="11"/>
        <v>20.010133367999998</v>
      </c>
      <c r="H92" s="6" t="s">
        <v>11</v>
      </c>
      <c r="I92" s="6">
        <f>19/100</f>
        <v>0.19</v>
      </c>
      <c r="J92" s="6">
        <f>I92*G92</f>
        <v>3.8019253399199995</v>
      </c>
      <c r="K92" s="2" t="s">
        <v>32</v>
      </c>
      <c r="L92" s="2">
        <f>7.4/100</f>
        <v>7.400000000000001E-2</v>
      </c>
      <c r="M92" s="2">
        <f>L92*G92</f>
        <v>1.480749869232</v>
      </c>
    </row>
    <row r="93" spans="1:13" x14ac:dyDescent="0.25">
      <c r="A93" s="4">
        <v>27.129000000000001</v>
      </c>
      <c r="B93" s="2" t="s">
        <v>19</v>
      </c>
      <c r="C93" s="6">
        <f t="shared" si="23"/>
        <v>0.84200000000000008</v>
      </c>
      <c r="D93" s="6">
        <f t="shared" ref="D93:D99" si="39">C93*A93</f>
        <v>22.842618000000002</v>
      </c>
      <c r="E93" s="2" t="s">
        <v>18</v>
      </c>
      <c r="F93" s="2">
        <f t="shared" ref="F93:F99" si="40">87.6/100</f>
        <v>0.87599999999999989</v>
      </c>
      <c r="G93" s="6">
        <f t="shared" si="11"/>
        <v>20.010133367999998</v>
      </c>
      <c r="H93" s="6" t="s">
        <v>12</v>
      </c>
      <c r="I93" s="6">
        <f>12.4/100</f>
        <v>0.124</v>
      </c>
      <c r="J93" s="6">
        <f t="shared" ref="J93:J97" si="41">I93*G93</f>
        <v>2.4812565376319999</v>
      </c>
      <c r="K93" s="2" t="s">
        <v>33</v>
      </c>
      <c r="L93" s="2">
        <f>13.5/100</f>
        <v>0.13500000000000001</v>
      </c>
      <c r="M93" s="2">
        <f t="shared" ref="M93:M99" si="42">L93*G93</f>
        <v>2.7013680046799999</v>
      </c>
    </row>
    <row r="94" spans="1:13" x14ac:dyDescent="0.25">
      <c r="A94" s="4">
        <v>27.129000000000001</v>
      </c>
      <c r="B94" s="2" t="s">
        <v>19</v>
      </c>
      <c r="C94" s="6">
        <f t="shared" si="23"/>
        <v>0.84200000000000008</v>
      </c>
      <c r="D94" s="6">
        <f t="shared" si="39"/>
        <v>22.842618000000002</v>
      </c>
      <c r="E94" s="2" t="s">
        <v>18</v>
      </c>
      <c r="F94" s="2">
        <f t="shared" si="40"/>
        <v>0.87599999999999989</v>
      </c>
      <c r="G94" s="6">
        <f t="shared" si="11"/>
        <v>20.010133367999998</v>
      </c>
      <c r="H94" s="6" t="s">
        <v>7</v>
      </c>
      <c r="I94" s="6">
        <f>15.2/100</f>
        <v>0.152</v>
      </c>
      <c r="J94" s="6">
        <f t="shared" si="41"/>
        <v>3.0415402719359999</v>
      </c>
      <c r="K94" s="2" t="s">
        <v>34</v>
      </c>
      <c r="L94" s="2">
        <f>16.5/100</f>
        <v>0.16500000000000001</v>
      </c>
      <c r="M94" s="2">
        <f t="shared" si="42"/>
        <v>3.30167200572</v>
      </c>
    </row>
    <row r="95" spans="1:13" x14ac:dyDescent="0.25">
      <c r="A95" s="4">
        <v>27.129000000000001</v>
      </c>
      <c r="B95" s="2" t="s">
        <v>19</v>
      </c>
      <c r="C95" s="6">
        <f t="shared" si="23"/>
        <v>0.84200000000000008</v>
      </c>
      <c r="D95" s="6">
        <f t="shared" si="39"/>
        <v>22.842618000000002</v>
      </c>
      <c r="E95" s="2" t="s">
        <v>18</v>
      </c>
      <c r="F95" s="2">
        <f t="shared" si="40"/>
        <v>0.87599999999999989</v>
      </c>
      <c r="G95" s="6">
        <f t="shared" si="11"/>
        <v>20.010133367999998</v>
      </c>
      <c r="H95" s="6" t="s">
        <v>8</v>
      </c>
      <c r="I95" s="6">
        <f>40.9/100</f>
        <v>0.40899999999999997</v>
      </c>
      <c r="J95" s="6">
        <f t="shared" si="41"/>
        <v>8.1841445475119983</v>
      </c>
      <c r="K95" s="2" t="s">
        <v>35</v>
      </c>
      <c r="L95" s="2">
        <f>25.6/100</f>
        <v>0.25600000000000001</v>
      </c>
      <c r="M95" s="2">
        <f t="shared" si="42"/>
        <v>5.1225941422079995</v>
      </c>
    </row>
    <row r="96" spans="1:13" x14ac:dyDescent="0.25">
      <c r="A96" s="4">
        <v>27.129000000000001</v>
      </c>
      <c r="B96" s="2" t="s">
        <v>19</v>
      </c>
      <c r="C96" s="6">
        <f t="shared" si="23"/>
        <v>0.84200000000000008</v>
      </c>
      <c r="D96" s="6">
        <f t="shared" si="39"/>
        <v>22.842618000000002</v>
      </c>
      <c r="E96" s="2" t="s">
        <v>18</v>
      </c>
      <c r="F96" s="2">
        <f t="shared" si="40"/>
        <v>0.87599999999999989</v>
      </c>
      <c r="G96" s="6">
        <f t="shared" si="11"/>
        <v>20.010133367999998</v>
      </c>
      <c r="H96" s="6" t="s">
        <v>10</v>
      </c>
      <c r="I96" s="6">
        <f>2.1/100</f>
        <v>2.1000000000000001E-2</v>
      </c>
      <c r="J96" s="6">
        <f t="shared" si="41"/>
        <v>0.42021280072799999</v>
      </c>
      <c r="K96" s="2" t="s">
        <v>36</v>
      </c>
      <c r="L96" s="2">
        <f>19.3/100</f>
        <v>0.193</v>
      </c>
      <c r="M96" s="2">
        <f t="shared" si="42"/>
        <v>3.8619557400239999</v>
      </c>
    </row>
    <row r="97" spans="1:13" x14ac:dyDescent="0.25">
      <c r="A97" s="4">
        <v>27.129000000000001</v>
      </c>
      <c r="B97" s="2" t="s">
        <v>19</v>
      </c>
      <c r="C97" s="6">
        <f t="shared" si="23"/>
        <v>0.84200000000000008</v>
      </c>
      <c r="D97" s="6">
        <f t="shared" si="39"/>
        <v>22.842618000000002</v>
      </c>
      <c r="E97" s="2" t="s">
        <v>18</v>
      </c>
      <c r="F97" s="2">
        <f t="shared" si="40"/>
        <v>0.87599999999999989</v>
      </c>
      <c r="G97" s="6">
        <f t="shared" si="11"/>
        <v>20.010133367999998</v>
      </c>
      <c r="H97" s="6" t="s">
        <v>9</v>
      </c>
      <c r="I97" s="6">
        <f>9/100</f>
        <v>0.09</v>
      </c>
      <c r="J97" s="6">
        <f t="shared" si="41"/>
        <v>1.8009120031199997</v>
      </c>
      <c r="K97" s="2" t="s">
        <v>37</v>
      </c>
      <c r="L97" s="2">
        <f>13.1/100</f>
        <v>0.13100000000000001</v>
      </c>
      <c r="M97" s="2">
        <f t="shared" si="42"/>
        <v>2.6213274712079997</v>
      </c>
    </row>
    <row r="98" spans="1:13" x14ac:dyDescent="0.25">
      <c r="A98" s="4">
        <v>27.129000000000001</v>
      </c>
      <c r="B98" s="2" t="s">
        <v>19</v>
      </c>
      <c r="C98" s="6">
        <f t="shared" si="23"/>
        <v>0.84200000000000008</v>
      </c>
      <c r="D98" s="6">
        <f t="shared" si="39"/>
        <v>22.842618000000002</v>
      </c>
      <c r="E98" s="2" t="s">
        <v>18</v>
      </c>
      <c r="F98" s="2">
        <f t="shared" si="40"/>
        <v>0.87599999999999989</v>
      </c>
      <c r="G98" s="6">
        <f t="shared" si="11"/>
        <v>20.010133367999998</v>
      </c>
      <c r="H98" s="6" t="s">
        <v>55</v>
      </c>
      <c r="I98" s="2">
        <f>1.5/100</f>
        <v>1.4999999999999999E-2</v>
      </c>
      <c r="J98" s="2"/>
      <c r="K98" s="2" t="s">
        <v>38</v>
      </c>
      <c r="L98" s="2">
        <f>2.3/100</f>
        <v>2.3E-2</v>
      </c>
      <c r="M98" s="2">
        <f t="shared" si="42"/>
        <v>0.46023306746399995</v>
      </c>
    </row>
    <row r="99" spans="1:13" x14ac:dyDescent="0.25">
      <c r="A99" s="4">
        <v>27.129000000000001</v>
      </c>
      <c r="B99" s="2" t="s">
        <v>19</v>
      </c>
      <c r="C99" s="6">
        <f t="shared" si="23"/>
        <v>0.84200000000000008</v>
      </c>
      <c r="D99" s="6">
        <f t="shared" si="39"/>
        <v>22.842618000000002</v>
      </c>
      <c r="E99" s="2" t="s">
        <v>18</v>
      </c>
      <c r="F99" s="2">
        <f t="shared" si="40"/>
        <v>0.87599999999999989</v>
      </c>
      <c r="G99" s="6">
        <f t="shared" ref="G99" si="43">F99*D99</f>
        <v>20.010133367999998</v>
      </c>
      <c r="H99" s="2"/>
      <c r="I99" s="2"/>
      <c r="J99" s="2"/>
      <c r="K99" s="2" t="s">
        <v>39</v>
      </c>
      <c r="L99" s="2">
        <f>2.3/100</f>
        <v>2.3E-2</v>
      </c>
      <c r="M99" s="2">
        <f t="shared" si="42"/>
        <v>0.46023306746399995</v>
      </c>
    </row>
  </sheetData>
  <mergeCells count="1">
    <mergeCell ref="E2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M99"/>
  <sheetViews>
    <sheetView topLeftCell="A73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88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27</v>
      </c>
      <c r="B4" s="4" t="s">
        <v>2</v>
      </c>
      <c r="C4" s="5">
        <f>15.4/100</f>
        <v>0.154</v>
      </c>
      <c r="D4" s="6">
        <f>C4*A4</f>
        <v>4.1580000000000004</v>
      </c>
      <c r="E4" s="6" t="s">
        <v>14</v>
      </c>
      <c r="F4" s="5">
        <f>18/100</f>
        <v>0.18</v>
      </c>
      <c r="G4" s="5">
        <f>D4*F4</f>
        <v>0.74843999999999999</v>
      </c>
      <c r="H4" s="6" t="s">
        <v>11</v>
      </c>
      <c r="I4" s="6">
        <f>7.8/100</f>
        <v>7.8E-2</v>
      </c>
      <c r="J4" s="7">
        <f>I4*G4</f>
        <v>5.8378319999999997E-2</v>
      </c>
      <c r="K4" s="2" t="s">
        <v>32</v>
      </c>
      <c r="L4" s="2">
        <f>1/100</f>
        <v>0.01</v>
      </c>
      <c r="M4" s="2">
        <f>L4*G4</f>
        <v>7.4844000000000004E-3</v>
      </c>
    </row>
    <row r="5" spans="1:13" x14ac:dyDescent="0.25">
      <c r="A5" s="4">
        <v>27</v>
      </c>
      <c r="B5" s="4" t="s">
        <v>2</v>
      </c>
      <c r="C5" s="5">
        <f t="shared" ref="C5:C51" si="0">15.4/100</f>
        <v>0.154</v>
      </c>
      <c r="D5" s="6">
        <f>C5*A5</f>
        <v>4.1580000000000004</v>
      </c>
      <c r="E5" s="6" t="s">
        <v>43</v>
      </c>
      <c r="F5" s="5">
        <f t="shared" ref="F5:F11" si="1">18/100</f>
        <v>0.18</v>
      </c>
      <c r="G5" s="5">
        <f>D5*F5</f>
        <v>0.74843999999999999</v>
      </c>
      <c r="H5" s="6" t="s">
        <v>12</v>
      </c>
      <c r="I5" s="6">
        <f>4.2/100</f>
        <v>4.2000000000000003E-2</v>
      </c>
      <c r="J5" s="8">
        <f t="shared" ref="J5:J10" si="2">G5*I5</f>
        <v>3.1434480000000001E-2</v>
      </c>
      <c r="K5" s="2" t="s">
        <v>33</v>
      </c>
      <c r="L5" s="2">
        <f>10.6/100</f>
        <v>0.106</v>
      </c>
      <c r="M5" s="2">
        <f t="shared" ref="M5:M11" si="3">L5*G5</f>
        <v>7.9334639999999998E-2</v>
      </c>
    </row>
    <row r="6" spans="1:13" x14ac:dyDescent="0.25">
      <c r="A6" s="4">
        <v>27</v>
      </c>
      <c r="B6" s="4" t="s">
        <v>2</v>
      </c>
      <c r="C6" s="5">
        <f t="shared" si="0"/>
        <v>0.154</v>
      </c>
      <c r="D6" s="6">
        <f t="shared" ref="D6:D92" si="4">C6*A6</f>
        <v>4.1580000000000004</v>
      </c>
      <c r="E6" s="6" t="s">
        <v>14</v>
      </c>
      <c r="F6" s="5">
        <f t="shared" si="1"/>
        <v>0.18</v>
      </c>
      <c r="G6" s="5">
        <f t="shared" ref="G6:G11" si="5">D6*F6</f>
        <v>0.74843999999999999</v>
      </c>
      <c r="H6" s="6" t="s">
        <v>7</v>
      </c>
      <c r="I6" s="14">
        <f>6.6/100</f>
        <v>6.6000000000000003E-2</v>
      </c>
      <c r="J6" s="8">
        <f t="shared" si="2"/>
        <v>4.9397040000000003E-2</v>
      </c>
      <c r="K6" s="2" t="s">
        <v>34</v>
      </c>
      <c r="L6" s="2">
        <f>13.3/100</f>
        <v>0.13300000000000001</v>
      </c>
      <c r="M6" s="2">
        <f t="shared" si="3"/>
        <v>9.9542520000000009E-2</v>
      </c>
    </row>
    <row r="7" spans="1:13" x14ac:dyDescent="0.25">
      <c r="A7" s="4">
        <v>27</v>
      </c>
      <c r="B7" s="4" t="s">
        <v>2</v>
      </c>
      <c r="C7" s="5">
        <f t="shared" si="0"/>
        <v>0.154</v>
      </c>
      <c r="D7" s="6">
        <f t="shared" si="4"/>
        <v>4.1580000000000004</v>
      </c>
      <c r="E7" s="6" t="s">
        <v>14</v>
      </c>
      <c r="F7" s="5">
        <f t="shared" si="1"/>
        <v>0.18</v>
      </c>
      <c r="G7" s="5">
        <f t="shared" si="5"/>
        <v>0.74843999999999999</v>
      </c>
      <c r="H7" s="6" t="s">
        <v>8</v>
      </c>
      <c r="I7" s="6">
        <f>30.6/100</f>
        <v>0.30599999999999999</v>
      </c>
      <c r="J7" s="8">
        <f t="shared" si="2"/>
        <v>0.22902264</v>
      </c>
      <c r="K7" s="2" t="s">
        <v>35</v>
      </c>
      <c r="L7" s="2">
        <f>24.8/100</f>
        <v>0.248</v>
      </c>
      <c r="M7" s="2">
        <f t="shared" si="3"/>
        <v>0.18561311999999999</v>
      </c>
    </row>
    <row r="8" spans="1:13" x14ac:dyDescent="0.25">
      <c r="A8" s="4">
        <v>27</v>
      </c>
      <c r="B8" s="4" t="s">
        <v>2</v>
      </c>
      <c r="C8" s="5">
        <f t="shared" si="0"/>
        <v>0.154</v>
      </c>
      <c r="D8" s="6">
        <f t="shared" si="4"/>
        <v>4.1580000000000004</v>
      </c>
      <c r="E8" s="6" t="s">
        <v>14</v>
      </c>
      <c r="F8" s="5">
        <f t="shared" si="1"/>
        <v>0.18</v>
      </c>
      <c r="G8" s="5">
        <f t="shared" si="5"/>
        <v>0.74843999999999999</v>
      </c>
      <c r="H8" s="6" t="s">
        <v>10</v>
      </c>
      <c r="I8" s="6">
        <f>4.7/100</f>
        <v>4.7E-2</v>
      </c>
      <c r="J8" s="8">
        <f t="shared" si="2"/>
        <v>3.5176680000000002E-2</v>
      </c>
      <c r="K8" s="2" t="s">
        <v>36</v>
      </c>
      <c r="L8" s="2">
        <f>25.4/100</f>
        <v>0.254</v>
      </c>
      <c r="M8" s="2">
        <f t="shared" si="3"/>
        <v>0.19010376000000001</v>
      </c>
    </row>
    <row r="9" spans="1:13" x14ac:dyDescent="0.25">
      <c r="A9" s="4">
        <v>27</v>
      </c>
      <c r="B9" s="4" t="s">
        <v>2</v>
      </c>
      <c r="C9" s="5">
        <f t="shared" si="0"/>
        <v>0.154</v>
      </c>
      <c r="D9" s="6">
        <f>C9*A9</f>
        <v>4.1580000000000004</v>
      </c>
      <c r="E9" s="6" t="s">
        <v>14</v>
      </c>
      <c r="F9" s="5">
        <f t="shared" si="1"/>
        <v>0.18</v>
      </c>
      <c r="G9" s="5">
        <f t="shared" si="5"/>
        <v>0.74843999999999999</v>
      </c>
      <c r="H9" s="6" t="s">
        <v>9</v>
      </c>
      <c r="I9" s="6">
        <f>45.8/100</f>
        <v>0.45799999999999996</v>
      </c>
      <c r="J9" s="8">
        <f t="shared" si="2"/>
        <v>0.34278551999999995</v>
      </c>
      <c r="K9" s="2" t="s">
        <v>37</v>
      </c>
      <c r="L9" s="2">
        <f>23.5/100</f>
        <v>0.23499999999999999</v>
      </c>
      <c r="M9" s="2">
        <f t="shared" si="3"/>
        <v>0.1758834</v>
      </c>
    </row>
    <row r="10" spans="1:13" x14ac:dyDescent="0.25">
      <c r="A10" s="4">
        <v>27</v>
      </c>
      <c r="B10" s="4" t="s">
        <v>2</v>
      </c>
      <c r="C10" s="5">
        <f t="shared" si="0"/>
        <v>0.154</v>
      </c>
      <c r="D10" s="6">
        <f t="shared" si="4"/>
        <v>4.1580000000000004</v>
      </c>
      <c r="E10" s="6" t="s">
        <v>14</v>
      </c>
      <c r="F10" s="5">
        <f t="shared" si="1"/>
        <v>0.18</v>
      </c>
      <c r="G10" s="5">
        <f t="shared" si="5"/>
        <v>0.74843999999999999</v>
      </c>
      <c r="H10" s="6" t="s">
        <v>55</v>
      </c>
      <c r="I10" s="6">
        <f>0.3/100</f>
        <v>3.0000000000000001E-3</v>
      </c>
      <c r="J10" s="8">
        <f t="shared" si="2"/>
        <v>2.2453199999999999E-3</v>
      </c>
      <c r="K10" s="2" t="s">
        <v>38</v>
      </c>
      <c r="L10" s="2">
        <f>0.8/100</f>
        <v>8.0000000000000002E-3</v>
      </c>
      <c r="M10" s="2">
        <f t="shared" si="3"/>
        <v>5.9875199999999996E-3</v>
      </c>
    </row>
    <row r="11" spans="1:13" x14ac:dyDescent="0.25">
      <c r="A11" s="4">
        <v>27</v>
      </c>
      <c r="B11" s="4" t="s">
        <v>2</v>
      </c>
      <c r="C11" s="5">
        <f t="shared" si="0"/>
        <v>0.154</v>
      </c>
      <c r="D11" s="6">
        <f t="shared" si="4"/>
        <v>4.1580000000000004</v>
      </c>
      <c r="E11" s="6" t="s">
        <v>14</v>
      </c>
      <c r="F11" s="5">
        <f t="shared" si="1"/>
        <v>0.18</v>
      </c>
      <c r="G11" s="5">
        <f t="shared" si="5"/>
        <v>0.74843999999999999</v>
      </c>
      <c r="H11" s="6"/>
      <c r="I11" s="6"/>
      <c r="J11" s="8"/>
      <c r="K11" s="2" t="s">
        <v>39</v>
      </c>
      <c r="L11" s="2">
        <f>0.4/100</f>
        <v>4.0000000000000001E-3</v>
      </c>
      <c r="M11" s="2">
        <f t="shared" si="3"/>
        <v>2.9937599999999998E-3</v>
      </c>
    </row>
    <row r="12" spans="1:13" x14ac:dyDescent="0.25">
      <c r="A12" s="4">
        <v>27</v>
      </c>
      <c r="B12" s="4" t="s">
        <v>2</v>
      </c>
      <c r="C12" s="5">
        <f t="shared" si="0"/>
        <v>0.154</v>
      </c>
      <c r="D12" s="6">
        <f t="shared" si="4"/>
        <v>4.1580000000000004</v>
      </c>
      <c r="E12" s="6" t="s">
        <v>44</v>
      </c>
      <c r="F12" s="8">
        <f>15/100</f>
        <v>0.15</v>
      </c>
      <c r="G12" s="6">
        <f>F12*D12</f>
        <v>0.62370000000000003</v>
      </c>
      <c r="H12" s="6" t="s">
        <v>11</v>
      </c>
      <c r="I12" s="6">
        <f>3.9/100</f>
        <v>3.9E-2</v>
      </c>
      <c r="J12" s="8">
        <f>I12*G12</f>
        <v>2.43243E-2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27</v>
      </c>
      <c r="B13" s="4" t="s">
        <v>2</v>
      </c>
      <c r="C13" s="5">
        <f t="shared" si="0"/>
        <v>0.154</v>
      </c>
      <c r="D13" s="6">
        <f t="shared" si="4"/>
        <v>4.1580000000000004</v>
      </c>
      <c r="E13" s="6" t="s">
        <v>15</v>
      </c>
      <c r="F13" s="8">
        <f t="shared" ref="F13:F19" si="6">15/100</f>
        <v>0.15</v>
      </c>
      <c r="G13" s="6">
        <f t="shared" ref="G13:G19" si="7">F13*D13</f>
        <v>0.62370000000000003</v>
      </c>
      <c r="H13" s="6" t="s">
        <v>12</v>
      </c>
      <c r="I13" s="6">
        <f>2.3/100</f>
        <v>2.3E-2</v>
      </c>
      <c r="J13" s="8">
        <f t="shared" ref="J13:J17" si="8">I13*G13</f>
        <v>1.4345100000000001E-2</v>
      </c>
      <c r="K13" s="2" t="s">
        <v>33</v>
      </c>
      <c r="L13" s="2">
        <f>9.9/100</f>
        <v>9.9000000000000005E-2</v>
      </c>
      <c r="M13" s="2">
        <f t="shared" ref="M13:M19" si="9">L13*G13</f>
        <v>6.1746300000000004E-2</v>
      </c>
    </row>
    <row r="14" spans="1:13" x14ac:dyDescent="0.25">
      <c r="A14" s="4">
        <v>27</v>
      </c>
      <c r="B14" s="4" t="s">
        <v>2</v>
      </c>
      <c r="C14" s="5">
        <f t="shared" si="0"/>
        <v>0.154</v>
      </c>
      <c r="D14" s="6">
        <f t="shared" si="4"/>
        <v>4.1580000000000004</v>
      </c>
      <c r="E14" s="6" t="s">
        <v>15</v>
      </c>
      <c r="F14" s="8">
        <f t="shared" si="6"/>
        <v>0.15</v>
      </c>
      <c r="G14" s="6">
        <f t="shared" si="7"/>
        <v>0.62370000000000003</v>
      </c>
      <c r="H14" s="6" t="s">
        <v>7</v>
      </c>
      <c r="I14" s="6">
        <f>5.9/100</f>
        <v>5.9000000000000004E-2</v>
      </c>
      <c r="J14" s="8">
        <f t="shared" si="8"/>
        <v>3.6798300000000006E-2</v>
      </c>
      <c r="K14" s="2" t="s">
        <v>34</v>
      </c>
      <c r="L14" s="2">
        <f>7.7/100</f>
        <v>7.6999999999999999E-2</v>
      </c>
      <c r="M14" s="2">
        <f t="shared" si="9"/>
        <v>4.8024900000000002E-2</v>
      </c>
    </row>
    <row r="15" spans="1:13" x14ac:dyDescent="0.25">
      <c r="A15" s="4">
        <v>27</v>
      </c>
      <c r="B15" s="4" t="s">
        <v>2</v>
      </c>
      <c r="C15" s="5">
        <f t="shared" si="0"/>
        <v>0.154</v>
      </c>
      <c r="D15" s="6">
        <f t="shared" si="4"/>
        <v>4.1580000000000004</v>
      </c>
      <c r="E15" s="6" t="s">
        <v>15</v>
      </c>
      <c r="F15" s="8">
        <f t="shared" si="6"/>
        <v>0.15</v>
      </c>
      <c r="G15" s="6">
        <f t="shared" si="7"/>
        <v>0.62370000000000003</v>
      </c>
      <c r="H15" s="6" t="s">
        <v>8</v>
      </c>
      <c r="I15" s="6">
        <f>30.5/100</f>
        <v>0.30499999999999999</v>
      </c>
      <c r="J15" s="8">
        <f>I15*G15</f>
        <v>0.19022849999999999</v>
      </c>
      <c r="K15" s="2" t="s">
        <v>35</v>
      </c>
      <c r="L15" s="2">
        <f>29.1/100</f>
        <v>0.29100000000000004</v>
      </c>
      <c r="M15" s="2">
        <f t="shared" si="9"/>
        <v>0.18149670000000004</v>
      </c>
    </row>
    <row r="16" spans="1:13" x14ac:dyDescent="0.25">
      <c r="A16" s="4">
        <v>27</v>
      </c>
      <c r="B16" s="4" t="s">
        <v>2</v>
      </c>
      <c r="C16" s="5">
        <f t="shared" si="0"/>
        <v>0.154</v>
      </c>
      <c r="D16" s="6">
        <f t="shared" si="4"/>
        <v>4.1580000000000004</v>
      </c>
      <c r="E16" s="6" t="s">
        <v>15</v>
      </c>
      <c r="F16" s="8">
        <f t="shared" si="6"/>
        <v>0.15</v>
      </c>
      <c r="G16" s="6">
        <f t="shared" si="7"/>
        <v>0.62370000000000003</v>
      </c>
      <c r="H16" s="6" t="s">
        <v>10</v>
      </c>
      <c r="I16" s="6">
        <f>8.6/100</f>
        <v>8.5999999999999993E-2</v>
      </c>
      <c r="J16" s="8">
        <f t="shared" si="8"/>
        <v>5.3638199999999997E-2</v>
      </c>
      <c r="K16" s="2" t="s">
        <v>36</v>
      </c>
      <c r="L16" s="2">
        <f>25.8/100</f>
        <v>0.25800000000000001</v>
      </c>
      <c r="M16" s="2">
        <f t="shared" si="9"/>
        <v>0.16091460000000002</v>
      </c>
    </row>
    <row r="17" spans="1:13" x14ac:dyDescent="0.25">
      <c r="A17" s="4">
        <v>27</v>
      </c>
      <c r="B17" s="4" t="s">
        <v>2</v>
      </c>
      <c r="C17" s="5">
        <f t="shared" si="0"/>
        <v>0.154</v>
      </c>
      <c r="D17" s="6">
        <f t="shared" si="4"/>
        <v>4.1580000000000004</v>
      </c>
      <c r="E17" s="6" t="s">
        <v>15</v>
      </c>
      <c r="F17" s="8">
        <f t="shared" si="6"/>
        <v>0.15</v>
      </c>
      <c r="G17" s="6">
        <f t="shared" si="7"/>
        <v>0.62370000000000003</v>
      </c>
      <c r="H17" s="6" t="s">
        <v>9</v>
      </c>
      <c r="I17" s="6">
        <f>48.7/100</f>
        <v>0.48700000000000004</v>
      </c>
      <c r="J17" s="8">
        <f t="shared" si="8"/>
        <v>0.30374190000000006</v>
      </c>
      <c r="K17" s="2" t="s">
        <v>37</v>
      </c>
      <c r="L17" s="2">
        <f>27.5/100</f>
        <v>0.27500000000000002</v>
      </c>
      <c r="M17" s="2">
        <f t="shared" si="9"/>
        <v>0.17151750000000002</v>
      </c>
    </row>
    <row r="18" spans="1:13" x14ac:dyDescent="0.25">
      <c r="A18" s="4">
        <v>27</v>
      </c>
      <c r="B18" s="4" t="s">
        <v>2</v>
      </c>
      <c r="C18" s="5">
        <f t="shared" si="0"/>
        <v>0.154</v>
      </c>
      <c r="D18" s="6">
        <f t="shared" si="4"/>
        <v>4.1580000000000004</v>
      </c>
      <c r="E18" s="6" t="s">
        <v>15</v>
      </c>
      <c r="F18" s="8">
        <f t="shared" si="6"/>
        <v>0.15</v>
      </c>
      <c r="G18" s="6">
        <f t="shared" si="7"/>
        <v>0.62370000000000003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27</v>
      </c>
      <c r="B19" s="4" t="s">
        <v>2</v>
      </c>
      <c r="C19" s="5">
        <f t="shared" si="0"/>
        <v>0.154</v>
      </c>
      <c r="D19" s="6">
        <f t="shared" si="4"/>
        <v>4.1580000000000004</v>
      </c>
      <c r="E19" s="6" t="s">
        <v>15</v>
      </c>
      <c r="F19" s="8">
        <f t="shared" si="6"/>
        <v>0.15</v>
      </c>
      <c r="G19" s="6">
        <f t="shared" si="7"/>
        <v>0.62370000000000003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27</v>
      </c>
      <c r="B20" s="4" t="s">
        <v>2</v>
      </c>
      <c r="C20" s="5">
        <f t="shared" si="0"/>
        <v>0.154</v>
      </c>
      <c r="D20" s="6">
        <f t="shared" si="4"/>
        <v>4.1580000000000004</v>
      </c>
      <c r="E20" s="6" t="s">
        <v>45</v>
      </c>
      <c r="F20" s="6">
        <f>17.8/100</f>
        <v>0.17800000000000002</v>
      </c>
      <c r="G20" s="6">
        <f>F20*D20</f>
        <v>0.74012400000000012</v>
      </c>
      <c r="H20" s="6" t="s">
        <v>11</v>
      </c>
      <c r="I20" s="6">
        <f>7.7/100</f>
        <v>7.6999999999999999E-2</v>
      </c>
      <c r="J20" s="6">
        <f>I20*G20</f>
        <v>5.6989548000000008E-2</v>
      </c>
      <c r="K20" s="2" t="s">
        <v>32</v>
      </c>
      <c r="L20" s="2">
        <f>2.7/100</f>
        <v>2.7000000000000003E-2</v>
      </c>
      <c r="M20" s="2">
        <f>L20*G20</f>
        <v>1.9983348000000005E-2</v>
      </c>
    </row>
    <row r="21" spans="1:13" x14ac:dyDescent="0.25">
      <c r="A21" s="4">
        <v>27</v>
      </c>
      <c r="B21" s="4" t="s">
        <v>2</v>
      </c>
      <c r="C21" s="5">
        <f t="shared" si="0"/>
        <v>0.154</v>
      </c>
      <c r="D21" s="6">
        <f t="shared" si="4"/>
        <v>4.1580000000000004</v>
      </c>
      <c r="E21" s="6" t="s">
        <v>16</v>
      </c>
      <c r="F21" s="6">
        <f t="shared" ref="F21:F27" si="10">17.8/100</f>
        <v>0.17800000000000002</v>
      </c>
      <c r="G21" s="6">
        <f t="shared" ref="G21:G98" si="11">F21*D21</f>
        <v>0.74012400000000012</v>
      </c>
      <c r="H21" s="6" t="s">
        <v>12</v>
      </c>
      <c r="I21" s="6">
        <f>2.6/100</f>
        <v>2.6000000000000002E-2</v>
      </c>
      <c r="J21" s="6">
        <f t="shared" ref="J21:J26" si="12">I21*G21</f>
        <v>1.9243224000000003E-2</v>
      </c>
      <c r="K21" s="2" t="s">
        <v>33</v>
      </c>
      <c r="L21" s="2">
        <f>10.3/100</f>
        <v>0.10300000000000001</v>
      </c>
      <c r="M21" s="2">
        <f t="shared" ref="M21:M27" si="13">L21*G21</f>
        <v>7.6232772000000018E-2</v>
      </c>
    </row>
    <row r="22" spans="1:13" x14ac:dyDescent="0.25">
      <c r="A22" s="4">
        <v>27</v>
      </c>
      <c r="B22" s="4" t="s">
        <v>2</v>
      </c>
      <c r="C22" s="5">
        <f t="shared" si="0"/>
        <v>0.154</v>
      </c>
      <c r="D22" s="6">
        <f t="shared" si="4"/>
        <v>4.1580000000000004</v>
      </c>
      <c r="E22" s="6" t="s">
        <v>16</v>
      </c>
      <c r="F22" s="6">
        <f t="shared" si="10"/>
        <v>0.17800000000000002</v>
      </c>
      <c r="G22" s="6">
        <f t="shared" si="11"/>
        <v>0.74012400000000012</v>
      </c>
      <c r="H22" s="6" t="s">
        <v>7</v>
      </c>
      <c r="I22" s="6">
        <f>5.4/100</f>
        <v>5.4000000000000006E-2</v>
      </c>
      <c r="J22" s="6">
        <f t="shared" si="12"/>
        <v>3.996669600000001E-2</v>
      </c>
      <c r="K22" s="2" t="s">
        <v>34</v>
      </c>
      <c r="L22" s="2">
        <f>18.3/100</f>
        <v>0.183</v>
      </c>
      <c r="M22" s="2">
        <f t="shared" si="13"/>
        <v>0.13544269200000003</v>
      </c>
    </row>
    <row r="23" spans="1:13" x14ac:dyDescent="0.25">
      <c r="A23" s="4">
        <v>27</v>
      </c>
      <c r="B23" s="4" t="s">
        <v>2</v>
      </c>
      <c r="C23" s="5">
        <f t="shared" si="0"/>
        <v>0.154</v>
      </c>
      <c r="D23" s="6">
        <f t="shared" si="4"/>
        <v>4.1580000000000004</v>
      </c>
      <c r="E23" s="6" t="s">
        <v>16</v>
      </c>
      <c r="F23" s="6">
        <f t="shared" si="10"/>
        <v>0.17800000000000002</v>
      </c>
      <c r="G23" s="6">
        <f t="shared" si="11"/>
        <v>0.74012400000000012</v>
      </c>
      <c r="H23" s="6" t="s">
        <v>8</v>
      </c>
      <c r="I23" s="6">
        <f>23/100</f>
        <v>0.23</v>
      </c>
      <c r="J23" s="6">
        <f t="shared" si="12"/>
        <v>0.17022852000000002</v>
      </c>
      <c r="K23" s="2" t="s">
        <v>35</v>
      </c>
      <c r="L23" s="2">
        <f>25.9/100</f>
        <v>0.25900000000000001</v>
      </c>
      <c r="M23" s="2">
        <f t="shared" si="13"/>
        <v>0.19169211600000002</v>
      </c>
    </row>
    <row r="24" spans="1:13" x14ac:dyDescent="0.25">
      <c r="A24" s="4">
        <v>27</v>
      </c>
      <c r="B24" s="4" t="s">
        <v>2</v>
      </c>
      <c r="C24" s="5">
        <f t="shared" si="0"/>
        <v>0.154</v>
      </c>
      <c r="D24" s="6">
        <f t="shared" si="4"/>
        <v>4.1580000000000004</v>
      </c>
      <c r="E24" s="6" t="s">
        <v>16</v>
      </c>
      <c r="F24" s="6">
        <f t="shared" si="10"/>
        <v>0.17800000000000002</v>
      </c>
      <c r="G24" s="6">
        <f t="shared" si="11"/>
        <v>0.74012400000000012</v>
      </c>
      <c r="H24" s="6" t="s">
        <v>10</v>
      </c>
      <c r="I24" s="6">
        <f>7.1/100</f>
        <v>7.0999999999999994E-2</v>
      </c>
      <c r="J24" s="6">
        <f t="shared" si="12"/>
        <v>5.2548804000000005E-2</v>
      </c>
      <c r="K24" s="2" t="s">
        <v>36</v>
      </c>
      <c r="L24" s="2">
        <f>22.3/100</f>
        <v>0.223</v>
      </c>
      <c r="M24" s="2">
        <f t="shared" si="13"/>
        <v>0.16504765200000002</v>
      </c>
    </row>
    <row r="25" spans="1:13" x14ac:dyDescent="0.25">
      <c r="A25" s="4">
        <v>27</v>
      </c>
      <c r="B25" s="4" t="s">
        <v>2</v>
      </c>
      <c r="C25" s="5">
        <f t="shared" si="0"/>
        <v>0.154</v>
      </c>
      <c r="D25" s="6">
        <f t="shared" si="4"/>
        <v>4.1580000000000004</v>
      </c>
      <c r="E25" s="6" t="s">
        <v>16</v>
      </c>
      <c r="F25" s="6">
        <f t="shared" si="10"/>
        <v>0.17800000000000002</v>
      </c>
      <c r="G25" s="6">
        <f t="shared" si="11"/>
        <v>0.74012400000000012</v>
      </c>
      <c r="H25" s="6" t="s">
        <v>9</v>
      </c>
      <c r="I25" s="6">
        <f>53.1/100</f>
        <v>0.53100000000000003</v>
      </c>
      <c r="J25" s="6">
        <f t="shared" si="12"/>
        <v>0.3930058440000001</v>
      </c>
      <c r="K25" s="2" t="s">
        <v>37</v>
      </c>
      <c r="L25" s="2">
        <f>18.2/100</f>
        <v>0.182</v>
      </c>
      <c r="M25" s="2">
        <f t="shared" si="13"/>
        <v>0.13470256800000002</v>
      </c>
    </row>
    <row r="26" spans="1:13" x14ac:dyDescent="0.25">
      <c r="A26" s="4">
        <v>27</v>
      </c>
      <c r="B26" s="4" t="s">
        <v>2</v>
      </c>
      <c r="C26" s="5">
        <f t="shared" si="0"/>
        <v>0.154</v>
      </c>
      <c r="D26" s="6">
        <f t="shared" si="4"/>
        <v>4.1580000000000004</v>
      </c>
      <c r="E26" s="6" t="s">
        <v>16</v>
      </c>
      <c r="F26" s="6">
        <f t="shared" si="10"/>
        <v>0.17800000000000002</v>
      </c>
      <c r="G26" s="6">
        <f t="shared" si="11"/>
        <v>0.74012400000000012</v>
      </c>
      <c r="H26" s="6" t="s">
        <v>55</v>
      </c>
      <c r="I26" s="6">
        <f>1/100</f>
        <v>0.01</v>
      </c>
      <c r="J26" s="6">
        <f t="shared" si="12"/>
        <v>7.4012400000000016E-3</v>
      </c>
      <c r="K26" s="2" t="s">
        <v>38</v>
      </c>
      <c r="L26" s="2">
        <f>1.3/100</f>
        <v>1.3000000000000001E-2</v>
      </c>
      <c r="M26" s="2">
        <f t="shared" si="13"/>
        <v>9.6216120000000016E-3</v>
      </c>
    </row>
    <row r="27" spans="1:13" x14ac:dyDescent="0.25">
      <c r="A27" s="4">
        <v>27</v>
      </c>
      <c r="B27" s="4" t="s">
        <v>2</v>
      </c>
      <c r="C27" s="5">
        <f t="shared" si="0"/>
        <v>0.154</v>
      </c>
      <c r="D27" s="6">
        <f t="shared" si="4"/>
        <v>4.1580000000000004</v>
      </c>
      <c r="E27" s="6" t="s">
        <v>16</v>
      </c>
      <c r="F27" s="6">
        <f t="shared" si="10"/>
        <v>0.17800000000000002</v>
      </c>
      <c r="G27" s="6">
        <f t="shared" si="11"/>
        <v>0.74012400000000012</v>
      </c>
      <c r="H27" s="6"/>
      <c r="I27" s="6"/>
      <c r="J27" s="6"/>
      <c r="K27" s="2" t="s">
        <v>39</v>
      </c>
      <c r="L27" s="2">
        <f>0.9/100</f>
        <v>9.0000000000000011E-3</v>
      </c>
      <c r="M27" s="2">
        <f t="shared" si="13"/>
        <v>6.6611160000000016E-3</v>
      </c>
    </row>
    <row r="28" spans="1:13" x14ac:dyDescent="0.25">
      <c r="A28" s="4">
        <v>27</v>
      </c>
      <c r="B28" s="4" t="s">
        <v>2</v>
      </c>
      <c r="C28" s="5">
        <f t="shared" si="0"/>
        <v>0.154</v>
      </c>
      <c r="D28" s="6">
        <f t="shared" si="4"/>
        <v>4.1580000000000004</v>
      </c>
      <c r="E28" s="6" t="s">
        <v>46</v>
      </c>
      <c r="F28" s="8">
        <f>16.9/100</f>
        <v>0.16899999999999998</v>
      </c>
      <c r="G28" s="6">
        <f t="shared" si="11"/>
        <v>0.70270199999999994</v>
      </c>
      <c r="H28" s="6" t="s">
        <v>11</v>
      </c>
      <c r="I28" s="8">
        <f>27/100</f>
        <v>0.27</v>
      </c>
      <c r="J28" s="8">
        <f>I28*G28</f>
        <v>0.18972954</v>
      </c>
      <c r="K28" s="2" t="s">
        <v>32</v>
      </c>
      <c r="L28" s="2">
        <f>2.6/100</f>
        <v>2.6000000000000002E-2</v>
      </c>
      <c r="M28" s="2">
        <f>L28*G28</f>
        <v>1.8270252000000001E-2</v>
      </c>
    </row>
    <row r="29" spans="1:13" x14ac:dyDescent="0.25">
      <c r="A29" s="4">
        <v>27</v>
      </c>
      <c r="B29" s="4" t="s">
        <v>2</v>
      </c>
      <c r="C29" s="5">
        <f t="shared" si="0"/>
        <v>0.154</v>
      </c>
      <c r="D29" s="6">
        <f t="shared" si="4"/>
        <v>4.1580000000000004</v>
      </c>
      <c r="E29" s="6" t="s">
        <v>13</v>
      </c>
      <c r="F29" s="8">
        <f t="shared" ref="F29:F35" si="14">16.9/100</f>
        <v>0.16899999999999998</v>
      </c>
      <c r="G29" s="6">
        <f t="shared" si="11"/>
        <v>0.70270199999999994</v>
      </c>
      <c r="H29" s="6" t="s">
        <v>12</v>
      </c>
      <c r="I29" s="8">
        <f>6.1/100</f>
        <v>6.0999999999999999E-2</v>
      </c>
      <c r="J29" s="8">
        <f t="shared" ref="J29:J33" si="15">I29*G29</f>
        <v>4.2864821999999997E-2</v>
      </c>
      <c r="K29" s="2" t="s">
        <v>33</v>
      </c>
      <c r="L29" s="2">
        <f>6.3/100</f>
        <v>6.3E-2</v>
      </c>
      <c r="M29" s="2">
        <f t="shared" ref="M29:M31" si="16">L29*G29</f>
        <v>4.4270225999999996E-2</v>
      </c>
    </row>
    <row r="30" spans="1:13" x14ac:dyDescent="0.25">
      <c r="A30" s="4">
        <v>27</v>
      </c>
      <c r="B30" s="4" t="s">
        <v>2</v>
      </c>
      <c r="C30" s="5">
        <f t="shared" si="0"/>
        <v>0.154</v>
      </c>
      <c r="D30" s="6">
        <f t="shared" si="4"/>
        <v>4.1580000000000004</v>
      </c>
      <c r="E30" s="6" t="s">
        <v>13</v>
      </c>
      <c r="F30" s="8">
        <f t="shared" si="14"/>
        <v>0.16899999999999998</v>
      </c>
      <c r="G30" s="6">
        <f t="shared" si="11"/>
        <v>0.70270199999999994</v>
      </c>
      <c r="H30" s="6" t="s">
        <v>7</v>
      </c>
      <c r="I30" s="8">
        <f>8.1/100</f>
        <v>8.1000000000000003E-2</v>
      </c>
      <c r="J30" s="8">
        <f t="shared" si="15"/>
        <v>5.6918861999999994E-2</v>
      </c>
      <c r="K30" s="2" t="s">
        <v>34</v>
      </c>
      <c r="L30" s="2">
        <f>11.9/100</f>
        <v>0.11900000000000001</v>
      </c>
      <c r="M30" s="2">
        <f t="shared" si="16"/>
        <v>8.3621537999999995E-2</v>
      </c>
    </row>
    <row r="31" spans="1:13" x14ac:dyDescent="0.25">
      <c r="A31" s="4">
        <v>27</v>
      </c>
      <c r="B31" s="4" t="s">
        <v>2</v>
      </c>
      <c r="C31" s="5">
        <f t="shared" si="0"/>
        <v>0.154</v>
      </c>
      <c r="D31" s="6">
        <f t="shared" si="4"/>
        <v>4.1580000000000004</v>
      </c>
      <c r="E31" s="6" t="s">
        <v>13</v>
      </c>
      <c r="F31" s="8">
        <f t="shared" si="14"/>
        <v>0.16899999999999998</v>
      </c>
      <c r="G31" s="6">
        <f t="shared" si="11"/>
        <v>0.70270199999999994</v>
      </c>
      <c r="H31" s="6" t="s">
        <v>8</v>
      </c>
      <c r="I31" s="8">
        <f>30.4/100</f>
        <v>0.30399999999999999</v>
      </c>
      <c r="J31" s="8">
        <f t="shared" si="15"/>
        <v>0.21362140799999998</v>
      </c>
      <c r="K31" s="2" t="s">
        <v>35</v>
      </c>
      <c r="L31" s="2">
        <f>27.8/100</f>
        <v>0.27800000000000002</v>
      </c>
      <c r="M31" s="2">
        <f t="shared" si="16"/>
        <v>0.195351156</v>
      </c>
    </row>
    <row r="32" spans="1:13" x14ac:dyDescent="0.25">
      <c r="A32" s="4">
        <v>27</v>
      </c>
      <c r="B32" s="4" t="s">
        <v>2</v>
      </c>
      <c r="C32" s="5">
        <f t="shared" si="0"/>
        <v>0.154</v>
      </c>
      <c r="D32" s="6">
        <f t="shared" si="4"/>
        <v>4.1580000000000004</v>
      </c>
      <c r="E32" s="6" t="s">
        <v>13</v>
      </c>
      <c r="F32" s="8">
        <f t="shared" si="14"/>
        <v>0.16899999999999998</v>
      </c>
      <c r="G32" s="6">
        <f t="shared" si="11"/>
        <v>0.70270199999999994</v>
      </c>
      <c r="H32" s="6" t="s">
        <v>10</v>
      </c>
      <c r="I32" s="8">
        <f>7.1/100</f>
        <v>7.0999999999999994E-2</v>
      </c>
      <c r="J32" s="8">
        <f t="shared" si="15"/>
        <v>4.9891841999999992E-2</v>
      </c>
      <c r="K32" s="2" t="s">
        <v>36</v>
      </c>
      <c r="L32" s="2">
        <f>29.9/100</f>
        <v>0.29899999999999999</v>
      </c>
      <c r="M32" s="2" t="e">
        <f>#REF!*G32</f>
        <v>#REF!</v>
      </c>
    </row>
    <row r="33" spans="1:13" x14ac:dyDescent="0.25">
      <c r="A33" s="4">
        <v>27</v>
      </c>
      <c r="B33" s="4" t="s">
        <v>2</v>
      </c>
      <c r="C33" s="5">
        <f t="shared" si="0"/>
        <v>0.154</v>
      </c>
      <c r="D33" s="6">
        <f t="shared" si="4"/>
        <v>4.1580000000000004</v>
      </c>
      <c r="E33" s="6" t="s">
        <v>13</v>
      </c>
      <c r="F33" s="8">
        <f t="shared" si="14"/>
        <v>0.16899999999999998</v>
      </c>
      <c r="G33" s="6">
        <f t="shared" si="11"/>
        <v>0.70270199999999994</v>
      </c>
      <c r="H33" s="6" t="s">
        <v>9</v>
      </c>
      <c r="I33" s="8">
        <f>20.6/100</f>
        <v>0.20600000000000002</v>
      </c>
      <c r="J33" s="8">
        <f t="shared" si="15"/>
        <v>0.14475661200000001</v>
      </c>
      <c r="K33" s="2" t="s">
        <v>37</v>
      </c>
      <c r="L33" s="2">
        <f>18.5/100</f>
        <v>0.185</v>
      </c>
      <c r="M33" s="2">
        <f>L32*G33</f>
        <v>0.21010789799999996</v>
      </c>
    </row>
    <row r="34" spans="1:13" x14ac:dyDescent="0.25">
      <c r="A34" s="4">
        <v>27</v>
      </c>
      <c r="B34" s="4" t="s">
        <v>2</v>
      </c>
      <c r="C34" s="5">
        <f t="shared" si="0"/>
        <v>0.154</v>
      </c>
      <c r="D34" s="6">
        <f t="shared" si="4"/>
        <v>4.1580000000000004</v>
      </c>
      <c r="E34" s="6" t="s">
        <v>13</v>
      </c>
      <c r="F34" s="8">
        <f t="shared" si="14"/>
        <v>0.16899999999999998</v>
      </c>
      <c r="G34" s="6">
        <f t="shared" si="11"/>
        <v>0.70270199999999994</v>
      </c>
      <c r="H34" s="6" t="s">
        <v>55</v>
      </c>
      <c r="I34" s="8">
        <f>0.8/100</f>
        <v>8.0000000000000002E-3</v>
      </c>
      <c r="J34" s="8"/>
      <c r="K34" s="2" t="s">
        <v>38</v>
      </c>
      <c r="L34" s="2">
        <f>1.8/100</f>
        <v>1.8000000000000002E-2</v>
      </c>
      <c r="M34" s="2">
        <f>L33*G34</f>
        <v>0.12999986999999999</v>
      </c>
    </row>
    <row r="35" spans="1:13" x14ac:dyDescent="0.25">
      <c r="A35" s="4">
        <v>27</v>
      </c>
      <c r="B35" s="4" t="s">
        <v>2</v>
      </c>
      <c r="C35" s="5">
        <f t="shared" si="0"/>
        <v>0.154</v>
      </c>
      <c r="D35" s="6">
        <f t="shared" si="4"/>
        <v>4.1580000000000004</v>
      </c>
      <c r="E35" s="6" t="s">
        <v>13</v>
      </c>
      <c r="F35" s="8">
        <f t="shared" si="14"/>
        <v>0.16899999999999998</v>
      </c>
      <c r="G35" s="6">
        <f t="shared" si="11"/>
        <v>0.70270199999999994</v>
      </c>
      <c r="H35" s="6"/>
      <c r="I35" s="8"/>
      <c r="J35" s="8"/>
      <c r="K35" s="2" t="s">
        <v>39</v>
      </c>
      <c r="L35" s="2">
        <f>0.9/100</f>
        <v>9.0000000000000011E-3</v>
      </c>
      <c r="M35" s="2">
        <f>L34*G35</f>
        <v>1.2648636E-2</v>
      </c>
    </row>
    <row r="36" spans="1:13" x14ac:dyDescent="0.25">
      <c r="A36" s="4">
        <v>27</v>
      </c>
      <c r="B36" s="4" t="s">
        <v>2</v>
      </c>
      <c r="C36" s="5">
        <f t="shared" si="0"/>
        <v>0.154</v>
      </c>
      <c r="D36" s="6">
        <f t="shared" si="4"/>
        <v>4.1580000000000004</v>
      </c>
      <c r="E36" s="8" t="s">
        <v>47</v>
      </c>
      <c r="F36" s="6">
        <f>10.1/100</f>
        <v>0.10099999999999999</v>
      </c>
      <c r="G36" s="6">
        <f t="shared" si="11"/>
        <v>0.419958</v>
      </c>
      <c r="H36" s="6" t="s">
        <v>11</v>
      </c>
      <c r="I36" s="6">
        <f>9.5/100</f>
        <v>9.5000000000000001E-2</v>
      </c>
      <c r="J36" s="6">
        <f>I36*G36</f>
        <v>3.9896010000000003E-2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27</v>
      </c>
      <c r="B37" s="4" t="s">
        <v>2</v>
      </c>
      <c r="C37" s="5">
        <f t="shared" si="0"/>
        <v>0.154</v>
      </c>
      <c r="D37" s="6">
        <f t="shared" si="4"/>
        <v>4.1580000000000004</v>
      </c>
      <c r="E37" s="8" t="s">
        <v>17</v>
      </c>
      <c r="F37" s="6">
        <f t="shared" ref="F37:F43" si="17">10.1/100</f>
        <v>0.10099999999999999</v>
      </c>
      <c r="G37" s="6">
        <f t="shared" si="11"/>
        <v>0.419958</v>
      </c>
      <c r="H37" s="6" t="s">
        <v>12</v>
      </c>
      <c r="I37" s="6">
        <f>0/100</f>
        <v>0</v>
      </c>
      <c r="J37" s="6">
        <f t="shared" ref="J37:J41" si="18">I37*G37</f>
        <v>0</v>
      </c>
      <c r="K37" s="2" t="s">
        <v>33</v>
      </c>
      <c r="L37" s="2">
        <f>11.4/100</f>
        <v>0.114</v>
      </c>
      <c r="M37" s="2">
        <f t="shared" ref="M37:M43" si="19">L37*G37</f>
        <v>4.7875212E-2</v>
      </c>
    </row>
    <row r="38" spans="1:13" x14ac:dyDescent="0.25">
      <c r="A38" s="4">
        <v>27</v>
      </c>
      <c r="B38" s="4" t="s">
        <v>2</v>
      </c>
      <c r="C38" s="5">
        <f t="shared" si="0"/>
        <v>0.154</v>
      </c>
      <c r="D38" s="6">
        <f t="shared" si="4"/>
        <v>4.1580000000000004</v>
      </c>
      <c r="E38" s="8" t="s">
        <v>17</v>
      </c>
      <c r="F38" s="6">
        <f t="shared" si="17"/>
        <v>0.10099999999999999</v>
      </c>
      <c r="G38" s="6">
        <f t="shared" si="11"/>
        <v>0.419958</v>
      </c>
      <c r="H38" s="6" t="s">
        <v>7</v>
      </c>
      <c r="I38" s="6">
        <f t="shared" ref="I38" si="20">0/100</f>
        <v>0</v>
      </c>
      <c r="J38" s="6">
        <f t="shared" si="18"/>
        <v>0</v>
      </c>
      <c r="K38" s="2" t="s">
        <v>34</v>
      </c>
      <c r="L38" s="2">
        <f>25.9/100</f>
        <v>0.25900000000000001</v>
      </c>
      <c r="M38" s="2">
        <f t="shared" si="19"/>
        <v>0.10876912200000001</v>
      </c>
    </row>
    <row r="39" spans="1:13" x14ac:dyDescent="0.25">
      <c r="A39" s="4">
        <v>27</v>
      </c>
      <c r="B39" s="4" t="s">
        <v>2</v>
      </c>
      <c r="C39" s="5">
        <f t="shared" si="0"/>
        <v>0.154</v>
      </c>
      <c r="D39" s="6">
        <f t="shared" si="4"/>
        <v>4.1580000000000004</v>
      </c>
      <c r="E39" s="8" t="s">
        <v>17</v>
      </c>
      <c r="F39" s="6">
        <f t="shared" si="17"/>
        <v>0.10099999999999999</v>
      </c>
      <c r="G39" s="6">
        <f t="shared" si="11"/>
        <v>0.419958</v>
      </c>
      <c r="H39" s="6" t="s">
        <v>8</v>
      </c>
      <c r="I39" s="6">
        <f>40.7/100</f>
        <v>0.40700000000000003</v>
      </c>
      <c r="J39" s="6">
        <f t="shared" si="18"/>
        <v>0.17092290600000001</v>
      </c>
      <c r="K39" s="2" t="s">
        <v>35</v>
      </c>
      <c r="L39" s="2">
        <f>38.8/100</f>
        <v>0.38799999999999996</v>
      </c>
      <c r="M39" s="2">
        <f t="shared" si="19"/>
        <v>0.16294370399999997</v>
      </c>
    </row>
    <row r="40" spans="1:13" x14ac:dyDescent="0.25">
      <c r="A40" s="4">
        <v>27</v>
      </c>
      <c r="B40" s="4" t="s">
        <v>2</v>
      </c>
      <c r="C40" s="5">
        <f t="shared" si="0"/>
        <v>0.154</v>
      </c>
      <c r="D40" s="6">
        <f t="shared" si="4"/>
        <v>4.1580000000000004</v>
      </c>
      <c r="E40" s="8" t="s">
        <v>17</v>
      </c>
      <c r="F40" s="6">
        <f t="shared" si="17"/>
        <v>0.10099999999999999</v>
      </c>
      <c r="G40" s="6">
        <f t="shared" si="11"/>
        <v>0.419958</v>
      </c>
      <c r="H40" s="6" t="s">
        <v>10</v>
      </c>
      <c r="I40" s="6">
        <f>7.9/100</f>
        <v>7.9000000000000001E-2</v>
      </c>
      <c r="J40" s="6">
        <f t="shared" si="18"/>
        <v>3.3176681999999999E-2</v>
      </c>
      <c r="K40" s="2" t="s">
        <v>36</v>
      </c>
      <c r="L40" s="2">
        <f>9.5/100</f>
        <v>9.5000000000000001E-2</v>
      </c>
      <c r="M40" s="2">
        <f t="shared" si="19"/>
        <v>3.9896010000000003E-2</v>
      </c>
    </row>
    <row r="41" spans="1:13" x14ac:dyDescent="0.25">
      <c r="A41" s="4">
        <v>27</v>
      </c>
      <c r="B41" s="4" t="s">
        <v>2</v>
      </c>
      <c r="C41" s="5">
        <f t="shared" si="0"/>
        <v>0.154</v>
      </c>
      <c r="D41" s="6">
        <f t="shared" si="4"/>
        <v>4.1580000000000004</v>
      </c>
      <c r="E41" s="8" t="s">
        <v>17</v>
      </c>
      <c r="F41" s="6">
        <f t="shared" si="17"/>
        <v>0.10099999999999999</v>
      </c>
      <c r="G41" s="6">
        <f t="shared" si="11"/>
        <v>0.419958</v>
      </c>
      <c r="H41" s="6" t="s">
        <v>9</v>
      </c>
      <c r="I41" s="6">
        <f>41.9/100</f>
        <v>0.41899999999999998</v>
      </c>
      <c r="J41" s="6">
        <f t="shared" si="18"/>
        <v>0.17596240199999999</v>
      </c>
      <c r="K41" s="2" t="s">
        <v>37</v>
      </c>
      <c r="L41" s="2">
        <f>14.4/100</f>
        <v>0.14400000000000002</v>
      </c>
      <c r="M41" s="2">
        <f t="shared" si="19"/>
        <v>6.0473952000000004E-2</v>
      </c>
    </row>
    <row r="42" spans="1:13" x14ac:dyDescent="0.25">
      <c r="A42" s="4">
        <v>27</v>
      </c>
      <c r="B42" s="4" t="s">
        <v>2</v>
      </c>
      <c r="C42" s="5">
        <f t="shared" si="0"/>
        <v>0.154</v>
      </c>
      <c r="D42" s="6">
        <f t="shared" si="4"/>
        <v>4.1580000000000004</v>
      </c>
      <c r="E42" s="8" t="s">
        <v>17</v>
      </c>
      <c r="F42" s="6">
        <f t="shared" si="17"/>
        <v>0.10099999999999999</v>
      </c>
      <c r="G42" s="6">
        <f t="shared" si="11"/>
        <v>0.419958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27</v>
      </c>
      <c r="B43" s="4" t="s">
        <v>2</v>
      </c>
      <c r="C43" s="5">
        <f t="shared" si="0"/>
        <v>0.154</v>
      </c>
      <c r="D43" s="6">
        <f t="shared" si="4"/>
        <v>4.1580000000000004</v>
      </c>
      <c r="E43" s="8" t="s">
        <v>17</v>
      </c>
      <c r="F43" s="6">
        <f t="shared" si="17"/>
        <v>0.10099999999999999</v>
      </c>
      <c r="G43" s="6">
        <f t="shared" si="11"/>
        <v>0.419958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27</v>
      </c>
      <c r="B44" s="4" t="s">
        <v>2</v>
      </c>
      <c r="C44" s="5">
        <f t="shared" si="0"/>
        <v>0.154</v>
      </c>
      <c r="D44" s="6">
        <f t="shared" si="4"/>
        <v>4.1580000000000004</v>
      </c>
      <c r="E44" s="2" t="s">
        <v>18</v>
      </c>
      <c r="F44" s="6">
        <f>8.9/100</f>
        <v>8.900000000000001E-2</v>
      </c>
      <c r="G44" s="6">
        <f t="shared" si="11"/>
        <v>0.37006200000000006</v>
      </c>
      <c r="H44" s="6" t="s">
        <v>11</v>
      </c>
      <c r="I44" s="8">
        <f>36/100</f>
        <v>0.36</v>
      </c>
      <c r="J44" s="6">
        <f>I44*G44</f>
        <v>0.13322232000000001</v>
      </c>
      <c r="K44" s="2" t="s">
        <v>32</v>
      </c>
      <c r="L44" s="2">
        <f>2.9/100</f>
        <v>2.8999999999999998E-2</v>
      </c>
      <c r="M44" s="2">
        <f>L44*G44</f>
        <v>1.0731798000000001E-2</v>
      </c>
    </row>
    <row r="45" spans="1:13" x14ac:dyDescent="0.25">
      <c r="A45" s="4">
        <v>27</v>
      </c>
      <c r="B45" s="4" t="s">
        <v>2</v>
      </c>
      <c r="C45" s="5">
        <f t="shared" si="0"/>
        <v>0.154</v>
      </c>
      <c r="D45" s="6">
        <f t="shared" si="4"/>
        <v>4.1580000000000004</v>
      </c>
      <c r="E45" s="2" t="s">
        <v>18</v>
      </c>
      <c r="F45" s="6">
        <f t="shared" ref="F45:F51" si="21">8.9/100</f>
        <v>8.900000000000001E-2</v>
      </c>
      <c r="G45" s="6">
        <f t="shared" si="11"/>
        <v>0.37006200000000006</v>
      </c>
      <c r="H45" s="6" t="s">
        <v>12</v>
      </c>
      <c r="I45" s="8">
        <f>4/100</f>
        <v>0.04</v>
      </c>
      <c r="J45" s="6">
        <f t="shared" ref="J45:J49" si="22">I45*G45</f>
        <v>1.4802480000000003E-2</v>
      </c>
      <c r="K45" s="2" t="s">
        <v>33</v>
      </c>
      <c r="L45" s="2">
        <f>10.6/100</f>
        <v>0.106</v>
      </c>
      <c r="M45" s="2">
        <f t="shared" ref="M45:M51" si="23">L45*G45</f>
        <v>3.9226572000000008E-2</v>
      </c>
    </row>
    <row r="46" spans="1:13" x14ac:dyDescent="0.25">
      <c r="A46" s="4">
        <v>27</v>
      </c>
      <c r="B46" s="4" t="s">
        <v>2</v>
      </c>
      <c r="C46" s="5">
        <f t="shared" si="0"/>
        <v>0.154</v>
      </c>
      <c r="D46" s="6">
        <f t="shared" si="4"/>
        <v>4.1580000000000004</v>
      </c>
      <c r="E46" s="2" t="s">
        <v>18</v>
      </c>
      <c r="F46" s="6">
        <f t="shared" si="21"/>
        <v>8.900000000000001E-2</v>
      </c>
      <c r="G46" s="6">
        <f t="shared" si="11"/>
        <v>0.37006200000000006</v>
      </c>
      <c r="H46" s="6" t="s">
        <v>7</v>
      </c>
      <c r="I46" s="8">
        <f>6.2/100</f>
        <v>6.2E-2</v>
      </c>
      <c r="J46" s="6">
        <f t="shared" si="22"/>
        <v>2.2943844000000005E-2</v>
      </c>
      <c r="K46" s="2" t="s">
        <v>34</v>
      </c>
      <c r="L46" s="2">
        <f>10.5/100</f>
        <v>0.105</v>
      </c>
      <c r="M46" s="2">
        <f t="shared" si="23"/>
        <v>3.8856510000000004E-2</v>
      </c>
    </row>
    <row r="47" spans="1:13" x14ac:dyDescent="0.25">
      <c r="A47" s="4">
        <v>27</v>
      </c>
      <c r="B47" s="4" t="s">
        <v>2</v>
      </c>
      <c r="C47" s="5">
        <f t="shared" si="0"/>
        <v>0.154</v>
      </c>
      <c r="D47" s="6">
        <f t="shared" si="4"/>
        <v>4.1580000000000004</v>
      </c>
      <c r="E47" s="2" t="s">
        <v>18</v>
      </c>
      <c r="F47" s="6">
        <f t="shared" si="21"/>
        <v>8.900000000000001E-2</v>
      </c>
      <c r="G47" s="6">
        <f t="shared" si="11"/>
        <v>0.37006200000000006</v>
      </c>
      <c r="H47" s="6" t="s">
        <v>8</v>
      </c>
      <c r="I47" s="8">
        <f>20.3/100</f>
        <v>0.20300000000000001</v>
      </c>
      <c r="J47" s="6">
        <f>I50*G47</f>
        <v>7.401240000000001E-4</v>
      </c>
      <c r="K47" s="2" t="s">
        <v>35</v>
      </c>
      <c r="L47" s="2">
        <f>28.8/100</f>
        <v>0.28800000000000003</v>
      </c>
      <c r="M47" s="2">
        <f t="shared" si="23"/>
        <v>0.10657785600000003</v>
      </c>
    </row>
    <row r="48" spans="1:13" x14ac:dyDescent="0.25">
      <c r="A48" s="4">
        <v>27</v>
      </c>
      <c r="B48" s="4" t="s">
        <v>2</v>
      </c>
      <c r="C48" s="5">
        <f t="shared" si="0"/>
        <v>0.154</v>
      </c>
      <c r="D48" s="6">
        <f t="shared" si="4"/>
        <v>4.1580000000000004</v>
      </c>
      <c r="E48" s="2" t="s">
        <v>18</v>
      </c>
      <c r="F48" s="6">
        <f t="shared" si="21"/>
        <v>8.900000000000001E-2</v>
      </c>
      <c r="G48" s="6">
        <f t="shared" si="11"/>
        <v>0.37006200000000006</v>
      </c>
      <c r="H48" s="6" t="s">
        <v>10</v>
      </c>
      <c r="I48" s="8">
        <f>9.6/100</f>
        <v>9.6000000000000002E-2</v>
      </c>
      <c r="J48" s="6">
        <f>I47*G48</f>
        <v>7.5122586000000019E-2</v>
      </c>
      <c r="K48" s="2" t="s">
        <v>36</v>
      </c>
      <c r="L48" s="2">
        <f>27.5/100</f>
        <v>0.27500000000000002</v>
      </c>
      <c r="M48" s="2">
        <f t="shared" si="23"/>
        <v>0.10176705000000003</v>
      </c>
    </row>
    <row r="49" spans="1:13" x14ac:dyDescent="0.25">
      <c r="A49" s="4">
        <v>27</v>
      </c>
      <c r="B49" s="4" t="s">
        <v>2</v>
      </c>
      <c r="C49" s="5">
        <f t="shared" si="0"/>
        <v>0.154</v>
      </c>
      <c r="D49" s="6">
        <f t="shared" si="4"/>
        <v>4.1580000000000004</v>
      </c>
      <c r="E49" s="2" t="s">
        <v>48</v>
      </c>
      <c r="F49" s="6">
        <f t="shared" si="21"/>
        <v>8.900000000000001E-2</v>
      </c>
      <c r="G49" s="6">
        <f t="shared" si="11"/>
        <v>0.37006200000000006</v>
      </c>
      <c r="H49" s="6" t="s">
        <v>9</v>
      </c>
      <c r="I49" s="8">
        <f>23.7/100</f>
        <v>0.23699999999999999</v>
      </c>
      <c r="J49" s="6">
        <f t="shared" si="22"/>
        <v>8.7704694000000014E-2</v>
      </c>
      <c r="K49" s="2" t="s">
        <v>37</v>
      </c>
      <c r="L49" s="2">
        <f>16.5/100</f>
        <v>0.16500000000000001</v>
      </c>
      <c r="M49" s="2">
        <f t="shared" si="23"/>
        <v>6.1060230000000014E-2</v>
      </c>
    </row>
    <row r="50" spans="1:13" x14ac:dyDescent="0.25">
      <c r="A50" s="4">
        <v>27</v>
      </c>
      <c r="B50" s="4" t="s">
        <v>2</v>
      </c>
      <c r="C50" s="5">
        <f t="shared" si="0"/>
        <v>0.154</v>
      </c>
      <c r="D50" s="6">
        <f t="shared" si="4"/>
        <v>4.1580000000000004</v>
      </c>
      <c r="E50" s="2" t="s">
        <v>18</v>
      </c>
      <c r="F50" s="6">
        <f t="shared" si="21"/>
        <v>8.900000000000001E-2</v>
      </c>
      <c r="G50" s="6">
        <f t="shared" si="11"/>
        <v>0.37006200000000006</v>
      </c>
      <c r="H50" s="6" t="s">
        <v>55</v>
      </c>
      <c r="I50" s="8">
        <f>0.2/100</f>
        <v>2E-3</v>
      </c>
      <c r="J50" s="6"/>
      <c r="K50" s="2" t="s">
        <v>38</v>
      </c>
      <c r="L50" s="2">
        <f>2/100</f>
        <v>0.02</v>
      </c>
      <c r="M50" s="2">
        <f t="shared" si="23"/>
        <v>7.4012400000000016E-3</v>
      </c>
    </row>
    <row r="51" spans="1:13" x14ac:dyDescent="0.25">
      <c r="A51" s="4">
        <v>27</v>
      </c>
      <c r="B51" s="4" t="s">
        <v>2</v>
      </c>
      <c r="C51" s="5">
        <f t="shared" si="0"/>
        <v>0.154</v>
      </c>
      <c r="D51" s="6">
        <f t="shared" si="4"/>
        <v>4.1580000000000004</v>
      </c>
      <c r="E51" s="2" t="s">
        <v>18</v>
      </c>
      <c r="F51" s="6">
        <f t="shared" si="21"/>
        <v>8.900000000000001E-2</v>
      </c>
      <c r="G51" s="6">
        <f t="shared" si="11"/>
        <v>0.37006200000000006</v>
      </c>
      <c r="H51" s="6"/>
      <c r="I51" s="6"/>
      <c r="J51" s="6"/>
      <c r="K51" s="2" t="s">
        <v>39</v>
      </c>
      <c r="L51" s="2">
        <f>1.2/100</f>
        <v>1.2E-2</v>
      </c>
      <c r="M51" s="2">
        <f t="shared" si="23"/>
        <v>4.4407440000000008E-3</v>
      </c>
    </row>
    <row r="52" spans="1:13" x14ac:dyDescent="0.25">
      <c r="A52" s="4">
        <v>27</v>
      </c>
      <c r="B52" s="2" t="s">
        <v>19</v>
      </c>
      <c r="C52" s="6">
        <f>84.6/100</f>
        <v>0.84599999999999997</v>
      </c>
      <c r="D52" s="6">
        <f t="shared" si="4"/>
        <v>22.841999999999999</v>
      </c>
      <c r="E52" s="6" t="s">
        <v>54</v>
      </c>
      <c r="F52" s="6">
        <f>82/100</f>
        <v>0.82</v>
      </c>
      <c r="G52" s="6">
        <f t="shared" si="11"/>
        <v>18.730439999999998</v>
      </c>
      <c r="H52" s="6" t="s">
        <v>11</v>
      </c>
      <c r="I52" s="6">
        <f>12.3/100</f>
        <v>0.12300000000000001</v>
      </c>
      <c r="J52" s="6">
        <f>I52*G52</f>
        <v>2.3038441199999999</v>
      </c>
      <c r="K52" s="2" t="s">
        <v>32</v>
      </c>
      <c r="L52" s="2">
        <f>4.8/100</f>
        <v>4.8000000000000001E-2</v>
      </c>
      <c r="M52" s="2">
        <f>L52*G52</f>
        <v>0.89906111999999994</v>
      </c>
    </row>
    <row r="53" spans="1:13" x14ac:dyDescent="0.25">
      <c r="A53" s="4">
        <v>27</v>
      </c>
      <c r="B53" s="2" t="s">
        <v>19</v>
      </c>
      <c r="C53" s="6">
        <f t="shared" ref="C53:C99" si="24">84.6/100</f>
        <v>0.84599999999999997</v>
      </c>
      <c r="D53" s="6">
        <f t="shared" si="4"/>
        <v>22.841999999999999</v>
      </c>
      <c r="E53" s="6" t="s">
        <v>14</v>
      </c>
      <c r="F53" s="6">
        <f t="shared" ref="F53:F59" si="25">82/100</f>
        <v>0.82</v>
      </c>
      <c r="G53" s="6">
        <f t="shared" si="11"/>
        <v>18.730439999999998</v>
      </c>
      <c r="H53" s="6" t="s">
        <v>12</v>
      </c>
      <c r="I53" s="6">
        <f>10.5/100</f>
        <v>0.105</v>
      </c>
      <c r="J53" s="6">
        <f t="shared" ref="J53:J56" si="26">I53*G53</f>
        <v>1.9666961999999997</v>
      </c>
      <c r="K53" s="2" t="s">
        <v>33</v>
      </c>
      <c r="L53" s="2">
        <f>9.8/100</f>
        <v>9.8000000000000004E-2</v>
      </c>
      <c r="M53" s="2">
        <f t="shared" ref="M53:M59" si="27">L53*G53</f>
        <v>1.8355831199999999</v>
      </c>
    </row>
    <row r="54" spans="1:13" x14ac:dyDescent="0.25">
      <c r="A54" s="4">
        <v>27</v>
      </c>
      <c r="B54" s="2" t="s">
        <v>19</v>
      </c>
      <c r="C54" s="6">
        <f t="shared" si="24"/>
        <v>0.84599999999999997</v>
      </c>
      <c r="D54" s="6">
        <f t="shared" si="4"/>
        <v>22.841999999999999</v>
      </c>
      <c r="E54" s="6" t="s">
        <v>14</v>
      </c>
      <c r="F54" s="6">
        <f t="shared" si="25"/>
        <v>0.82</v>
      </c>
      <c r="G54" s="6">
        <f t="shared" si="11"/>
        <v>18.730439999999998</v>
      </c>
      <c r="H54" s="6" t="s">
        <v>7</v>
      </c>
      <c r="I54" s="14">
        <f>12.1/100</f>
        <v>0.121</v>
      </c>
      <c r="J54" s="6">
        <f t="shared" si="26"/>
        <v>2.2663832399999997</v>
      </c>
      <c r="K54" s="2" t="s">
        <v>34</v>
      </c>
      <c r="L54" s="2">
        <f>15/100</f>
        <v>0.15</v>
      </c>
      <c r="M54" s="2">
        <f t="shared" si="27"/>
        <v>2.8095659999999998</v>
      </c>
    </row>
    <row r="55" spans="1:13" x14ac:dyDescent="0.25">
      <c r="A55" s="4">
        <v>27</v>
      </c>
      <c r="B55" s="2" t="s">
        <v>19</v>
      </c>
      <c r="C55" s="6">
        <f t="shared" si="24"/>
        <v>0.84599999999999997</v>
      </c>
      <c r="D55" s="6">
        <f t="shared" si="4"/>
        <v>22.841999999999999</v>
      </c>
      <c r="E55" s="6" t="s">
        <v>14</v>
      </c>
      <c r="F55" s="6">
        <f t="shared" si="25"/>
        <v>0.82</v>
      </c>
      <c r="G55" s="6">
        <f t="shared" si="11"/>
        <v>18.730439999999998</v>
      </c>
      <c r="H55" s="6" t="s">
        <v>8</v>
      </c>
      <c r="I55" s="6">
        <f>36/100</f>
        <v>0.36</v>
      </c>
      <c r="J55" s="6">
        <f t="shared" si="26"/>
        <v>6.7429583999999991</v>
      </c>
      <c r="K55" s="2" t="s">
        <v>35</v>
      </c>
      <c r="L55" s="2">
        <f>27.4/100</f>
        <v>0.27399999999999997</v>
      </c>
      <c r="M55" s="2">
        <f t="shared" si="27"/>
        <v>5.132140559999999</v>
      </c>
    </row>
    <row r="56" spans="1:13" x14ac:dyDescent="0.25">
      <c r="A56" s="4">
        <v>27</v>
      </c>
      <c r="B56" s="2" t="s">
        <v>19</v>
      </c>
      <c r="C56" s="6">
        <f t="shared" si="24"/>
        <v>0.84599999999999997</v>
      </c>
      <c r="D56" s="6">
        <f t="shared" si="4"/>
        <v>22.841999999999999</v>
      </c>
      <c r="E56" s="6" t="s">
        <v>14</v>
      </c>
      <c r="F56" s="6">
        <f t="shared" si="25"/>
        <v>0.82</v>
      </c>
      <c r="G56" s="6">
        <f t="shared" si="11"/>
        <v>18.730439999999998</v>
      </c>
      <c r="H56" s="6" t="s">
        <v>10</v>
      </c>
      <c r="I56" s="6">
        <f>4.2/100</f>
        <v>4.2000000000000003E-2</v>
      </c>
      <c r="J56" s="6">
        <f t="shared" si="26"/>
        <v>0.78667847999999996</v>
      </c>
      <c r="K56" s="2" t="s">
        <v>36</v>
      </c>
      <c r="L56" s="2">
        <f>22.2/100</f>
        <v>0.222</v>
      </c>
      <c r="M56" s="2">
        <f t="shared" si="27"/>
        <v>4.1581576799999995</v>
      </c>
    </row>
    <row r="57" spans="1:13" x14ac:dyDescent="0.25">
      <c r="A57" s="4">
        <v>27</v>
      </c>
      <c r="B57" s="2" t="s">
        <v>19</v>
      </c>
      <c r="C57" s="6">
        <f t="shared" si="24"/>
        <v>0.84599999999999997</v>
      </c>
      <c r="D57" s="6">
        <f t="shared" si="4"/>
        <v>22.841999999999999</v>
      </c>
      <c r="E57" s="6" t="s">
        <v>14</v>
      </c>
      <c r="F57" s="6">
        <f t="shared" si="25"/>
        <v>0.82</v>
      </c>
      <c r="G57" s="6">
        <f t="shared" si="11"/>
        <v>18.730439999999998</v>
      </c>
      <c r="H57" s="6" t="s">
        <v>9</v>
      </c>
      <c r="I57" s="6">
        <f>23.2/100</f>
        <v>0.23199999999999998</v>
      </c>
      <c r="J57" s="6">
        <f>I58*G57</f>
        <v>0.33714791999999999</v>
      </c>
      <c r="K57" s="2" t="s">
        <v>37</v>
      </c>
      <c r="L57" s="2">
        <f>16.2/100</f>
        <v>0.16200000000000001</v>
      </c>
      <c r="M57" s="2">
        <f t="shared" si="27"/>
        <v>3.03433128</v>
      </c>
    </row>
    <row r="58" spans="1:13" x14ac:dyDescent="0.25">
      <c r="A58" s="4">
        <v>27</v>
      </c>
      <c r="B58" s="2" t="s">
        <v>19</v>
      </c>
      <c r="C58" s="6">
        <f t="shared" si="24"/>
        <v>0.84599999999999997</v>
      </c>
      <c r="D58" s="6">
        <f t="shared" si="4"/>
        <v>22.841999999999999</v>
      </c>
      <c r="E58" s="6" t="s">
        <v>14</v>
      </c>
      <c r="F58" s="6">
        <f t="shared" si="25"/>
        <v>0.82</v>
      </c>
      <c r="G58" s="6">
        <f t="shared" si="11"/>
        <v>18.730439999999998</v>
      </c>
      <c r="H58" s="6" t="s">
        <v>55</v>
      </c>
      <c r="I58" s="6">
        <f>1.8/100</f>
        <v>1.8000000000000002E-2</v>
      </c>
      <c r="J58" s="6">
        <f>I58*G58</f>
        <v>0.33714791999999999</v>
      </c>
      <c r="K58" s="2" t="s">
        <v>38</v>
      </c>
      <c r="L58" s="2">
        <f>3.3/100</f>
        <v>3.3000000000000002E-2</v>
      </c>
      <c r="M58" s="2">
        <f t="shared" si="27"/>
        <v>0.61810451999999994</v>
      </c>
    </row>
    <row r="59" spans="1:13" x14ac:dyDescent="0.25">
      <c r="A59" s="4">
        <v>27</v>
      </c>
      <c r="B59" s="2" t="s">
        <v>19</v>
      </c>
      <c r="C59" s="6">
        <f t="shared" si="24"/>
        <v>0.84599999999999997</v>
      </c>
      <c r="D59" s="6">
        <f t="shared" si="4"/>
        <v>22.841999999999999</v>
      </c>
      <c r="E59" s="6" t="s">
        <v>14</v>
      </c>
      <c r="F59" s="6">
        <f t="shared" si="25"/>
        <v>0.82</v>
      </c>
      <c r="G59" s="6">
        <f t="shared" si="11"/>
        <v>18.730439999999998</v>
      </c>
      <c r="H59" s="6"/>
      <c r="I59" s="6"/>
      <c r="J59" s="6"/>
      <c r="K59" s="2" t="s">
        <v>39</v>
      </c>
      <c r="L59" s="2">
        <f>1.3/100</f>
        <v>1.3000000000000001E-2</v>
      </c>
      <c r="M59" s="2">
        <f t="shared" si="27"/>
        <v>0.24349572</v>
      </c>
    </row>
    <row r="60" spans="1:13" x14ac:dyDescent="0.25">
      <c r="A60" s="4">
        <v>27</v>
      </c>
      <c r="B60" s="2" t="s">
        <v>19</v>
      </c>
      <c r="C60" s="6">
        <f t="shared" si="24"/>
        <v>0.84599999999999997</v>
      </c>
      <c r="D60" s="6">
        <f t="shared" si="4"/>
        <v>22.841999999999999</v>
      </c>
      <c r="E60" s="6" t="s">
        <v>52</v>
      </c>
      <c r="F60" s="6">
        <f>85/100</f>
        <v>0.85</v>
      </c>
      <c r="G60" s="6">
        <f t="shared" si="11"/>
        <v>19.415699999999998</v>
      </c>
      <c r="H60" s="6" t="s">
        <v>11</v>
      </c>
      <c r="I60" s="6">
        <f>7.2/100</f>
        <v>7.2000000000000008E-2</v>
      </c>
      <c r="J60" s="6">
        <f>I60*G60</f>
        <v>1.3979303999999999</v>
      </c>
      <c r="K60" s="2" t="s">
        <v>32</v>
      </c>
      <c r="L60" s="2">
        <f>0.7/100</f>
        <v>6.9999999999999993E-3</v>
      </c>
      <c r="M60" s="2">
        <f>L60*G60</f>
        <v>0.13590989999999997</v>
      </c>
    </row>
    <row r="61" spans="1:13" x14ac:dyDescent="0.25">
      <c r="A61" s="4">
        <v>27</v>
      </c>
      <c r="B61" s="2" t="s">
        <v>19</v>
      </c>
      <c r="C61" s="6">
        <f t="shared" si="24"/>
        <v>0.84599999999999997</v>
      </c>
      <c r="D61" s="6">
        <f t="shared" si="4"/>
        <v>22.841999999999999</v>
      </c>
      <c r="E61" s="6" t="s">
        <v>15</v>
      </c>
      <c r="F61" s="6">
        <f t="shared" ref="F61:F67" si="28">85/100</f>
        <v>0.85</v>
      </c>
      <c r="G61" s="6">
        <f t="shared" si="11"/>
        <v>19.415699999999998</v>
      </c>
      <c r="H61" s="6" t="s">
        <v>12</v>
      </c>
      <c r="I61" s="6">
        <f>8.5/100</f>
        <v>8.5000000000000006E-2</v>
      </c>
      <c r="J61" s="6">
        <f t="shared" ref="J61:J65" si="29">I61*G61</f>
        <v>1.6503344999999998</v>
      </c>
      <c r="K61" s="2" t="s">
        <v>33</v>
      </c>
      <c r="L61" s="2">
        <f>9.4/100</f>
        <v>9.4E-2</v>
      </c>
      <c r="M61" s="2">
        <f t="shared" ref="M61:M67" si="30">L61*G61</f>
        <v>1.8250757999999998</v>
      </c>
    </row>
    <row r="62" spans="1:13" x14ac:dyDescent="0.25">
      <c r="A62" s="4">
        <v>27</v>
      </c>
      <c r="B62" s="2" t="s">
        <v>19</v>
      </c>
      <c r="C62" s="6">
        <f t="shared" si="24"/>
        <v>0.84599999999999997</v>
      </c>
      <c r="D62" s="6">
        <f t="shared" si="4"/>
        <v>22.841999999999999</v>
      </c>
      <c r="E62" s="6" t="s">
        <v>15</v>
      </c>
      <c r="F62" s="6">
        <f t="shared" si="28"/>
        <v>0.85</v>
      </c>
      <c r="G62" s="6">
        <f t="shared" si="11"/>
        <v>19.415699999999998</v>
      </c>
      <c r="H62" s="6" t="s">
        <v>7</v>
      </c>
      <c r="I62" s="6">
        <f>13.7/100</f>
        <v>0.13699999999999998</v>
      </c>
      <c r="J62" s="6">
        <f t="shared" si="29"/>
        <v>2.6599508999999992</v>
      </c>
      <c r="K62" s="2" t="s">
        <v>34</v>
      </c>
      <c r="L62" s="2">
        <f>16.8/100</f>
        <v>0.16800000000000001</v>
      </c>
      <c r="M62" s="2">
        <f t="shared" si="30"/>
        <v>3.2618375999999998</v>
      </c>
    </row>
    <row r="63" spans="1:13" x14ac:dyDescent="0.25">
      <c r="A63" s="4">
        <v>27</v>
      </c>
      <c r="B63" s="2" t="s">
        <v>19</v>
      </c>
      <c r="C63" s="6">
        <f t="shared" si="24"/>
        <v>0.84599999999999997</v>
      </c>
      <c r="D63" s="6">
        <f t="shared" si="4"/>
        <v>22.841999999999999</v>
      </c>
      <c r="E63" s="6" t="s">
        <v>15</v>
      </c>
      <c r="F63" s="6">
        <f t="shared" si="28"/>
        <v>0.85</v>
      </c>
      <c r="G63" s="6">
        <f t="shared" si="11"/>
        <v>19.415699999999998</v>
      </c>
      <c r="H63" s="6" t="s">
        <v>8</v>
      </c>
      <c r="I63" s="6">
        <f>40.5/100</f>
        <v>0.40500000000000003</v>
      </c>
      <c r="J63" s="6">
        <f t="shared" si="29"/>
        <v>7.8633584999999995</v>
      </c>
      <c r="K63" s="2" t="s">
        <v>35</v>
      </c>
      <c r="L63" s="2">
        <f>34.9/100</f>
        <v>0.34899999999999998</v>
      </c>
      <c r="M63" s="2">
        <f t="shared" si="30"/>
        <v>6.7760792999999984</v>
      </c>
    </row>
    <row r="64" spans="1:13" x14ac:dyDescent="0.25">
      <c r="A64" s="4">
        <v>27</v>
      </c>
      <c r="B64" s="2" t="s">
        <v>19</v>
      </c>
      <c r="C64" s="6">
        <f t="shared" si="24"/>
        <v>0.84599999999999997</v>
      </c>
      <c r="D64" s="6">
        <f t="shared" si="4"/>
        <v>22.841999999999999</v>
      </c>
      <c r="E64" s="6" t="s">
        <v>15</v>
      </c>
      <c r="F64" s="6">
        <f t="shared" si="28"/>
        <v>0.85</v>
      </c>
      <c r="G64" s="6">
        <f t="shared" si="11"/>
        <v>19.415699999999998</v>
      </c>
      <c r="H64" s="6" t="s">
        <v>10</v>
      </c>
      <c r="I64" s="6">
        <f>4.9/100</f>
        <v>4.9000000000000002E-2</v>
      </c>
      <c r="J64" s="6">
        <f t="shared" si="29"/>
        <v>0.95136929999999986</v>
      </c>
      <c r="K64" s="2" t="s">
        <v>36</v>
      </c>
      <c r="L64" s="2">
        <f>22.3/100</f>
        <v>0.223</v>
      </c>
      <c r="M64" s="2">
        <f t="shared" si="30"/>
        <v>4.3297010999999994</v>
      </c>
    </row>
    <row r="65" spans="1:13" x14ac:dyDescent="0.25">
      <c r="A65" s="4">
        <v>27</v>
      </c>
      <c r="B65" s="2" t="s">
        <v>19</v>
      </c>
      <c r="C65" s="6">
        <f t="shared" si="24"/>
        <v>0.84599999999999997</v>
      </c>
      <c r="D65" s="6">
        <f t="shared" si="4"/>
        <v>22.841999999999999</v>
      </c>
      <c r="E65" s="6" t="s">
        <v>15</v>
      </c>
      <c r="F65" s="6">
        <f t="shared" si="28"/>
        <v>0.85</v>
      </c>
      <c r="G65" s="6">
        <f t="shared" si="11"/>
        <v>19.415699999999998</v>
      </c>
      <c r="H65" s="6" t="s">
        <v>9</v>
      </c>
      <c r="I65" s="6">
        <f>24.8/100</f>
        <v>0.248</v>
      </c>
      <c r="J65" s="6">
        <f t="shared" si="29"/>
        <v>4.8150935999999991</v>
      </c>
      <c r="K65" s="2" t="s">
        <v>37</v>
      </c>
      <c r="L65" s="2">
        <f>14.7/100</f>
        <v>0.14699999999999999</v>
      </c>
      <c r="M65" s="2">
        <f t="shared" si="30"/>
        <v>2.8541078999999994</v>
      </c>
    </row>
    <row r="66" spans="1:13" x14ac:dyDescent="0.25">
      <c r="A66" s="4">
        <v>27</v>
      </c>
      <c r="B66" s="2" t="s">
        <v>19</v>
      </c>
      <c r="C66" s="6">
        <f t="shared" si="24"/>
        <v>0.84599999999999997</v>
      </c>
      <c r="D66" s="6">
        <f t="shared" si="4"/>
        <v>22.841999999999999</v>
      </c>
      <c r="E66" s="6" t="s">
        <v>15</v>
      </c>
      <c r="F66" s="6">
        <f t="shared" si="28"/>
        <v>0.85</v>
      </c>
      <c r="G66" s="6">
        <f t="shared" si="11"/>
        <v>19.415699999999998</v>
      </c>
      <c r="H66" s="6" t="s">
        <v>55</v>
      </c>
      <c r="I66" s="6">
        <f>0.4/100</f>
        <v>4.0000000000000001E-3</v>
      </c>
      <c r="J66" s="6"/>
      <c r="K66" s="2" t="s">
        <v>38</v>
      </c>
      <c r="L66" s="2">
        <f>0.8/100</f>
        <v>8.0000000000000002E-3</v>
      </c>
      <c r="M66" s="2">
        <f t="shared" si="30"/>
        <v>0.15532559999999998</v>
      </c>
    </row>
    <row r="67" spans="1:13" x14ac:dyDescent="0.25">
      <c r="A67" s="4">
        <v>27</v>
      </c>
      <c r="B67" s="2" t="s">
        <v>19</v>
      </c>
      <c r="C67" s="6">
        <f t="shared" si="24"/>
        <v>0.84599999999999997</v>
      </c>
      <c r="D67" s="6">
        <f t="shared" si="4"/>
        <v>22.841999999999999</v>
      </c>
      <c r="E67" s="6" t="s">
        <v>15</v>
      </c>
      <c r="F67" s="6">
        <f t="shared" si="28"/>
        <v>0.85</v>
      </c>
      <c r="G67" s="6">
        <f t="shared" si="11"/>
        <v>19.415699999999998</v>
      </c>
      <c r="H67" s="6"/>
      <c r="I67" s="6"/>
      <c r="J67" s="6"/>
      <c r="K67" s="2" t="s">
        <v>39</v>
      </c>
      <c r="L67" s="2">
        <f>0.3/100</f>
        <v>3.0000000000000001E-3</v>
      </c>
      <c r="M67" s="2">
        <f t="shared" si="30"/>
        <v>5.8247099999999996E-2</v>
      </c>
    </row>
    <row r="68" spans="1:13" x14ac:dyDescent="0.25">
      <c r="A68" s="4">
        <v>27</v>
      </c>
      <c r="B68" s="2" t="s">
        <v>19</v>
      </c>
      <c r="C68" s="6">
        <f t="shared" si="24"/>
        <v>0.84599999999999997</v>
      </c>
      <c r="D68" s="6">
        <f t="shared" si="4"/>
        <v>22.841999999999999</v>
      </c>
      <c r="E68" s="6" t="s">
        <v>53</v>
      </c>
      <c r="F68" s="6">
        <f>82.2/100</f>
        <v>0.82200000000000006</v>
      </c>
      <c r="G68" s="6">
        <f t="shared" si="11"/>
        <v>18.776123999999999</v>
      </c>
      <c r="H68" s="6" t="s">
        <v>11</v>
      </c>
      <c r="I68" s="6">
        <f>11.8/100</f>
        <v>0.11800000000000001</v>
      </c>
      <c r="J68" s="6">
        <f>I68*G68</f>
        <v>2.2155826320000003</v>
      </c>
      <c r="K68" s="2" t="s">
        <v>32</v>
      </c>
      <c r="L68" s="2">
        <f>4.6/100</f>
        <v>4.5999999999999999E-2</v>
      </c>
      <c r="M68" s="2">
        <f>L68*G68</f>
        <v>0.8637017039999999</v>
      </c>
    </row>
    <row r="69" spans="1:13" x14ac:dyDescent="0.25">
      <c r="A69" s="4">
        <v>27</v>
      </c>
      <c r="B69" s="2" t="s">
        <v>19</v>
      </c>
      <c r="C69" s="6">
        <f t="shared" si="24"/>
        <v>0.84599999999999997</v>
      </c>
      <c r="D69" s="6">
        <f t="shared" si="4"/>
        <v>22.841999999999999</v>
      </c>
      <c r="E69" s="6" t="s">
        <v>16</v>
      </c>
      <c r="F69" s="6">
        <f t="shared" ref="F69:F75" si="31">82.2/100</f>
        <v>0.82200000000000006</v>
      </c>
      <c r="G69" s="6">
        <f t="shared" si="11"/>
        <v>18.776123999999999</v>
      </c>
      <c r="H69" s="6" t="s">
        <v>12</v>
      </c>
      <c r="I69" s="6">
        <f>10.8/100</f>
        <v>0.10800000000000001</v>
      </c>
      <c r="J69" s="6">
        <f t="shared" ref="J69:J73" si="32">I69*G69</f>
        <v>2.0278213920000003</v>
      </c>
      <c r="K69" s="2" t="s">
        <v>33</v>
      </c>
      <c r="L69" s="2">
        <f>10.9/100</f>
        <v>0.109</v>
      </c>
      <c r="M69" s="2">
        <f t="shared" ref="M69:M75" si="33">L69*G69</f>
        <v>2.0465975159999998</v>
      </c>
    </row>
    <row r="70" spans="1:13" x14ac:dyDescent="0.25">
      <c r="A70" s="4">
        <v>27</v>
      </c>
      <c r="B70" s="2" t="s">
        <v>19</v>
      </c>
      <c r="C70" s="6">
        <f t="shared" si="24"/>
        <v>0.84599999999999997</v>
      </c>
      <c r="D70" s="6">
        <f t="shared" si="4"/>
        <v>22.841999999999999</v>
      </c>
      <c r="E70" s="6" t="s">
        <v>16</v>
      </c>
      <c r="F70" s="6">
        <f t="shared" si="31"/>
        <v>0.82200000000000006</v>
      </c>
      <c r="G70" s="6">
        <f t="shared" si="11"/>
        <v>18.776123999999999</v>
      </c>
      <c r="H70" s="6" t="s">
        <v>7</v>
      </c>
      <c r="I70" s="6">
        <f>12.3/100</f>
        <v>0.12300000000000001</v>
      </c>
      <c r="J70" s="6">
        <f t="shared" si="32"/>
        <v>2.309463252</v>
      </c>
      <c r="K70" s="2" t="s">
        <v>34</v>
      </c>
      <c r="L70" s="2">
        <f>17.4/100</f>
        <v>0.17399999999999999</v>
      </c>
      <c r="M70" s="2">
        <f t="shared" si="33"/>
        <v>3.2670455759999997</v>
      </c>
    </row>
    <row r="71" spans="1:13" x14ac:dyDescent="0.25">
      <c r="A71" s="4">
        <v>27</v>
      </c>
      <c r="B71" s="2" t="s">
        <v>19</v>
      </c>
      <c r="C71" s="6">
        <f t="shared" si="24"/>
        <v>0.84599999999999997</v>
      </c>
      <c r="D71" s="6">
        <f t="shared" si="4"/>
        <v>22.841999999999999</v>
      </c>
      <c r="E71" s="6" t="s">
        <v>16</v>
      </c>
      <c r="F71" s="6">
        <f t="shared" si="31"/>
        <v>0.82200000000000006</v>
      </c>
      <c r="G71" s="6">
        <f t="shared" si="11"/>
        <v>18.776123999999999</v>
      </c>
      <c r="H71" s="6" t="s">
        <v>8</v>
      </c>
      <c r="I71" s="6">
        <f>37.1/100</f>
        <v>0.371</v>
      </c>
      <c r="J71" s="6">
        <f t="shared" si="32"/>
        <v>6.9659420039999995</v>
      </c>
      <c r="K71" s="2" t="s">
        <v>35</v>
      </c>
      <c r="L71" s="2">
        <f>27.3/100</f>
        <v>0.27300000000000002</v>
      </c>
      <c r="M71" s="2">
        <f t="shared" si="33"/>
        <v>5.125881852</v>
      </c>
    </row>
    <row r="72" spans="1:13" x14ac:dyDescent="0.25">
      <c r="A72" s="4">
        <v>27</v>
      </c>
      <c r="B72" s="2" t="s">
        <v>19</v>
      </c>
      <c r="C72" s="6">
        <f t="shared" si="24"/>
        <v>0.84599999999999997</v>
      </c>
      <c r="D72" s="6">
        <f t="shared" si="4"/>
        <v>22.841999999999999</v>
      </c>
      <c r="E72" s="6" t="s">
        <v>16</v>
      </c>
      <c r="F72" s="6">
        <f t="shared" si="31"/>
        <v>0.82200000000000006</v>
      </c>
      <c r="G72" s="6">
        <f t="shared" si="11"/>
        <v>18.776123999999999</v>
      </c>
      <c r="H72" s="6" t="s">
        <v>10</v>
      </c>
      <c r="I72" s="6">
        <f>3.8/100</f>
        <v>3.7999999999999999E-2</v>
      </c>
      <c r="J72" s="6">
        <f t="shared" si="32"/>
        <v>0.71349271199999997</v>
      </c>
      <c r="K72" s="2" t="s">
        <v>36</v>
      </c>
      <c r="L72" s="2">
        <f>21/100</f>
        <v>0.21</v>
      </c>
      <c r="M72" s="2">
        <f t="shared" si="33"/>
        <v>3.9429860399999996</v>
      </c>
    </row>
    <row r="73" spans="1:13" x14ac:dyDescent="0.25">
      <c r="A73" s="4">
        <v>27</v>
      </c>
      <c r="B73" s="2" t="s">
        <v>19</v>
      </c>
      <c r="C73" s="6">
        <f t="shared" si="24"/>
        <v>0.84599999999999997</v>
      </c>
      <c r="D73" s="6">
        <f t="shared" si="4"/>
        <v>22.841999999999999</v>
      </c>
      <c r="E73" s="6" t="s">
        <v>16</v>
      </c>
      <c r="F73" s="6">
        <f t="shared" si="31"/>
        <v>0.82200000000000006</v>
      </c>
      <c r="G73" s="6">
        <f t="shared" si="11"/>
        <v>18.776123999999999</v>
      </c>
      <c r="H73" s="6" t="s">
        <v>9</v>
      </c>
      <c r="I73" s="6">
        <f>22.5/100</f>
        <v>0.22500000000000001</v>
      </c>
      <c r="J73" s="6">
        <f t="shared" si="32"/>
        <v>4.2246278999999998</v>
      </c>
      <c r="K73" s="2" t="s">
        <v>37</v>
      </c>
      <c r="L73" s="2">
        <f>15.9/100</f>
        <v>0.159</v>
      </c>
      <c r="M73" s="2">
        <f t="shared" si="33"/>
        <v>2.985403716</v>
      </c>
    </row>
    <row r="74" spans="1:13" x14ac:dyDescent="0.25">
      <c r="A74" s="4">
        <v>27</v>
      </c>
      <c r="B74" s="2" t="s">
        <v>19</v>
      </c>
      <c r="C74" s="6">
        <f t="shared" si="24"/>
        <v>0.84599999999999997</v>
      </c>
      <c r="D74" s="6">
        <f t="shared" si="4"/>
        <v>22.841999999999999</v>
      </c>
      <c r="E74" s="6" t="s">
        <v>16</v>
      </c>
      <c r="F74" s="6">
        <f t="shared" si="31"/>
        <v>0.82200000000000006</v>
      </c>
      <c r="G74" s="6">
        <f t="shared" si="11"/>
        <v>18.776123999999999</v>
      </c>
      <c r="H74" s="6" t="s">
        <v>55</v>
      </c>
      <c r="I74" s="6">
        <f>1.6/100</f>
        <v>1.6E-2</v>
      </c>
      <c r="J74" s="6"/>
      <c r="K74" s="2" t="s">
        <v>38</v>
      </c>
      <c r="L74" s="2">
        <f>1.9/100</f>
        <v>1.9E-2</v>
      </c>
      <c r="M74" s="2">
        <f t="shared" si="33"/>
        <v>0.35674635599999999</v>
      </c>
    </row>
    <row r="75" spans="1:13" x14ac:dyDescent="0.25">
      <c r="A75" s="4">
        <v>27</v>
      </c>
      <c r="B75" s="2" t="s">
        <v>19</v>
      </c>
      <c r="C75" s="6">
        <f t="shared" si="24"/>
        <v>0.84599999999999997</v>
      </c>
      <c r="D75" s="6">
        <f t="shared" si="4"/>
        <v>22.841999999999999</v>
      </c>
      <c r="E75" s="6" t="s">
        <v>16</v>
      </c>
      <c r="F75" s="6">
        <f t="shared" si="31"/>
        <v>0.82200000000000006</v>
      </c>
      <c r="G75" s="6">
        <f t="shared" si="11"/>
        <v>18.776123999999999</v>
      </c>
      <c r="H75" s="6"/>
      <c r="I75" s="6"/>
      <c r="J75" s="6"/>
      <c r="K75" s="2" t="s">
        <v>39</v>
      </c>
      <c r="L75" s="2">
        <f>1/100</f>
        <v>0.01</v>
      </c>
      <c r="M75" s="2">
        <f t="shared" si="33"/>
        <v>0.18776124</v>
      </c>
    </row>
    <row r="76" spans="1:13" x14ac:dyDescent="0.25">
      <c r="A76" s="4">
        <v>27</v>
      </c>
      <c r="B76" s="2" t="s">
        <v>19</v>
      </c>
      <c r="C76" s="6">
        <f t="shared" si="24"/>
        <v>0.84599999999999997</v>
      </c>
      <c r="D76" s="6">
        <f t="shared" si="4"/>
        <v>22.841999999999999</v>
      </c>
      <c r="E76" s="2" t="s">
        <v>51</v>
      </c>
      <c r="F76" s="6">
        <f>83.1/100</f>
        <v>0.83099999999999996</v>
      </c>
      <c r="G76" s="6">
        <f t="shared" si="11"/>
        <v>18.981701999999999</v>
      </c>
      <c r="H76" s="6" t="s">
        <v>11</v>
      </c>
      <c r="I76" s="6">
        <f>16.2/100</f>
        <v>0.16200000000000001</v>
      </c>
      <c r="J76" s="8">
        <f>I76*G76</f>
        <v>3.0750357239999997</v>
      </c>
      <c r="K76" s="2" t="s">
        <v>32</v>
      </c>
      <c r="L76" s="2">
        <f>5.2/100</f>
        <v>5.2000000000000005E-2</v>
      </c>
      <c r="M76" s="2">
        <f>L76*G76</f>
        <v>0.98704850399999999</v>
      </c>
    </row>
    <row r="77" spans="1:13" x14ac:dyDescent="0.25">
      <c r="A77" s="4">
        <v>27</v>
      </c>
      <c r="B77" s="2" t="s">
        <v>19</v>
      </c>
      <c r="C77" s="6">
        <f t="shared" si="24"/>
        <v>0.84599999999999997</v>
      </c>
      <c r="D77" s="6">
        <f t="shared" si="4"/>
        <v>22.841999999999999</v>
      </c>
      <c r="E77" s="2" t="s">
        <v>13</v>
      </c>
      <c r="F77" s="6">
        <f t="shared" ref="F77:F83" si="34">83.1/100</f>
        <v>0.83099999999999996</v>
      </c>
      <c r="G77" s="6">
        <f t="shared" si="11"/>
        <v>18.981701999999999</v>
      </c>
      <c r="H77" s="6" t="s">
        <v>12</v>
      </c>
      <c r="I77" s="6">
        <f>12.7/100</f>
        <v>0.127</v>
      </c>
      <c r="J77" s="8">
        <f t="shared" ref="J77:J81" si="35">I77*G77</f>
        <v>2.4106761539999999</v>
      </c>
      <c r="K77" s="2" t="s">
        <v>33</v>
      </c>
      <c r="L77" s="2">
        <f>10.6/100</f>
        <v>0.106</v>
      </c>
      <c r="M77" s="2">
        <f t="shared" ref="M77:M83" si="36">L77*G77</f>
        <v>2.0120604119999999</v>
      </c>
    </row>
    <row r="78" spans="1:13" x14ac:dyDescent="0.25">
      <c r="A78" s="4">
        <v>27</v>
      </c>
      <c r="B78" s="2" t="s">
        <v>19</v>
      </c>
      <c r="C78" s="6">
        <f t="shared" si="24"/>
        <v>0.84599999999999997</v>
      </c>
      <c r="D78" s="6">
        <f t="shared" si="4"/>
        <v>22.841999999999999</v>
      </c>
      <c r="E78" s="2" t="s">
        <v>13</v>
      </c>
      <c r="F78" s="6">
        <f t="shared" si="34"/>
        <v>0.83099999999999996</v>
      </c>
      <c r="G78" s="6">
        <f t="shared" si="11"/>
        <v>18.981701999999999</v>
      </c>
      <c r="H78" s="6" t="s">
        <v>7</v>
      </c>
      <c r="I78" s="6">
        <f>14.3/100</f>
        <v>0.14300000000000002</v>
      </c>
      <c r="J78" s="8">
        <f t="shared" si="35"/>
        <v>2.7143833860000002</v>
      </c>
      <c r="K78" s="2" t="s">
        <v>34</v>
      </c>
      <c r="L78" s="2">
        <f>14.9/100</f>
        <v>0.14899999999999999</v>
      </c>
      <c r="M78" s="2">
        <f t="shared" si="36"/>
        <v>2.8282735979999996</v>
      </c>
    </row>
    <row r="79" spans="1:13" x14ac:dyDescent="0.25">
      <c r="A79" s="4">
        <v>27</v>
      </c>
      <c r="B79" s="2" t="s">
        <v>19</v>
      </c>
      <c r="C79" s="6">
        <f t="shared" si="24"/>
        <v>0.84599999999999997</v>
      </c>
      <c r="D79" s="6">
        <f t="shared" si="4"/>
        <v>22.841999999999999</v>
      </c>
      <c r="E79" s="2" t="s">
        <v>13</v>
      </c>
      <c r="F79" s="6">
        <f t="shared" si="34"/>
        <v>0.83099999999999996</v>
      </c>
      <c r="G79" s="6">
        <f t="shared" si="11"/>
        <v>18.981701999999999</v>
      </c>
      <c r="H79" s="6" t="s">
        <v>8</v>
      </c>
      <c r="I79" s="6">
        <f>38.3/100</f>
        <v>0.38299999999999995</v>
      </c>
      <c r="J79" s="8">
        <f t="shared" si="35"/>
        <v>7.2699918659999989</v>
      </c>
      <c r="K79" s="2" t="s">
        <v>35</v>
      </c>
      <c r="L79" s="2">
        <f>27.6/100</f>
        <v>0.27600000000000002</v>
      </c>
      <c r="M79" s="2">
        <f t="shared" si="36"/>
        <v>5.2389497519999999</v>
      </c>
    </row>
    <row r="80" spans="1:13" x14ac:dyDescent="0.25">
      <c r="A80" s="4">
        <v>27</v>
      </c>
      <c r="B80" s="2" t="s">
        <v>19</v>
      </c>
      <c r="C80" s="6">
        <f t="shared" si="24"/>
        <v>0.84599999999999997</v>
      </c>
      <c r="D80" s="6">
        <f t="shared" si="4"/>
        <v>22.841999999999999</v>
      </c>
      <c r="E80" s="2" t="s">
        <v>13</v>
      </c>
      <c r="F80" s="6">
        <f t="shared" si="34"/>
        <v>0.83099999999999996</v>
      </c>
      <c r="G80" s="6">
        <f t="shared" si="11"/>
        <v>18.981701999999999</v>
      </c>
      <c r="H80" s="6" t="s">
        <v>10</v>
      </c>
      <c r="I80" s="6">
        <f>2.8/100</f>
        <v>2.7999999999999997E-2</v>
      </c>
      <c r="J80" s="8">
        <f t="shared" si="35"/>
        <v>0.53148765599999992</v>
      </c>
      <c r="K80" s="2" t="s">
        <v>36</v>
      </c>
      <c r="L80" s="2">
        <f>20.8/100</f>
        <v>0.20800000000000002</v>
      </c>
      <c r="M80" s="2">
        <f t="shared" si="36"/>
        <v>3.948194016</v>
      </c>
    </row>
    <row r="81" spans="1:13" x14ac:dyDescent="0.25">
      <c r="A81" s="4">
        <v>27</v>
      </c>
      <c r="B81" s="2" t="s">
        <v>19</v>
      </c>
      <c r="C81" s="6">
        <f t="shared" si="24"/>
        <v>0.84599999999999997</v>
      </c>
      <c r="D81" s="6">
        <f t="shared" si="4"/>
        <v>22.841999999999999</v>
      </c>
      <c r="E81" s="2" t="s">
        <v>13</v>
      </c>
      <c r="F81" s="6">
        <f t="shared" si="34"/>
        <v>0.83099999999999996</v>
      </c>
      <c r="G81" s="6">
        <f t="shared" si="11"/>
        <v>18.981701999999999</v>
      </c>
      <c r="H81" s="6" t="s">
        <v>9</v>
      </c>
      <c r="I81" s="6">
        <f>13.6/100</f>
        <v>0.13600000000000001</v>
      </c>
      <c r="J81" s="8">
        <f t="shared" si="35"/>
        <v>2.5815114719999999</v>
      </c>
      <c r="K81" s="2" t="s">
        <v>37</v>
      </c>
      <c r="L81" s="2">
        <f>16.3/100</f>
        <v>0.16300000000000001</v>
      </c>
      <c r="M81" s="2">
        <f t="shared" si="36"/>
        <v>3.0940174259999997</v>
      </c>
    </row>
    <row r="82" spans="1:13" x14ac:dyDescent="0.25">
      <c r="A82" s="4">
        <v>27</v>
      </c>
      <c r="B82" s="2" t="s">
        <v>19</v>
      </c>
      <c r="C82" s="6">
        <f t="shared" si="24"/>
        <v>0.84599999999999997</v>
      </c>
      <c r="D82" s="6">
        <f t="shared" si="4"/>
        <v>22.841999999999999</v>
      </c>
      <c r="E82" s="2" t="s">
        <v>13</v>
      </c>
      <c r="F82" s="6">
        <f t="shared" si="34"/>
        <v>0.83099999999999996</v>
      </c>
      <c r="G82" s="6">
        <f t="shared" si="11"/>
        <v>18.981701999999999</v>
      </c>
      <c r="H82" s="6" t="s">
        <v>55</v>
      </c>
      <c r="I82" s="6">
        <f>2.2/100</f>
        <v>2.2000000000000002E-2</v>
      </c>
      <c r="J82" s="8"/>
      <c r="K82" s="2" t="s">
        <v>38</v>
      </c>
      <c r="L82" s="2">
        <f>2.6/100</f>
        <v>2.6000000000000002E-2</v>
      </c>
      <c r="M82" s="2">
        <f t="shared" si="36"/>
        <v>0.493524252</v>
      </c>
    </row>
    <row r="83" spans="1:13" x14ac:dyDescent="0.25">
      <c r="A83" s="4">
        <v>27</v>
      </c>
      <c r="B83" s="2" t="s">
        <v>19</v>
      </c>
      <c r="C83" s="6">
        <f t="shared" si="24"/>
        <v>0.84599999999999997</v>
      </c>
      <c r="D83" s="6">
        <f t="shared" si="4"/>
        <v>22.841999999999999</v>
      </c>
      <c r="E83" s="2" t="s">
        <v>13</v>
      </c>
      <c r="F83" s="6">
        <f t="shared" si="34"/>
        <v>0.83099999999999996</v>
      </c>
      <c r="G83" s="6">
        <f t="shared" si="11"/>
        <v>18.981701999999999</v>
      </c>
      <c r="H83" s="6"/>
      <c r="I83" s="6"/>
      <c r="J83" s="8"/>
      <c r="K83" s="2" t="s">
        <v>39</v>
      </c>
      <c r="L83" s="2">
        <f>2/100</f>
        <v>0.02</v>
      </c>
      <c r="M83" s="2">
        <f t="shared" si="36"/>
        <v>0.37963404000000001</v>
      </c>
    </row>
    <row r="84" spans="1:13" x14ac:dyDescent="0.25">
      <c r="A84" s="4">
        <v>27</v>
      </c>
      <c r="B84" s="2" t="s">
        <v>19</v>
      </c>
      <c r="C84" s="6">
        <f t="shared" si="24"/>
        <v>0.84599999999999997</v>
      </c>
      <c r="D84" s="6">
        <f t="shared" si="4"/>
        <v>22.841999999999999</v>
      </c>
      <c r="E84" s="2" t="s">
        <v>50</v>
      </c>
      <c r="F84" s="6">
        <f>89.9/100</f>
        <v>0.89900000000000002</v>
      </c>
      <c r="G84" s="6">
        <f t="shared" si="11"/>
        <v>20.534958</v>
      </c>
      <c r="H84" s="6" t="s">
        <v>11</v>
      </c>
      <c r="I84" s="6">
        <f>21.3/100</f>
        <v>0.21299999999999999</v>
      </c>
      <c r="J84" s="6">
        <f>I84*G84</f>
        <v>4.3739460540000001</v>
      </c>
      <c r="K84" s="2" t="s">
        <v>32</v>
      </c>
      <c r="L84" s="2">
        <f>10.5/100</f>
        <v>0.105</v>
      </c>
      <c r="M84" s="2">
        <f>L84*G84</f>
        <v>2.1561705899999999</v>
      </c>
    </row>
    <row r="85" spans="1:13" x14ac:dyDescent="0.25">
      <c r="A85" s="4">
        <v>27</v>
      </c>
      <c r="B85" s="2" t="s">
        <v>19</v>
      </c>
      <c r="C85" s="6">
        <f t="shared" si="24"/>
        <v>0.84599999999999997</v>
      </c>
      <c r="D85" s="6">
        <f t="shared" si="4"/>
        <v>22.841999999999999</v>
      </c>
      <c r="E85" s="2" t="s">
        <v>17</v>
      </c>
      <c r="F85" s="6">
        <f t="shared" ref="F85:F91" si="37">89.9/100</f>
        <v>0.89900000000000002</v>
      </c>
      <c r="G85" s="6">
        <f t="shared" si="11"/>
        <v>20.534958</v>
      </c>
      <c r="H85" s="6" t="s">
        <v>12</v>
      </c>
      <c r="I85" s="6">
        <f>13.8/100</f>
        <v>0.13800000000000001</v>
      </c>
      <c r="J85" s="6">
        <f t="shared" ref="J85:J89" si="38">I85*G85</f>
        <v>2.8338242040000003</v>
      </c>
      <c r="K85" s="2" t="s">
        <v>33</v>
      </c>
      <c r="L85" s="2">
        <f>9/100</f>
        <v>0.09</v>
      </c>
      <c r="M85" s="2">
        <f t="shared" ref="M85:M87" si="39">L85*G85</f>
        <v>1.8481462199999998</v>
      </c>
    </row>
    <row r="86" spans="1:13" x14ac:dyDescent="0.25">
      <c r="A86" s="4">
        <v>27</v>
      </c>
      <c r="B86" s="2" t="s">
        <v>19</v>
      </c>
      <c r="C86" s="6">
        <f t="shared" si="24"/>
        <v>0.84599999999999997</v>
      </c>
      <c r="D86" s="6">
        <f t="shared" si="4"/>
        <v>22.841999999999999</v>
      </c>
      <c r="E86" s="2" t="s">
        <v>17</v>
      </c>
      <c r="F86" s="6">
        <f t="shared" si="37"/>
        <v>0.89900000000000002</v>
      </c>
      <c r="G86" s="6">
        <f t="shared" si="11"/>
        <v>20.534958</v>
      </c>
      <c r="H86" s="6" t="s">
        <v>7</v>
      </c>
      <c r="I86" s="6">
        <f>23.2/100</f>
        <v>0.23199999999999998</v>
      </c>
      <c r="J86" s="6">
        <f t="shared" si="38"/>
        <v>4.7641102559999995</v>
      </c>
      <c r="K86" s="2" t="s">
        <v>34</v>
      </c>
      <c r="L86" s="2">
        <f>17.7/100</f>
        <v>0.17699999999999999</v>
      </c>
      <c r="M86" s="2">
        <f t="shared" si="39"/>
        <v>3.6346875659999998</v>
      </c>
    </row>
    <row r="87" spans="1:13" x14ac:dyDescent="0.25">
      <c r="A87" s="4">
        <v>27</v>
      </c>
      <c r="B87" s="2" t="s">
        <v>19</v>
      </c>
      <c r="C87" s="6">
        <f t="shared" si="24"/>
        <v>0.84599999999999997</v>
      </c>
      <c r="D87" s="6">
        <f t="shared" si="4"/>
        <v>22.841999999999999</v>
      </c>
      <c r="E87" s="2" t="s">
        <v>17</v>
      </c>
      <c r="F87" s="6">
        <f t="shared" si="37"/>
        <v>0.89900000000000002</v>
      </c>
      <c r="G87" s="6">
        <f t="shared" si="11"/>
        <v>20.534958</v>
      </c>
      <c r="H87" s="6" t="s">
        <v>8</v>
      </c>
      <c r="I87" s="6">
        <f>29.8/100</f>
        <v>0.29799999999999999</v>
      </c>
      <c r="J87" s="6">
        <f t="shared" si="38"/>
        <v>6.1194174839999995</v>
      </c>
      <c r="K87" s="2" t="s">
        <v>35</v>
      </c>
      <c r="L87" s="2">
        <f>19.5/100</f>
        <v>0.19500000000000001</v>
      </c>
      <c r="M87" s="2">
        <f t="shared" si="39"/>
        <v>4.0043168099999997</v>
      </c>
    </row>
    <row r="88" spans="1:13" x14ac:dyDescent="0.25">
      <c r="A88" s="4">
        <v>27</v>
      </c>
      <c r="B88" s="2" t="s">
        <v>19</v>
      </c>
      <c r="C88" s="6">
        <f t="shared" si="24"/>
        <v>0.84599999999999997</v>
      </c>
      <c r="D88" s="6">
        <f t="shared" si="4"/>
        <v>22.841999999999999</v>
      </c>
      <c r="E88" s="2" t="s">
        <v>17</v>
      </c>
      <c r="F88" s="6">
        <f t="shared" si="37"/>
        <v>0.89900000000000002</v>
      </c>
      <c r="G88" s="6">
        <f t="shared" si="11"/>
        <v>20.534958</v>
      </c>
      <c r="H88" s="6" t="s">
        <v>10</v>
      </c>
      <c r="I88" s="6">
        <f>2.5/100</f>
        <v>2.5000000000000001E-2</v>
      </c>
      <c r="J88" s="6">
        <f t="shared" si="38"/>
        <v>0.51337394999999997</v>
      </c>
      <c r="K88" s="2" t="s">
        <v>36</v>
      </c>
      <c r="L88" s="2">
        <f>29/100</f>
        <v>0.28999999999999998</v>
      </c>
      <c r="M88" s="2">
        <f>L87*G88</f>
        <v>4.0043168099999997</v>
      </c>
    </row>
    <row r="89" spans="1:13" x14ac:dyDescent="0.25">
      <c r="A89" s="4">
        <v>27</v>
      </c>
      <c r="B89" s="2" t="s">
        <v>19</v>
      </c>
      <c r="C89" s="6">
        <f t="shared" si="24"/>
        <v>0.84599999999999997</v>
      </c>
      <c r="D89" s="6">
        <f t="shared" si="4"/>
        <v>22.841999999999999</v>
      </c>
      <c r="E89" s="2" t="s">
        <v>17</v>
      </c>
      <c r="F89" s="6">
        <f t="shared" si="37"/>
        <v>0.89900000000000002</v>
      </c>
      <c r="G89" s="6">
        <f t="shared" si="11"/>
        <v>20.534958</v>
      </c>
      <c r="H89" s="6" t="s">
        <v>9</v>
      </c>
      <c r="I89" s="6">
        <f>9.4/100</f>
        <v>9.4E-2</v>
      </c>
      <c r="J89" s="6">
        <f t="shared" si="38"/>
        <v>1.930286052</v>
      </c>
      <c r="K89" s="2" t="s">
        <v>37</v>
      </c>
      <c r="L89" s="2">
        <f>12.1/100</f>
        <v>0.121</v>
      </c>
      <c r="M89" s="2">
        <f>L88*G89</f>
        <v>5.9551378199999991</v>
      </c>
    </row>
    <row r="90" spans="1:13" x14ac:dyDescent="0.25">
      <c r="A90" s="4">
        <v>27</v>
      </c>
      <c r="B90" s="2" t="s">
        <v>19</v>
      </c>
      <c r="C90" s="6">
        <f t="shared" si="24"/>
        <v>0.84599999999999997</v>
      </c>
      <c r="D90" s="6">
        <f t="shared" si="4"/>
        <v>22.841999999999999</v>
      </c>
      <c r="E90" s="2" t="s">
        <v>17</v>
      </c>
      <c r="F90" s="6">
        <f t="shared" si="37"/>
        <v>0.89900000000000002</v>
      </c>
      <c r="G90" s="6">
        <f t="shared" si="11"/>
        <v>20.534958</v>
      </c>
      <c r="H90" s="6" t="s">
        <v>55</v>
      </c>
      <c r="I90" s="6">
        <f>0/100</f>
        <v>0</v>
      </c>
      <c r="J90" s="6"/>
      <c r="K90" s="2" t="s">
        <v>38</v>
      </c>
      <c r="L90" s="2">
        <f>1.4/100</f>
        <v>1.3999999999999999E-2</v>
      </c>
      <c r="M90" s="2">
        <f>L89*G90</f>
        <v>2.4847299179999998</v>
      </c>
    </row>
    <row r="91" spans="1:13" x14ac:dyDescent="0.25">
      <c r="A91" s="4">
        <v>27</v>
      </c>
      <c r="B91" s="2" t="s">
        <v>19</v>
      </c>
      <c r="C91" s="6">
        <f t="shared" si="24"/>
        <v>0.84599999999999997</v>
      </c>
      <c r="D91" s="6">
        <f t="shared" si="4"/>
        <v>22.841999999999999</v>
      </c>
      <c r="E91" s="2" t="s">
        <v>17</v>
      </c>
      <c r="F91" s="6">
        <f t="shared" si="37"/>
        <v>0.89900000000000002</v>
      </c>
      <c r="G91" s="6">
        <f t="shared" si="11"/>
        <v>20.534958</v>
      </c>
      <c r="H91" s="6"/>
      <c r="I91" s="6"/>
      <c r="J91" s="6"/>
      <c r="K91" s="2" t="s">
        <v>39</v>
      </c>
      <c r="L91" s="2">
        <f>0.8/100</f>
        <v>8.0000000000000002E-3</v>
      </c>
      <c r="M91" s="2">
        <f>L90*G91</f>
        <v>0.28748941199999994</v>
      </c>
    </row>
    <row r="92" spans="1:13" x14ac:dyDescent="0.25">
      <c r="A92" s="4">
        <v>27</v>
      </c>
      <c r="B92" s="2" t="s">
        <v>19</v>
      </c>
      <c r="C92" s="6">
        <f t="shared" si="24"/>
        <v>0.84599999999999997</v>
      </c>
      <c r="D92" s="6">
        <f t="shared" si="4"/>
        <v>22.841999999999999</v>
      </c>
      <c r="E92" s="2" t="s">
        <v>49</v>
      </c>
      <c r="F92" s="2">
        <f>91.1/100</f>
        <v>0.91099999999999992</v>
      </c>
      <c r="G92" s="6">
        <f t="shared" si="11"/>
        <v>20.809061999999997</v>
      </c>
      <c r="H92" s="6" t="s">
        <v>11</v>
      </c>
      <c r="I92" s="6">
        <f>21/100</f>
        <v>0.21</v>
      </c>
      <c r="J92" s="6">
        <f>I92*G92</f>
        <v>4.3699030199999989</v>
      </c>
      <c r="K92" s="2" t="s">
        <v>32</v>
      </c>
      <c r="L92" s="2">
        <f>7.4/100</f>
        <v>7.400000000000001E-2</v>
      </c>
      <c r="M92" s="2">
        <f>L92*G92</f>
        <v>1.5398705880000001</v>
      </c>
    </row>
    <row r="93" spans="1:13" x14ac:dyDescent="0.25">
      <c r="A93" s="4">
        <v>27</v>
      </c>
      <c r="B93" s="2" t="s">
        <v>19</v>
      </c>
      <c r="C93" s="6">
        <f t="shared" si="24"/>
        <v>0.84599999999999997</v>
      </c>
      <c r="D93" s="6">
        <f t="shared" ref="D93:D99" si="40">C93*A93</f>
        <v>22.841999999999999</v>
      </c>
      <c r="E93" s="2" t="s">
        <v>18</v>
      </c>
      <c r="F93" s="2">
        <f t="shared" ref="F93:F99" si="41">91.1/100</f>
        <v>0.91099999999999992</v>
      </c>
      <c r="G93" s="6">
        <f t="shared" si="11"/>
        <v>20.809061999999997</v>
      </c>
      <c r="H93" s="6" t="s">
        <v>12</v>
      </c>
      <c r="I93" s="6">
        <f>12.7/100</f>
        <v>0.127</v>
      </c>
      <c r="J93" s="6">
        <f t="shared" ref="J93:J97" si="42">I93*G93</f>
        <v>2.6427508739999999</v>
      </c>
      <c r="K93" s="2" t="s">
        <v>33</v>
      </c>
      <c r="L93" s="2">
        <f>14/100</f>
        <v>0.14000000000000001</v>
      </c>
      <c r="M93" s="2">
        <f t="shared" ref="M93:M99" si="43">L93*G93</f>
        <v>2.9132686799999998</v>
      </c>
    </row>
    <row r="94" spans="1:13" x14ac:dyDescent="0.25">
      <c r="A94" s="4">
        <v>27</v>
      </c>
      <c r="B94" s="2" t="s">
        <v>19</v>
      </c>
      <c r="C94" s="6">
        <f t="shared" si="24"/>
        <v>0.84599999999999997</v>
      </c>
      <c r="D94" s="6">
        <f t="shared" si="40"/>
        <v>22.841999999999999</v>
      </c>
      <c r="E94" s="2" t="s">
        <v>18</v>
      </c>
      <c r="F94" s="2">
        <f t="shared" si="41"/>
        <v>0.91099999999999992</v>
      </c>
      <c r="G94" s="6">
        <f t="shared" si="11"/>
        <v>20.809061999999997</v>
      </c>
      <c r="H94" s="6" t="s">
        <v>7</v>
      </c>
      <c r="I94" s="6">
        <f>14.8/100</f>
        <v>0.14800000000000002</v>
      </c>
      <c r="J94" s="6">
        <f t="shared" si="42"/>
        <v>3.0797411760000002</v>
      </c>
      <c r="K94" s="2" t="s">
        <v>34</v>
      </c>
      <c r="L94" s="2">
        <f>16.6/100</f>
        <v>0.16600000000000001</v>
      </c>
      <c r="M94" s="2">
        <f t="shared" si="43"/>
        <v>3.4543042919999998</v>
      </c>
    </row>
    <row r="95" spans="1:13" x14ac:dyDescent="0.25">
      <c r="A95" s="4">
        <v>27</v>
      </c>
      <c r="B95" s="2" t="s">
        <v>19</v>
      </c>
      <c r="C95" s="6">
        <f t="shared" si="24"/>
        <v>0.84599999999999997</v>
      </c>
      <c r="D95" s="6">
        <f t="shared" si="40"/>
        <v>22.841999999999999</v>
      </c>
      <c r="E95" s="2" t="s">
        <v>18</v>
      </c>
      <c r="F95" s="2">
        <f t="shared" si="41"/>
        <v>0.91099999999999992</v>
      </c>
      <c r="G95" s="6">
        <f t="shared" si="11"/>
        <v>20.809061999999997</v>
      </c>
      <c r="H95" s="6" t="s">
        <v>8</v>
      </c>
      <c r="I95" s="6">
        <f>40.1/100</f>
        <v>0.40100000000000002</v>
      </c>
      <c r="J95" s="6">
        <f t="shared" si="42"/>
        <v>8.3444338619999989</v>
      </c>
      <c r="K95" s="2" t="s">
        <v>35</v>
      </c>
      <c r="L95" s="2">
        <f>25.3/100</f>
        <v>0.253</v>
      </c>
      <c r="M95" s="2">
        <f t="shared" si="43"/>
        <v>5.2646926859999992</v>
      </c>
    </row>
    <row r="96" spans="1:13" x14ac:dyDescent="0.25">
      <c r="A96" s="4">
        <v>27</v>
      </c>
      <c r="B96" s="2" t="s">
        <v>19</v>
      </c>
      <c r="C96" s="6">
        <f t="shared" si="24"/>
        <v>0.84599999999999997</v>
      </c>
      <c r="D96" s="6">
        <f t="shared" si="40"/>
        <v>22.841999999999999</v>
      </c>
      <c r="E96" s="2" t="s">
        <v>18</v>
      </c>
      <c r="F96" s="2">
        <f t="shared" si="41"/>
        <v>0.91099999999999992</v>
      </c>
      <c r="G96" s="6">
        <f t="shared" si="11"/>
        <v>20.809061999999997</v>
      </c>
      <c r="H96" s="6" t="s">
        <v>10</v>
      </c>
      <c r="I96" s="6">
        <f>2.5/100</f>
        <v>2.5000000000000001E-2</v>
      </c>
      <c r="J96" s="6">
        <f t="shared" si="42"/>
        <v>0.52022654999999995</v>
      </c>
      <c r="K96" s="2" t="s">
        <v>36</v>
      </c>
      <c r="L96" s="2">
        <f>18.9/100</f>
        <v>0.18899999999999997</v>
      </c>
      <c r="M96" s="2">
        <f t="shared" si="43"/>
        <v>3.932912717999999</v>
      </c>
    </row>
    <row r="97" spans="1:13" x14ac:dyDescent="0.25">
      <c r="A97" s="4">
        <v>27</v>
      </c>
      <c r="B97" s="2" t="s">
        <v>19</v>
      </c>
      <c r="C97" s="6">
        <f t="shared" si="24"/>
        <v>0.84599999999999997</v>
      </c>
      <c r="D97" s="6">
        <f t="shared" si="40"/>
        <v>22.841999999999999</v>
      </c>
      <c r="E97" s="2" t="s">
        <v>18</v>
      </c>
      <c r="F97" s="2">
        <f t="shared" si="41"/>
        <v>0.91099999999999992</v>
      </c>
      <c r="G97" s="6">
        <f t="shared" si="11"/>
        <v>20.809061999999997</v>
      </c>
      <c r="H97" s="6" t="s">
        <v>9</v>
      </c>
      <c r="I97" s="6">
        <f>7.7/100</f>
        <v>7.6999999999999999E-2</v>
      </c>
      <c r="J97" s="6">
        <f t="shared" si="42"/>
        <v>1.6022977739999997</v>
      </c>
      <c r="K97" s="2" t="s">
        <v>37</v>
      </c>
      <c r="L97" s="2">
        <f>13.1/100</f>
        <v>0.13100000000000001</v>
      </c>
      <c r="M97" s="2">
        <f t="shared" si="43"/>
        <v>2.7259871219999998</v>
      </c>
    </row>
    <row r="98" spans="1:13" x14ac:dyDescent="0.25">
      <c r="A98" s="4">
        <v>27</v>
      </c>
      <c r="B98" s="2" t="s">
        <v>19</v>
      </c>
      <c r="C98" s="6">
        <f t="shared" si="24"/>
        <v>0.84599999999999997</v>
      </c>
      <c r="D98" s="6">
        <f t="shared" si="40"/>
        <v>22.841999999999999</v>
      </c>
      <c r="E98" s="2" t="s">
        <v>18</v>
      </c>
      <c r="F98" s="2">
        <f t="shared" si="41"/>
        <v>0.91099999999999992</v>
      </c>
      <c r="G98" s="6">
        <f t="shared" si="11"/>
        <v>20.809061999999997</v>
      </c>
      <c r="H98" s="6" t="s">
        <v>55</v>
      </c>
      <c r="I98" s="2">
        <f>1.2/100</f>
        <v>1.2E-2</v>
      </c>
      <c r="J98" s="2"/>
      <c r="K98" s="2" t="s">
        <v>38</v>
      </c>
      <c r="L98" s="2">
        <f>3.1/100</f>
        <v>3.1E-2</v>
      </c>
      <c r="M98" s="2">
        <f t="shared" si="43"/>
        <v>0.64508092199999989</v>
      </c>
    </row>
    <row r="99" spans="1:13" x14ac:dyDescent="0.25">
      <c r="A99" s="4">
        <v>27</v>
      </c>
      <c r="B99" s="2" t="s">
        <v>19</v>
      </c>
      <c r="C99" s="6">
        <f t="shared" si="24"/>
        <v>0.84599999999999997</v>
      </c>
      <c r="D99" s="6">
        <f t="shared" si="40"/>
        <v>22.841999999999999</v>
      </c>
      <c r="E99" s="2" t="s">
        <v>18</v>
      </c>
      <c r="F99" s="2">
        <f t="shared" si="41"/>
        <v>0.91099999999999992</v>
      </c>
      <c r="G99" s="6">
        <f t="shared" ref="G99" si="44">F99*D99</f>
        <v>20.809061999999997</v>
      </c>
      <c r="H99" s="2"/>
      <c r="I99" s="2"/>
      <c r="J99" s="2"/>
      <c r="K99" s="2" t="s">
        <v>39</v>
      </c>
      <c r="L99" s="2">
        <f>1.6/100</f>
        <v>1.6E-2</v>
      </c>
      <c r="M99" s="2">
        <f t="shared" si="43"/>
        <v>0.33294499199999994</v>
      </c>
    </row>
  </sheetData>
  <mergeCells count="1">
    <mergeCell ref="E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89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27.169</v>
      </c>
      <c r="B4" s="4" t="s">
        <v>2</v>
      </c>
      <c r="C4" s="5">
        <f>15.9/100</f>
        <v>0.159</v>
      </c>
      <c r="D4" s="6">
        <f>C4*A4</f>
        <v>4.319871</v>
      </c>
      <c r="E4" s="6" t="s">
        <v>14</v>
      </c>
      <c r="F4" s="5">
        <f>19.9/100</f>
        <v>0.19899999999999998</v>
      </c>
      <c r="G4" s="5">
        <f>D4*F4</f>
        <v>0.85965432899999994</v>
      </c>
      <c r="H4" s="6" t="s">
        <v>11</v>
      </c>
      <c r="I4" s="6">
        <f>9.3/100</f>
        <v>9.3000000000000013E-2</v>
      </c>
      <c r="J4" s="7">
        <f>I4*G4</f>
        <v>7.9947852597000005E-2</v>
      </c>
      <c r="K4" s="2" t="s">
        <v>32</v>
      </c>
      <c r="L4" s="2">
        <f>1.4/100</f>
        <v>1.3999999999999999E-2</v>
      </c>
      <c r="M4" s="2">
        <f>L4*G4</f>
        <v>1.2035160605999998E-2</v>
      </c>
    </row>
    <row r="5" spans="1:13" x14ac:dyDescent="0.25">
      <c r="A5" s="4">
        <v>27.169</v>
      </c>
      <c r="B5" s="4" t="s">
        <v>2</v>
      </c>
      <c r="C5" s="5">
        <f t="shared" ref="C5:C51" si="0">15.9/100</f>
        <v>0.159</v>
      </c>
      <c r="D5" s="6">
        <f>C5*A5</f>
        <v>4.319871</v>
      </c>
      <c r="E5" s="6" t="s">
        <v>43</v>
      </c>
      <c r="F5" s="5">
        <f t="shared" ref="F5:F11" si="1">19.9/100</f>
        <v>0.19899999999999998</v>
      </c>
      <c r="G5" s="5">
        <f>D5*F5</f>
        <v>0.85965432899999994</v>
      </c>
      <c r="H5" s="6" t="s">
        <v>12</v>
      </c>
      <c r="I5" s="6">
        <f>3/100</f>
        <v>0.03</v>
      </c>
      <c r="J5" s="8">
        <f t="shared" ref="J5:J10" si="2">G5*I5</f>
        <v>2.5789629869999997E-2</v>
      </c>
      <c r="K5" s="2" t="s">
        <v>33</v>
      </c>
      <c r="L5" s="2">
        <f>4.8/100</f>
        <v>4.8000000000000001E-2</v>
      </c>
      <c r="M5" s="2">
        <f t="shared" ref="M5:M11" si="3">L5*G5</f>
        <v>4.1263407791999995E-2</v>
      </c>
    </row>
    <row r="6" spans="1:13" x14ac:dyDescent="0.25">
      <c r="A6" s="4">
        <v>27.169</v>
      </c>
      <c r="B6" s="4" t="s">
        <v>2</v>
      </c>
      <c r="C6" s="5">
        <f t="shared" si="0"/>
        <v>0.159</v>
      </c>
      <c r="D6" s="6">
        <f t="shared" ref="D6:D92" si="4">C6*A6</f>
        <v>4.319871</v>
      </c>
      <c r="E6" s="6" t="s">
        <v>14</v>
      </c>
      <c r="F6" s="5">
        <f t="shared" si="1"/>
        <v>0.19899999999999998</v>
      </c>
      <c r="G6" s="5">
        <f t="shared" ref="G6:G11" si="5">D6*F6</f>
        <v>0.85965432899999994</v>
      </c>
      <c r="H6" s="6" t="s">
        <v>7</v>
      </c>
      <c r="I6" s="14">
        <f>5/100</f>
        <v>0.05</v>
      </c>
      <c r="J6" s="8">
        <f t="shared" si="2"/>
        <v>4.298271645E-2</v>
      </c>
      <c r="K6" s="2" t="s">
        <v>34</v>
      </c>
      <c r="L6" s="2">
        <f>9/100</f>
        <v>0.09</v>
      </c>
      <c r="M6" s="2">
        <f t="shared" si="3"/>
        <v>7.7368889609999991E-2</v>
      </c>
    </row>
    <row r="7" spans="1:13" x14ac:dyDescent="0.25">
      <c r="A7" s="4">
        <v>27.169</v>
      </c>
      <c r="B7" s="4" t="s">
        <v>2</v>
      </c>
      <c r="C7" s="5">
        <f t="shared" si="0"/>
        <v>0.159</v>
      </c>
      <c r="D7" s="6">
        <f t="shared" si="4"/>
        <v>4.319871</v>
      </c>
      <c r="E7" s="6" t="s">
        <v>14</v>
      </c>
      <c r="F7" s="5">
        <f t="shared" si="1"/>
        <v>0.19899999999999998</v>
      </c>
      <c r="G7" s="5">
        <f t="shared" si="5"/>
        <v>0.85965432899999994</v>
      </c>
      <c r="H7" s="6" t="s">
        <v>8</v>
      </c>
      <c r="I7" s="6">
        <f>30.4/100</f>
        <v>0.30399999999999999</v>
      </c>
      <c r="J7" s="8">
        <f t="shared" si="2"/>
        <v>0.26133491601599995</v>
      </c>
      <c r="K7" s="2" t="s">
        <v>35</v>
      </c>
      <c r="L7" s="2">
        <f>30.6/100</f>
        <v>0.30599999999999999</v>
      </c>
      <c r="M7" s="2">
        <f t="shared" si="3"/>
        <v>0.26305422467399997</v>
      </c>
    </row>
    <row r="8" spans="1:13" x14ac:dyDescent="0.25">
      <c r="A8" s="4">
        <v>27.169</v>
      </c>
      <c r="B8" s="4" t="s">
        <v>2</v>
      </c>
      <c r="C8" s="5">
        <f t="shared" si="0"/>
        <v>0.159</v>
      </c>
      <c r="D8" s="6">
        <f t="shared" si="4"/>
        <v>4.319871</v>
      </c>
      <c r="E8" s="6" t="s">
        <v>14</v>
      </c>
      <c r="F8" s="5">
        <f t="shared" si="1"/>
        <v>0.19899999999999998</v>
      </c>
      <c r="G8" s="5">
        <f t="shared" si="5"/>
        <v>0.85965432899999994</v>
      </c>
      <c r="H8" s="6" t="s">
        <v>10</v>
      </c>
      <c r="I8" s="6">
        <f>5.7/100</f>
        <v>5.7000000000000002E-2</v>
      </c>
      <c r="J8" s="8">
        <f t="shared" si="2"/>
        <v>4.9000296753000001E-2</v>
      </c>
      <c r="K8" s="2" t="s">
        <v>36</v>
      </c>
      <c r="L8" s="2">
        <f>27.5/100</f>
        <v>0.27500000000000002</v>
      </c>
      <c r="M8" s="2">
        <f t="shared" si="3"/>
        <v>0.23640494047499999</v>
      </c>
    </row>
    <row r="9" spans="1:13" x14ac:dyDescent="0.25">
      <c r="A9" s="4">
        <v>27.169</v>
      </c>
      <c r="B9" s="4" t="s">
        <v>2</v>
      </c>
      <c r="C9" s="5">
        <f t="shared" si="0"/>
        <v>0.159</v>
      </c>
      <c r="D9" s="6">
        <f>C9*A9</f>
        <v>4.319871</v>
      </c>
      <c r="E9" s="6" t="s">
        <v>14</v>
      </c>
      <c r="F9" s="5">
        <f t="shared" si="1"/>
        <v>0.19899999999999998</v>
      </c>
      <c r="G9" s="5">
        <f t="shared" si="5"/>
        <v>0.85965432899999994</v>
      </c>
      <c r="H9" s="6" t="s">
        <v>9</v>
      </c>
      <c r="I9" s="6">
        <f>46.2/100</f>
        <v>0.46200000000000002</v>
      </c>
      <c r="J9" s="8">
        <f t="shared" si="2"/>
        <v>0.39716029999800001</v>
      </c>
      <c r="K9" s="2" t="s">
        <v>37</v>
      </c>
      <c r="L9" s="2">
        <f>24.6/100</f>
        <v>0.24600000000000002</v>
      </c>
      <c r="M9" s="2">
        <f t="shared" si="3"/>
        <v>0.211474964934</v>
      </c>
    </row>
    <row r="10" spans="1:13" x14ac:dyDescent="0.25">
      <c r="A10" s="4">
        <v>27.169</v>
      </c>
      <c r="B10" s="4" t="s">
        <v>2</v>
      </c>
      <c r="C10" s="5">
        <f t="shared" si="0"/>
        <v>0.159</v>
      </c>
      <c r="D10" s="6">
        <f t="shared" si="4"/>
        <v>4.319871</v>
      </c>
      <c r="E10" s="6" t="s">
        <v>14</v>
      </c>
      <c r="F10" s="5">
        <f t="shared" si="1"/>
        <v>0.19899999999999998</v>
      </c>
      <c r="G10" s="5">
        <f t="shared" si="5"/>
        <v>0.85965432899999994</v>
      </c>
      <c r="H10" s="6" t="s">
        <v>55</v>
      </c>
      <c r="I10" s="6">
        <f>0.4/100</f>
        <v>4.0000000000000001E-3</v>
      </c>
      <c r="J10" s="8">
        <f t="shared" si="2"/>
        <v>3.4386173159999998E-3</v>
      </c>
      <c r="K10" s="2" t="s">
        <v>38</v>
      </c>
      <c r="L10" s="2">
        <f>1.4/100</f>
        <v>1.3999999999999999E-2</v>
      </c>
      <c r="M10" s="2">
        <f t="shared" si="3"/>
        <v>1.2035160605999998E-2</v>
      </c>
    </row>
    <row r="11" spans="1:13" x14ac:dyDescent="0.25">
      <c r="A11" s="4">
        <v>27.169</v>
      </c>
      <c r="B11" s="4" t="s">
        <v>2</v>
      </c>
      <c r="C11" s="5">
        <f t="shared" si="0"/>
        <v>0.159</v>
      </c>
      <c r="D11" s="6">
        <f t="shared" si="4"/>
        <v>4.319871</v>
      </c>
      <c r="E11" s="6" t="s">
        <v>14</v>
      </c>
      <c r="F11" s="5">
        <f t="shared" si="1"/>
        <v>0.19899999999999998</v>
      </c>
      <c r="G11" s="5">
        <f t="shared" si="5"/>
        <v>0.85965432899999994</v>
      </c>
      <c r="H11" s="6"/>
      <c r="I11" s="6"/>
      <c r="J11" s="8"/>
      <c r="K11" s="2" t="s">
        <v>39</v>
      </c>
      <c r="L11" s="2">
        <f>0.7/100</f>
        <v>6.9999999999999993E-3</v>
      </c>
      <c r="M11" s="2">
        <f t="shared" si="3"/>
        <v>6.017580302999999E-3</v>
      </c>
    </row>
    <row r="12" spans="1:13" x14ac:dyDescent="0.25">
      <c r="A12" s="4">
        <v>27.169</v>
      </c>
      <c r="B12" s="4" t="s">
        <v>2</v>
      </c>
      <c r="C12" s="5">
        <f t="shared" si="0"/>
        <v>0.159</v>
      </c>
      <c r="D12" s="6">
        <f t="shared" si="4"/>
        <v>4.319871</v>
      </c>
      <c r="E12" s="6" t="s">
        <v>44</v>
      </c>
      <c r="F12" s="8">
        <f>19/100</f>
        <v>0.19</v>
      </c>
      <c r="G12" s="6">
        <f>F12*D12</f>
        <v>0.82077549000000005</v>
      </c>
      <c r="H12" s="6" t="s">
        <v>11</v>
      </c>
      <c r="I12" s="6">
        <f>0/100</f>
        <v>0</v>
      </c>
      <c r="J12" s="8">
        <f>I12*G12</f>
        <v>0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27.169</v>
      </c>
      <c r="B13" s="4" t="s">
        <v>2</v>
      </c>
      <c r="C13" s="5">
        <f t="shared" si="0"/>
        <v>0.159</v>
      </c>
      <c r="D13" s="6">
        <f t="shared" si="4"/>
        <v>4.319871</v>
      </c>
      <c r="E13" s="6" t="s">
        <v>15</v>
      </c>
      <c r="F13" s="8">
        <f t="shared" ref="F13:F19" si="6">19/100</f>
        <v>0.19</v>
      </c>
      <c r="G13" s="6">
        <f t="shared" ref="G13:G19" si="7">F13*D13</f>
        <v>0.82077549000000005</v>
      </c>
      <c r="H13" s="6" t="s">
        <v>12</v>
      </c>
      <c r="I13" s="6">
        <f>8/100</f>
        <v>0.08</v>
      </c>
      <c r="J13" s="8">
        <f t="shared" ref="J13:J17" si="8">I13*G13</f>
        <v>6.5662039200000008E-2</v>
      </c>
      <c r="K13" s="2" t="s">
        <v>33</v>
      </c>
      <c r="L13" s="2">
        <f>1.1/100</f>
        <v>1.1000000000000001E-2</v>
      </c>
      <c r="M13" s="2">
        <f t="shared" ref="M13:M19" si="9">L13*G13</f>
        <v>9.0285303900000009E-3</v>
      </c>
    </row>
    <row r="14" spans="1:13" x14ac:dyDescent="0.25">
      <c r="A14" s="4">
        <v>27.169</v>
      </c>
      <c r="B14" s="4" t="s">
        <v>2</v>
      </c>
      <c r="C14" s="5">
        <f t="shared" si="0"/>
        <v>0.159</v>
      </c>
      <c r="D14" s="6">
        <f t="shared" si="4"/>
        <v>4.319871</v>
      </c>
      <c r="E14" s="6" t="s">
        <v>15</v>
      </c>
      <c r="F14" s="8">
        <f t="shared" si="6"/>
        <v>0.19</v>
      </c>
      <c r="G14" s="6">
        <f t="shared" si="7"/>
        <v>0.82077549000000005</v>
      </c>
      <c r="H14" s="6" t="s">
        <v>7</v>
      </c>
      <c r="I14" s="6">
        <f>1.8/100</f>
        <v>1.8000000000000002E-2</v>
      </c>
      <c r="J14" s="8">
        <f t="shared" si="8"/>
        <v>1.4773958820000002E-2</v>
      </c>
      <c r="K14" s="2" t="s">
        <v>34</v>
      </c>
      <c r="L14" s="2">
        <f>21.7/100</f>
        <v>0.217</v>
      </c>
      <c r="M14" s="2">
        <f t="shared" si="9"/>
        <v>0.17810828133000001</v>
      </c>
    </row>
    <row r="15" spans="1:13" x14ac:dyDescent="0.25">
      <c r="A15" s="4">
        <v>27.169</v>
      </c>
      <c r="B15" s="4" t="s">
        <v>2</v>
      </c>
      <c r="C15" s="5">
        <f t="shared" si="0"/>
        <v>0.159</v>
      </c>
      <c r="D15" s="6">
        <f t="shared" si="4"/>
        <v>4.319871</v>
      </c>
      <c r="E15" s="6" t="s">
        <v>15</v>
      </c>
      <c r="F15" s="8">
        <f t="shared" si="6"/>
        <v>0.19</v>
      </c>
      <c r="G15" s="6">
        <f t="shared" si="7"/>
        <v>0.82077549000000005</v>
      </c>
      <c r="H15" s="6" t="s">
        <v>8</v>
      </c>
      <c r="I15" s="6">
        <f>30.2/100</f>
        <v>0.30199999999999999</v>
      </c>
      <c r="J15" s="8">
        <f>I15*G15</f>
        <v>0.24787419798000002</v>
      </c>
      <c r="K15" s="2" t="s">
        <v>35</v>
      </c>
      <c r="L15" s="2">
        <f>30.3/100</f>
        <v>0.30299999999999999</v>
      </c>
      <c r="M15" s="2">
        <f t="shared" si="9"/>
        <v>0.24869497347</v>
      </c>
    </row>
    <row r="16" spans="1:13" x14ac:dyDescent="0.25">
      <c r="A16" s="4">
        <v>27.169</v>
      </c>
      <c r="B16" s="4" t="s">
        <v>2</v>
      </c>
      <c r="C16" s="5">
        <f t="shared" si="0"/>
        <v>0.159</v>
      </c>
      <c r="D16" s="6">
        <f t="shared" si="4"/>
        <v>4.319871</v>
      </c>
      <c r="E16" s="6" t="s">
        <v>15</v>
      </c>
      <c r="F16" s="8">
        <f t="shared" si="6"/>
        <v>0.19</v>
      </c>
      <c r="G16" s="6">
        <f t="shared" si="7"/>
        <v>0.82077549000000005</v>
      </c>
      <c r="H16" s="6" t="s">
        <v>10</v>
      </c>
      <c r="I16" s="6">
        <f>4.6/100</f>
        <v>4.5999999999999999E-2</v>
      </c>
      <c r="J16" s="8">
        <f t="shared" si="8"/>
        <v>3.775567254E-2</v>
      </c>
      <c r="K16" s="2" t="s">
        <v>36</v>
      </c>
      <c r="L16" s="2">
        <f>31.3/100</f>
        <v>0.313</v>
      </c>
      <c r="M16" s="2">
        <f t="shared" si="9"/>
        <v>0.25690272837</v>
      </c>
    </row>
    <row r="17" spans="1:13" x14ac:dyDescent="0.25">
      <c r="A17" s="4">
        <v>27.169</v>
      </c>
      <c r="B17" s="4" t="s">
        <v>2</v>
      </c>
      <c r="C17" s="5">
        <f t="shared" si="0"/>
        <v>0.159</v>
      </c>
      <c r="D17" s="6">
        <f t="shared" si="4"/>
        <v>4.319871</v>
      </c>
      <c r="E17" s="6" t="s">
        <v>15</v>
      </c>
      <c r="F17" s="8">
        <f t="shared" si="6"/>
        <v>0.19</v>
      </c>
      <c r="G17" s="6">
        <f t="shared" si="7"/>
        <v>0.82077549000000005</v>
      </c>
      <c r="H17" s="6" t="s">
        <v>9</v>
      </c>
      <c r="I17" s="6">
        <f>55.5/100</f>
        <v>0.55500000000000005</v>
      </c>
      <c r="J17" s="8">
        <f t="shared" si="8"/>
        <v>0.45553039695000008</v>
      </c>
      <c r="K17" s="2" t="s">
        <v>37</v>
      </c>
      <c r="L17" s="2">
        <f>15.8/100</f>
        <v>0.158</v>
      </c>
      <c r="M17" s="2">
        <f t="shared" si="9"/>
        <v>0.12968252742</v>
      </c>
    </row>
    <row r="18" spans="1:13" x14ac:dyDescent="0.25">
      <c r="A18" s="4">
        <v>27.169</v>
      </c>
      <c r="B18" s="4" t="s">
        <v>2</v>
      </c>
      <c r="C18" s="5">
        <f t="shared" si="0"/>
        <v>0.159</v>
      </c>
      <c r="D18" s="6">
        <f t="shared" si="4"/>
        <v>4.319871</v>
      </c>
      <c r="E18" s="6" t="s">
        <v>15</v>
      </c>
      <c r="F18" s="8">
        <f t="shared" si="6"/>
        <v>0.19</v>
      </c>
      <c r="G18" s="6">
        <f t="shared" si="7"/>
        <v>0.82077549000000005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27.169</v>
      </c>
      <c r="B19" s="4" t="s">
        <v>2</v>
      </c>
      <c r="C19" s="5">
        <f t="shared" si="0"/>
        <v>0.159</v>
      </c>
      <c r="D19" s="6">
        <f t="shared" si="4"/>
        <v>4.319871</v>
      </c>
      <c r="E19" s="6" t="s">
        <v>15</v>
      </c>
      <c r="F19" s="8">
        <f t="shared" si="6"/>
        <v>0.19</v>
      </c>
      <c r="G19" s="6">
        <f t="shared" si="7"/>
        <v>0.82077549000000005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27.169</v>
      </c>
      <c r="B20" s="4" t="s">
        <v>2</v>
      </c>
      <c r="C20" s="5">
        <f t="shared" si="0"/>
        <v>0.159</v>
      </c>
      <c r="D20" s="6">
        <f t="shared" si="4"/>
        <v>4.319871</v>
      </c>
      <c r="E20" s="6" t="s">
        <v>45</v>
      </c>
      <c r="F20" s="6">
        <f>16.9/100</f>
        <v>0.16899999999999998</v>
      </c>
      <c r="G20" s="6">
        <f>F20*D20</f>
        <v>0.73005819899999991</v>
      </c>
      <c r="H20" s="6" t="s">
        <v>11</v>
      </c>
      <c r="I20" s="6">
        <f>9.2/100</f>
        <v>9.1999999999999998E-2</v>
      </c>
      <c r="J20" s="6">
        <f>I20*G20</f>
        <v>6.7165354307999997E-2</v>
      </c>
      <c r="K20" s="2" t="s">
        <v>32</v>
      </c>
      <c r="L20" s="2">
        <f>2.1/100</f>
        <v>2.1000000000000001E-2</v>
      </c>
      <c r="M20" s="2">
        <f>L20*G20</f>
        <v>1.5331222178999999E-2</v>
      </c>
    </row>
    <row r="21" spans="1:13" x14ac:dyDescent="0.25">
      <c r="A21" s="4">
        <v>27.169</v>
      </c>
      <c r="B21" s="4" t="s">
        <v>2</v>
      </c>
      <c r="C21" s="5">
        <f t="shared" si="0"/>
        <v>0.159</v>
      </c>
      <c r="D21" s="6">
        <f t="shared" si="4"/>
        <v>4.319871</v>
      </c>
      <c r="E21" s="6" t="s">
        <v>16</v>
      </c>
      <c r="F21" s="6">
        <f t="shared" ref="F21:F27" si="10">16.9/100</f>
        <v>0.16899999999999998</v>
      </c>
      <c r="G21" s="6">
        <f t="shared" ref="G21:G98" si="11">F21*D21</f>
        <v>0.73005819899999991</v>
      </c>
      <c r="H21" s="6" t="s">
        <v>12</v>
      </c>
      <c r="I21" s="6">
        <f>2.1/100</f>
        <v>2.1000000000000001E-2</v>
      </c>
      <c r="J21" s="6">
        <f t="shared" ref="J21:J26" si="12">I21*G21</f>
        <v>1.5331222178999999E-2</v>
      </c>
      <c r="K21" s="2" t="s">
        <v>33</v>
      </c>
      <c r="L21" s="2">
        <f>4.9/100</f>
        <v>4.9000000000000002E-2</v>
      </c>
      <c r="M21" s="2">
        <f t="shared" ref="M21:M27" si="13">L21*G21</f>
        <v>3.5772851751E-2</v>
      </c>
    </row>
    <row r="22" spans="1:13" x14ac:dyDescent="0.25">
      <c r="A22" s="4">
        <v>27.169</v>
      </c>
      <c r="B22" s="4" t="s">
        <v>2</v>
      </c>
      <c r="C22" s="5">
        <f t="shared" si="0"/>
        <v>0.159</v>
      </c>
      <c r="D22" s="6">
        <f t="shared" si="4"/>
        <v>4.319871</v>
      </c>
      <c r="E22" s="6" t="s">
        <v>16</v>
      </c>
      <c r="F22" s="6">
        <f t="shared" si="10"/>
        <v>0.16899999999999998</v>
      </c>
      <c r="G22" s="6">
        <f t="shared" si="11"/>
        <v>0.73005819899999991</v>
      </c>
      <c r="H22" s="6" t="s">
        <v>7</v>
      </c>
      <c r="I22" s="6">
        <f>3.8/100</f>
        <v>3.7999999999999999E-2</v>
      </c>
      <c r="J22" s="6">
        <f t="shared" si="12"/>
        <v>2.7742211561999994E-2</v>
      </c>
      <c r="K22" s="2" t="s">
        <v>34</v>
      </c>
      <c r="L22" s="2">
        <f>11.6/100</f>
        <v>0.11599999999999999</v>
      </c>
      <c r="M22" s="2">
        <f t="shared" si="13"/>
        <v>8.4686751083999978E-2</v>
      </c>
    </row>
    <row r="23" spans="1:13" x14ac:dyDescent="0.25">
      <c r="A23" s="4">
        <v>27.169</v>
      </c>
      <c r="B23" s="4" t="s">
        <v>2</v>
      </c>
      <c r="C23" s="5">
        <f t="shared" si="0"/>
        <v>0.159</v>
      </c>
      <c r="D23" s="6">
        <f t="shared" si="4"/>
        <v>4.319871</v>
      </c>
      <c r="E23" s="6" t="s">
        <v>16</v>
      </c>
      <c r="F23" s="6">
        <f t="shared" si="10"/>
        <v>0.16899999999999998</v>
      </c>
      <c r="G23" s="6">
        <f t="shared" si="11"/>
        <v>0.73005819899999991</v>
      </c>
      <c r="H23" s="6" t="s">
        <v>8</v>
      </c>
      <c r="I23" s="6">
        <f>22/100</f>
        <v>0.22</v>
      </c>
      <c r="J23" s="6">
        <f t="shared" si="12"/>
        <v>0.16061280377999998</v>
      </c>
      <c r="K23" s="2" t="s">
        <v>35</v>
      </c>
      <c r="L23" s="2">
        <f>29.8/100</f>
        <v>0.29799999999999999</v>
      </c>
      <c r="M23" s="2">
        <f t="shared" si="13"/>
        <v>0.21755734330199997</v>
      </c>
    </row>
    <row r="24" spans="1:13" x14ac:dyDescent="0.25">
      <c r="A24" s="4">
        <v>27.169</v>
      </c>
      <c r="B24" s="4" t="s">
        <v>2</v>
      </c>
      <c r="C24" s="5">
        <f t="shared" si="0"/>
        <v>0.159</v>
      </c>
      <c r="D24" s="6">
        <f t="shared" si="4"/>
        <v>4.319871</v>
      </c>
      <c r="E24" s="6" t="s">
        <v>16</v>
      </c>
      <c r="F24" s="6">
        <f t="shared" si="10"/>
        <v>0.16899999999999998</v>
      </c>
      <c r="G24" s="6">
        <f t="shared" si="11"/>
        <v>0.73005819899999991</v>
      </c>
      <c r="H24" s="6" t="s">
        <v>10</v>
      </c>
      <c r="I24" s="6">
        <f>6.5/100</f>
        <v>6.5000000000000002E-2</v>
      </c>
      <c r="J24" s="6">
        <f t="shared" si="12"/>
        <v>4.7453782934999994E-2</v>
      </c>
      <c r="K24" s="2" t="s">
        <v>36</v>
      </c>
      <c r="L24" s="2">
        <f>25.3/100</f>
        <v>0.253</v>
      </c>
      <c r="M24" s="2">
        <f t="shared" si="13"/>
        <v>0.18470472434699997</v>
      </c>
    </row>
    <row r="25" spans="1:13" x14ac:dyDescent="0.25">
      <c r="A25" s="4">
        <v>27.169</v>
      </c>
      <c r="B25" s="4" t="s">
        <v>2</v>
      </c>
      <c r="C25" s="5">
        <f t="shared" si="0"/>
        <v>0.159</v>
      </c>
      <c r="D25" s="6">
        <f t="shared" si="4"/>
        <v>4.319871</v>
      </c>
      <c r="E25" s="6" t="s">
        <v>16</v>
      </c>
      <c r="F25" s="6">
        <f t="shared" si="10"/>
        <v>0.16899999999999998</v>
      </c>
      <c r="G25" s="6">
        <f t="shared" si="11"/>
        <v>0.73005819899999991</v>
      </c>
      <c r="H25" s="6" t="s">
        <v>9</v>
      </c>
      <c r="I25" s="6">
        <f>55/100</f>
        <v>0.55000000000000004</v>
      </c>
      <c r="J25" s="6">
        <f t="shared" si="12"/>
        <v>0.40153200945</v>
      </c>
      <c r="K25" s="2" t="s">
        <v>37</v>
      </c>
      <c r="L25" s="2">
        <f>25.2/100</f>
        <v>0.252</v>
      </c>
      <c r="M25" s="2">
        <f t="shared" si="13"/>
        <v>0.18397466614799998</v>
      </c>
    </row>
    <row r="26" spans="1:13" x14ac:dyDescent="0.25">
      <c r="A26" s="4">
        <v>27.169</v>
      </c>
      <c r="B26" s="4" t="s">
        <v>2</v>
      </c>
      <c r="C26" s="5">
        <f t="shared" si="0"/>
        <v>0.159</v>
      </c>
      <c r="D26" s="6">
        <f t="shared" si="4"/>
        <v>4.319871</v>
      </c>
      <c r="E26" s="6" t="s">
        <v>16</v>
      </c>
      <c r="F26" s="6">
        <f t="shared" si="10"/>
        <v>0.16899999999999998</v>
      </c>
      <c r="G26" s="6">
        <f t="shared" si="11"/>
        <v>0.73005819899999991</v>
      </c>
      <c r="H26" s="6" t="s">
        <v>55</v>
      </c>
      <c r="I26" s="6">
        <f>1.3/100</f>
        <v>1.3000000000000001E-2</v>
      </c>
      <c r="J26" s="6">
        <f t="shared" si="12"/>
        <v>9.4907565870000002E-3</v>
      </c>
      <c r="K26" s="2" t="s">
        <v>38</v>
      </c>
      <c r="L26" s="2">
        <f>0.3/100</f>
        <v>3.0000000000000001E-3</v>
      </c>
      <c r="M26" s="2">
        <f t="shared" si="13"/>
        <v>2.1901745969999998E-3</v>
      </c>
    </row>
    <row r="27" spans="1:13" x14ac:dyDescent="0.25">
      <c r="A27" s="4">
        <v>27.169</v>
      </c>
      <c r="B27" s="4" t="s">
        <v>2</v>
      </c>
      <c r="C27" s="5">
        <f t="shared" si="0"/>
        <v>0.159</v>
      </c>
      <c r="D27" s="6">
        <f t="shared" si="4"/>
        <v>4.319871</v>
      </c>
      <c r="E27" s="6" t="s">
        <v>16</v>
      </c>
      <c r="F27" s="6">
        <f t="shared" si="10"/>
        <v>0.16899999999999998</v>
      </c>
      <c r="G27" s="6">
        <f t="shared" si="11"/>
        <v>0.73005819899999991</v>
      </c>
      <c r="H27" s="6"/>
      <c r="I27" s="6"/>
      <c r="J27" s="6"/>
      <c r="K27" s="2" t="s">
        <v>39</v>
      </c>
      <c r="L27" s="2">
        <f>0.8/100</f>
        <v>8.0000000000000002E-3</v>
      </c>
      <c r="M27" s="2">
        <f t="shared" si="13"/>
        <v>5.8404655919999998E-3</v>
      </c>
    </row>
    <row r="28" spans="1:13" x14ac:dyDescent="0.25">
      <c r="A28" s="4">
        <v>27.169</v>
      </c>
      <c r="B28" s="4" t="s">
        <v>2</v>
      </c>
      <c r="C28" s="5">
        <f t="shared" si="0"/>
        <v>0.159</v>
      </c>
      <c r="D28" s="6">
        <f t="shared" si="4"/>
        <v>4.319871</v>
      </c>
      <c r="E28" s="6" t="s">
        <v>46</v>
      </c>
      <c r="F28" s="8">
        <f>17.4/100</f>
        <v>0.17399999999999999</v>
      </c>
      <c r="G28" s="6">
        <f t="shared" si="11"/>
        <v>0.75165755400000001</v>
      </c>
      <c r="H28" s="6" t="s">
        <v>11</v>
      </c>
      <c r="I28" s="8">
        <f>25.9/100</f>
        <v>0.25900000000000001</v>
      </c>
      <c r="J28" s="8">
        <f>I28*G28</f>
        <v>0.19467930648600001</v>
      </c>
      <c r="K28" s="2" t="s">
        <v>32</v>
      </c>
      <c r="L28" s="2">
        <f>1.7/100</f>
        <v>1.7000000000000001E-2</v>
      </c>
      <c r="M28" s="2">
        <f>L28*G28</f>
        <v>1.2778178418E-2</v>
      </c>
    </row>
    <row r="29" spans="1:13" x14ac:dyDescent="0.25">
      <c r="A29" s="4">
        <v>27.169</v>
      </c>
      <c r="B29" s="4" t="s">
        <v>2</v>
      </c>
      <c r="C29" s="5">
        <f t="shared" si="0"/>
        <v>0.159</v>
      </c>
      <c r="D29" s="6">
        <f t="shared" si="4"/>
        <v>4.319871</v>
      </c>
      <c r="E29" s="6" t="s">
        <v>13</v>
      </c>
      <c r="F29" s="8">
        <f t="shared" ref="F29:F35" si="14">17.4/100</f>
        <v>0.17399999999999999</v>
      </c>
      <c r="G29" s="6">
        <f t="shared" si="11"/>
        <v>0.75165755400000001</v>
      </c>
      <c r="H29" s="6" t="s">
        <v>12</v>
      </c>
      <c r="I29" s="8">
        <f>6.7/100</f>
        <v>6.7000000000000004E-2</v>
      </c>
      <c r="J29" s="8">
        <f t="shared" ref="J29:J33" si="15">I29*G29</f>
        <v>5.0361056118E-2</v>
      </c>
      <c r="K29" s="2" t="s">
        <v>33</v>
      </c>
      <c r="L29" s="2">
        <f>5.6/100</f>
        <v>5.5999999999999994E-2</v>
      </c>
      <c r="M29" s="2">
        <f t="shared" ref="M29:M31" si="16">L29*G29</f>
        <v>4.2092823023999998E-2</v>
      </c>
    </row>
    <row r="30" spans="1:13" x14ac:dyDescent="0.25">
      <c r="A30" s="4">
        <v>27.169</v>
      </c>
      <c r="B30" s="4" t="s">
        <v>2</v>
      </c>
      <c r="C30" s="5">
        <f t="shared" si="0"/>
        <v>0.159</v>
      </c>
      <c r="D30" s="6">
        <f t="shared" si="4"/>
        <v>4.319871</v>
      </c>
      <c r="E30" s="6" t="s">
        <v>13</v>
      </c>
      <c r="F30" s="8">
        <f t="shared" si="14"/>
        <v>0.17399999999999999</v>
      </c>
      <c r="G30" s="6">
        <f t="shared" si="11"/>
        <v>0.75165755400000001</v>
      </c>
      <c r="H30" s="6" t="s">
        <v>7</v>
      </c>
      <c r="I30" s="8">
        <f>7.6/100</f>
        <v>7.5999999999999998E-2</v>
      </c>
      <c r="J30" s="8">
        <f t="shared" si="15"/>
        <v>5.7125974103999999E-2</v>
      </c>
      <c r="K30" s="2" t="s">
        <v>34</v>
      </c>
      <c r="L30" s="2">
        <f>10.1/100</f>
        <v>0.10099999999999999</v>
      </c>
      <c r="M30" s="2">
        <f t="shared" si="16"/>
        <v>7.5917412953999994E-2</v>
      </c>
    </row>
    <row r="31" spans="1:13" x14ac:dyDescent="0.25">
      <c r="A31" s="4">
        <v>27.169</v>
      </c>
      <c r="B31" s="4" t="s">
        <v>2</v>
      </c>
      <c r="C31" s="5">
        <f t="shared" si="0"/>
        <v>0.159</v>
      </c>
      <c r="D31" s="6">
        <f t="shared" si="4"/>
        <v>4.319871</v>
      </c>
      <c r="E31" s="6" t="s">
        <v>13</v>
      </c>
      <c r="F31" s="8">
        <f t="shared" si="14"/>
        <v>0.17399999999999999</v>
      </c>
      <c r="G31" s="6">
        <f t="shared" si="11"/>
        <v>0.75165755400000001</v>
      </c>
      <c r="H31" s="6" t="s">
        <v>8</v>
      </c>
      <c r="I31" s="8">
        <f>32.3/100</f>
        <v>0.32299999999999995</v>
      </c>
      <c r="J31" s="8">
        <f t="shared" si="15"/>
        <v>0.24278538994199997</v>
      </c>
      <c r="K31" s="2" t="s">
        <v>35</v>
      </c>
      <c r="L31" s="2">
        <f>31.3/100</f>
        <v>0.313</v>
      </c>
      <c r="M31" s="2">
        <f t="shared" si="16"/>
        <v>0.23526881440200001</v>
      </c>
    </row>
    <row r="32" spans="1:13" x14ac:dyDescent="0.25">
      <c r="A32" s="4">
        <v>27.169</v>
      </c>
      <c r="B32" s="4" t="s">
        <v>2</v>
      </c>
      <c r="C32" s="5">
        <f t="shared" si="0"/>
        <v>0.159</v>
      </c>
      <c r="D32" s="6">
        <f t="shared" si="4"/>
        <v>4.319871</v>
      </c>
      <c r="E32" s="6" t="s">
        <v>13</v>
      </c>
      <c r="F32" s="8">
        <f t="shared" si="14"/>
        <v>0.17399999999999999</v>
      </c>
      <c r="G32" s="6">
        <f t="shared" si="11"/>
        <v>0.75165755400000001</v>
      </c>
      <c r="H32" s="6" t="s">
        <v>10</v>
      </c>
      <c r="I32" s="8">
        <f>4.9/100</f>
        <v>4.9000000000000002E-2</v>
      </c>
      <c r="J32" s="8">
        <f t="shared" si="15"/>
        <v>3.6831220146000002E-2</v>
      </c>
      <c r="K32" s="2" t="s">
        <v>36</v>
      </c>
      <c r="L32" s="2">
        <f>30.1/100</f>
        <v>0.30099999999999999</v>
      </c>
      <c r="M32" s="2" t="e">
        <f>#REF!*G32</f>
        <v>#REF!</v>
      </c>
    </row>
    <row r="33" spans="1:13" x14ac:dyDescent="0.25">
      <c r="A33" s="4">
        <v>27.169</v>
      </c>
      <c r="B33" s="4" t="s">
        <v>2</v>
      </c>
      <c r="C33" s="5">
        <f t="shared" si="0"/>
        <v>0.159</v>
      </c>
      <c r="D33" s="6">
        <f t="shared" si="4"/>
        <v>4.319871</v>
      </c>
      <c r="E33" s="6" t="s">
        <v>13</v>
      </c>
      <c r="F33" s="8">
        <f t="shared" si="14"/>
        <v>0.17399999999999999</v>
      </c>
      <c r="G33" s="6">
        <f t="shared" si="11"/>
        <v>0.75165755400000001</v>
      </c>
      <c r="H33" s="6" t="s">
        <v>9</v>
      </c>
      <c r="I33" s="8">
        <f>21.8/100</f>
        <v>0.218</v>
      </c>
      <c r="J33" s="8">
        <f t="shared" si="15"/>
        <v>0.16386134677200001</v>
      </c>
      <c r="K33" s="2" t="s">
        <v>37</v>
      </c>
      <c r="L33" s="2">
        <f>18.8/100</f>
        <v>0.188</v>
      </c>
      <c r="M33" s="2">
        <f>L32*G33</f>
        <v>0.22624892375399999</v>
      </c>
    </row>
    <row r="34" spans="1:13" x14ac:dyDescent="0.25">
      <c r="A34" s="4">
        <v>27.169</v>
      </c>
      <c r="B34" s="4" t="s">
        <v>2</v>
      </c>
      <c r="C34" s="5">
        <f t="shared" si="0"/>
        <v>0.159</v>
      </c>
      <c r="D34" s="6">
        <f t="shared" si="4"/>
        <v>4.319871</v>
      </c>
      <c r="E34" s="6" t="s">
        <v>13</v>
      </c>
      <c r="F34" s="8">
        <f t="shared" si="14"/>
        <v>0.17399999999999999</v>
      </c>
      <c r="G34" s="6">
        <f t="shared" si="11"/>
        <v>0.75165755400000001</v>
      </c>
      <c r="H34" s="6" t="s">
        <v>55</v>
      </c>
      <c r="I34" s="8">
        <f>0.8/100</f>
        <v>8.0000000000000002E-3</v>
      </c>
      <c r="J34" s="8"/>
      <c r="K34" s="2" t="s">
        <v>38</v>
      </c>
      <c r="L34" s="2">
        <f>1.7/100</f>
        <v>1.7000000000000001E-2</v>
      </c>
      <c r="M34" s="2">
        <f>L33*G34</f>
        <v>0.14131162015199999</v>
      </c>
    </row>
    <row r="35" spans="1:13" x14ac:dyDescent="0.25">
      <c r="A35" s="4">
        <v>27.169</v>
      </c>
      <c r="B35" s="4" t="s">
        <v>2</v>
      </c>
      <c r="C35" s="5">
        <f t="shared" si="0"/>
        <v>0.159</v>
      </c>
      <c r="D35" s="6">
        <f t="shared" si="4"/>
        <v>4.319871</v>
      </c>
      <c r="E35" s="6" t="s">
        <v>13</v>
      </c>
      <c r="F35" s="8">
        <f t="shared" si="14"/>
        <v>0.17399999999999999</v>
      </c>
      <c r="G35" s="6">
        <f t="shared" si="11"/>
        <v>0.75165755400000001</v>
      </c>
      <c r="H35" s="6"/>
      <c r="I35" s="8"/>
      <c r="J35" s="8"/>
      <c r="K35" s="2" t="s">
        <v>39</v>
      </c>
      <c r="L35" s="2">
        <f>0.7/100</f>
        <v>6.9999999999999993E-3</v>
      </c>
      <c r="M35" s="2">
        <f>L34*G35</f>
        <v>1.2778178418E-2</v>
      </c>
    </row>
    <row r="36" spans="1:13" x14ac:dyDescent="0.25">
      <c r="A36" s="4">
        <v>27.169</v>
      </c>
      <c r="B36" s="4" t="s">
        <v>2</v>
      </c>
      <c r="C36" s="5">
        <f t="shared" si="0"/>
        <v>0.159</v>
      </c>
      <c r="D36" s="6">
        <f t="shared" si="4"/>
        <v>4.319871</v>
      </c>
      <c r="E36" s="8" t="s">
        <v>47</v>
      </c>
      <c r="F36" s="6">
        <f>10.3/100</f>
        <v>0.10300000000000001</v>
      </c>
      <c r="G36" s="6">
        <f t="shared" si="11"/>
        <v>0.44494671300000005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27.169</v>
      </c>
      <c r="B37" s="4" t="s">
        <v>2</v>
      </c>
      <c r="C37" s="5">
        <f t="shared" si="0"/>
        <v>0.159</v>
      </c>
      <c r="D37" s="6">
        <f t="shared" si="4"/>
        <v>4.319871</v>
      </c>
      <c r="E37" s="8" t="s">
        <v>17</v>
      </c>
      <c r="F37" s="6">
        <f t="shared" ref="F37:F43" si="17">10.3/100</f>
        <v>0.10300000000000001</v>
      </c>
      <c r="G37" s="6">
        <f t="shared" si="11"/>
        <v>0.44494671300000005</v>
      </c>
      <c r="H37" s="6" t="s">
        <v>12</v>
      </c>
      <c r="I37" s="6">
        <f>0/100</f>
        <v>0</v>
      </c>
      <c r="J37" s="6">
        <f t="shared" ref="J37:J41" si="18">I37*G37</f>
        <v>0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27.169</v>
      </c>
      <c r="B38" s="4" t="s">
        <v>2</v>
      </c>
      <c r="C38" s="5">
        <f t="shared" si="0"/>
        <v>0.159</v>
      </c>
      <c r="D38" s="6">
        <f t="shared" si="4"/>
        <v>4.319871</v>
      </c>
      <c r="E38" s="8" t="s">
        <v>17</v>
      </c>
      <c r="F38" s="6">
        <f t="shared" si="17"/>
        <v>0.10300000000000001</v>
      </c>
      <c r="G38" s="6">
        <f t="shared" si="11"/>
        <v>0.44494671300000005</v>
      </c>
      <c r="H38" s="6" t="s">
        <v>7</v>
      </c>
      <c r="I38" s="6">
        <f t="shared" ref="I38" si="20">0/100</f>
        <v>0</v>
      </c>
      <c r="J38" s="6">
        <f t="shared" si="18"/>
        <v>0</v>
      </c>
      <c r="K38" s="2" t="s">
        <v>34</v>
      </c>
      <c r="L38" s="2">
        <f>8.1/100</f>
        <v>8.1000000000000003E-2</v>
      </c>
      <c r="M38" s="2">
        <f t="shared" si="19"/>
        <v>3.6040683753000007E-2</v>
      </c>
    </row>
    <row r="39" spans="1:13" x14ac:dyDescent="0.25">
      <c r="A39" s="4">
        <v>27.169</v>
      </c>
      <c r="B39" s="4" t="s">
        <v>2</v>
      </c>
      <c r="C39" s="5">
        <f t="shared" si="0"/>
        <v>0.159</v>
      </c>
      <c r="D39" s="6">
        <f t="shared" si="4"/>
        <v>4.319871</v>
      </c>
      <c r="E39" s="8" t="s">
        <v>17</v>
      </c>
      <c r="F39" s="6">
        <f t="shared" si="17"/>
        <v>0.10300000000000001</v>
      </c>
      <c r="G39" s="6">
        <f t="shared" si="11"/>
        <v>0.44494671300000005</v>
      </c>
      <c r="H39" s="6" t="s">
        <v>8</v>
      </c>
      <c r="I39" s="6">
        <f>48.7/100</f>
        <v>0.48700000000000004</v>
      </c>
      <c r="J39" s="6">
        <f t="shared" si="18"/>
        <v>0.21668904923100005</v>
      </c>
      <c r="K39" s="2" t="s">
        <v>35</v>
      </c>
      <c r="L39" s="2">
        <f>21.6/100</f>
        <v>0.21600000000000003</v>
      </c>
      <c r="M39" s="2">
        <f t="shared" si="19"/>
        <v>9.6108490008000022E-2</v>
      </c>
    </row>
    <row r="40" spans="1:13" x14ac:dyDescent="0.25">
      <c r="A40" s="4">
        <v>27.169</v>
      </c>
      <c r="B40" s="4" t="s">
        <v>2</v>
      </c>
      <c r="C40" s="5">
        <f t="shared" si="0"/>
        <v>0.159</v>
      </c>
      <c r="D40" s="6">
        <f t="shared" si="4"/>
        <v>4.319871</v>
      </c>
      <c r="E40" s="8" t="s">
        <v>17</v>
      </c>
      <c r="F40" s="6">
        <f t="shared" si="17"/>
        <v>0.10300000000000001</v>
      </c>
      <c r="G40" s="6">
        <f t="shared" si="11"/>
        <v>0.44494671300000005</v>
      </c>
      <c r="H40" s="6" t="s">
        <v>10</v>
      </c>
      <c r="I40" s="6">
        <f>8.1/100</f>
        <v>8.1000000000000003E-2</v>
      </c>
      <c r="J40" s="6">
        <f t="shared" si="18"/>
        <v>3.6040683753000007E-2</v>
      </c>
      <c r="K40" s="2" t="s">
        <v>36</v>
      </c>
      <c r="L40" s="2">
        <f>33.8/100</f>
        <v>0.33799999999999997</v>
      </c>
      <c r="M40" s="2">
        <f t="shared" si="19"/>
        <v>0.150391988994</v>
      </c>
    </row>
    <row r="41" spans="1:13" x14ac:dyDescent="0.25">
      <c r="A41" s="4">
        <v>27.169</v>
      </c>
      <c r="B41" s="4" t="s">
        <v>2</v>
      </c>
      <c r="C41" s="5">
        <f t="shared" si="0"/>
        <v>0.159</v>
      </c>
      <c r="D41" s="6">
        <f t="shared" si="4"/>
        <v>4.319871</v>
      </c>
      <c r="E41" s="8" t="s">
        <v>17</v>
      </c>
      <c r="F41" s="6">
        <f t="shared" si="17"/>
        <v>0.10300000000000001</v>
      </c>
      <c r="G41" s="6">
        <f t="shared" si="11"/>
        <v>0.44494671300000005</v>
      </c>
      <c r="H41" s="6" t="s">
        <v>9</v>
      </c>
      <c r="I41" s="6">
        <f>43.2/100</f>
        <v>0.43200000000000005</v>
      </c>
      <c r="J41" s="6">
        <f t="shared" si="18"/>
        <v>0.19221698001600004</v>
      </c>
      <c r="K41" s="2" t="s">
        <v>37</v>
      </c>
      <c r="L41" s="2">
        <f>36.5/100</f>
        <v>0.36499999999999999</v>
      </c>
      <c r="M41" s="2">
        <f t="shared" si="19"/>
        <v>0.162405550245</v>
      </c>
    </row>
    <row r="42" spans="1:13" x14ac:dyDescent="0.25">
      <c r="A42" s="4">
        <v>27.169</v>
      </c>
      <c r="B42" s="4" t="s">
        <v>2</v>
      </c>
      <c r="C42" s="5">
        <f t="shared" si="0"/>
        <v>0.159</v>
      </c>
      <c r="D42" s="6">
        <f t="shared" si="4"/>
        <v>4.319871</v>
      </c>
      <c r="E42" s="8" t="s">
        <v>17</v>
      </c>
      <c r="F42" s="6">
        <f t="shared" si="17"/>
        <v>0.10300000000000001</v>
      </c>
      <c r="G42" s="6">
        <f t="shared" si="11"/>
        <v>0.44494671300000005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27.169</v>
      </c>
      <c r="B43" s="4" t="s">
        <v>2</v>
      </c>
      <c r="C43" s="5">
        <f t="shared" si="0"/>
        <v>0.159</v>
      </c>
      <c r="D43" s="6">
        <f t="shared" si="4"/>
        <v>4.319871</v>
      </c>
      <c r="E43" s="8" t="s">
        <v>17</v>
      </c>
      <c r="F43" s="6">
        <f t="shared" si="17"/>
        <v>0.10300000000000001</v>
      </c>
      <c r="G43" s="6">
        <f t="shared" si="11"/>
        <v>0.44494671300000005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27.169</v>
      </c>
      <c r="B44" s="4" t="s">
        <v>2</v>
      </c>
      <c r="C44" s="5">
        <f t="shared" si="0"/>
        <v>0.159</v>
      </c>
      <c r="D44" s="6">
        <f t="shared" si="4"/>
        <v>4.319871</v>
      </c>
      <c r="E44" s="2" t="s">
        <v>18</v>
      </c>
      <c r="F44" s="6">
        <f>9.6/100</f>
        <v>9.6000000000000002E-2</v>
      </c>
      <c r="G44" s="6">
        <f t="shared" si="11"/>
        <v>0.414707616</v>
      </c>
      <c r="H44" s="6" t="s">
        <v>11</v>
      </c>
      <c r="I44" s="8">
        <f>36.6/100</f>
        <v>0.36599999999999999</v>
      </c>
      <c r="J44" s="6">
        <f>I44*G44</f>
        <v>0.151782987456</v>
      </c>
      <c r="K44" s="2" t="s">
        <v>32</v>
      </c>
      <c r="L44" s="2">
        <f>2.5/100</f>
        <v>2.5000000000000001E-2</v>
      </c>
      <c r="M44" s="2">
        <f>L44*G44</f>
        <v>1.0367690400000001E-2</v>
      </c>
    </row>
    <row r="45" spans="1:13" x14ac:dyDescent="0.25">
      <c r="A45" s="4">
        <v>27.169</v>
      </c>
      <c r="B45" s="4" t="s">
        <v>2</v>
      </c>
      <c r="C45" s="5">
        <f t="shared" si="0"/>
        <v>0.159</v>
      </c>
      <c r="D45" s="6">
        <f t="shared" si="4"/>
        <v>4.319871</v>
      </c>
      <c r="E45" s="2" t="s">
        <v>18</v>
      </c>
      <c r="F45" s="6">
        <f t="shared" ref="F45:F51" si="21">9.6/100</f>
        <v>9.6000000000000002E-2</v>
      </c>
      <c r="G45" s="6">
        <f t="shared" si="11"/>
        <v>0.414707616</v>
      </c>
      <c r="H45" s="6" t="s">
        <v>12</v>
      </c>
      <c r="I45" s="8">
        <f>5/100</f>
        <v>0.05</v>
      </c>
      <c r="J45" s="6">
        <f t="shared" ref="J45:J49" si="22">I45*G45</f>
        <v>2.0735380800000001E-2</v>
      </c>
      <c r="K45" s="2" t="s">
        <v>33</v>
      </c>
      <c r="L45" s="2">
        <f>6.3/100</f>
        <v>6.3E-2</v>
      </c>
      <c r="M45" s="2">
        <f t="shared" ref="M45:M51" si="23">L45*G45</f>
        <v>2.6126579808000001E-2</v>
      </c>
    </row>
    <row r="46" spans="1:13" x14ac:dyDescent="0.25">
      <c r="A46" s="4">
        <v>27.169</v>
      </c>
      <c r="B46" s="4" t="s">
        <v>2</v>
      </c>
      <c r="C46" s="5">
        <f t="shared" si="0"/>
        <v>0.159</v>
      </c>
      <c r="D46" s="6">
        <f t="shared" si="4"/>
        <v>4.319871</v>
      </c>
      <c r="E46" s="2" t="s">
        <v>18</v>
      </c>
      <c r="F46" s="6">
        <f t="shared" si="21"/>
        <v>9.6000000000000002E-2</v>
      </c>
      <c r="G46" s="6">
        <f t="shared" si="11"/>
        <v>0.414707616</v>
      </c>
      <c r="H46" s="6" t="s">
        <v>7</v>
      </c>
      <c r="I46" s="8">
        <f>5.6/100</f>
        <v>5.5999999999999994E-2</v>
      </c>
      <c r="J46" s="6">
        <f t="shared" si="22"/>
        <v>2.3223626495999999E-2</v>
      </c>
      <c r="K46" s="2" t="s">
        <v>34</v>
      </c>
      <c r="L46" s="2">
        <f>10.8/100</f>
        <v>0.10800000000000001</v>
      </c>
      <c r="M46" s="2">
        <f t="shared" si="23"/>
        <v>4.4788422528000006E-2</v>
      </c>
    </row>
    <row r="47" spans="1:13" x14ac:dyDescent="0.25">
      <c r="A47" s="4">
        <v>27.169</v>
      </c>
      <c r="B47" s="4" t="s">
        <v>2</v>
      </c>
      <c r="C47" s="5">
        <f t="shared" si="0"/>
        <v>0.159</v>
      </c>
      <c r="D47" s="6">
        <f t="shared" si="4"/>
        <v>4.319871</v>
      </c>
      <c r="E47" s="2" t="s">
        <v>18</v>
      </c>
      <c r="F47" s="6">
        <f t="shared" si="21"/>
        <v>9.6000000000000002E-2</v>
      </c>
      <c r="G47" s="6">
        <f t="shared" si="11"/>
        <v>0.414707616</v>
      </c>
      <c r="H47" s="6" t="s">
        <v>8</v>
      </c>
      <c r="I47" s="8">
        <f>22.9/100</f>
        <v>0.22899999999999998</v>
      </c>
      <c r="J47" s="6">
        <f>I50*G47</f>
        <v>2.0735380799999999E-3</v>
      </c>
      <c r="K47" s="2" t="s">
        <v>35</v>
      </c>
      <c r="L47" s="2">
        <f>32.6/100</f>
        <v>0.32600000000000001</v>
      </c>
      <c r="M47" s="2">
        <f t="shared" si="23"/>
        <v>0.135194682816</v>
      </c>
    </row>
    <row r="48" spans="1:13" x14ac:dyDescent="0.25">
      <c r="A48" s="4">
        <v>27.169</v>
      </c>
      <c r="B48" s="4" t="s">
        <v>2</v>
      </c>
      <c r="C48" s="5">
        <f t="shared" si="0"/>
        <v>0.159</v>
      </c>
      <c r="D48" s="6">
        <f t="shared" si="4"/>
        <v>4.319871</v>
      </c>
      <c r="E48" s="2" t="s">
        <v>18</v>
      </c>
      <c r="F48" s="6">
        <f t="shared" si="21"/>
        <v>9.6000000000000002E-2</v>
      </c>
      <c r="G48" s="6">
        <f t="shared" si="11"/>
        <v>0.414707616</v>
      </c>
      <c r="H48" s="6" t="s">
        <v>10</v>
      </c>
      <c r="I48" s="8">
        <f>4.8/100</f>
        <v>4.8000000000000001E-2</v>
      </c>
      <c r="J48" s="6">
        <f>I47*G48</f>
        <v>9.4968044063999987E-2</v>
      </c>
      <c r="K48" s="2" t="s">
        <v>36</v>
      </c>
      <c r="L48" s="2">
        <f>27.7/100</f>
        <v>0.27699999999999997</v>
      </c>
      <c r="M48" s="2">
        <f t="shared" si="23"/>
        <v>0.11487400963199999</v>
      </c>
    </row>
    <row r="49" spans="1:13" x14ac:dyDescent="0.25">
      <c r="A49" s="4">
        <v>27.169</v>
      </c>
      <c r="B49" s="4" t="s">
        <v>2</v>
      </c>
      <c r="C49" s="5">
        <f t="shared" si="0"/>
        <v>0.159</v>
      </c>
      <c r="D49" s="6">
        <f t="shared" si="4"/>
        <v>4.319871</v>
      </c>
      <c r="E49" s="2" t="s">
        <v>48</v>
      </c>
      <c r="F49" s="6">
        <f t="shared" si="21"/>
        <v>9.6000000000000002E-2</v>
      </c>
      <c r="G49" s="6">
        <f t="shared" si="11"/>
        <v>0.414707616</v>
      </c>
      <c r="H49" s="6" t="s">
        <v>9</v>
      </c>
      <c r="I49" s="8">
        <f>24.5/100</f>
        <v>0.245</v>
      </c>
      <c r="J49" s="6">
        <f t="shared" si="22"/>
        <v>0.10160336591999999</v>
      </c>
      <c r="K49" s="2" t="s">
        <v>37</v>
      </c>
      <c r="L49" s="2">
        <f>18.3/100</f>
        <v>0.183</v>
      </c>
      <c r="M49" s="2">
        <f t="shared" si="23"/>
        <v>7.5891493727999998E-2</v>
      </c>
    </row>
    <row r="50" spans="1:13" x14ac:dyDescent="0.25">
      <c r="A50" s="4">
        <v>27.169</v>
      </c>
      <c r="B50" s="4" t="s">
        <v>2</v>
      </c>
      <c r="C50" s="5">
        <f t="shared" si="0"/>
        <v>0.159</v>
      </c>
      <c r="D50" s="6">
        <f t="shared" si="4"/>
        <v>4.319871</v>
      </c>
      <c r="E50" s="2" t="s">
        <v>18</v>
      </c>
      <c r="F50" s="6">
        <f t="shared" si="21"/>
        <v>9.6000000000000002E-2</v>
      </c>
      <c r="G50" s="6">
        <f t="shared" si="11"/>
        <v>0.414707616</v>
      </c>
      <c r="H50" s="6" t="s">
        <v>55</v>
      </c>
      <c r="I50" s="8">
        <f>0.5/100</f>
        <v>5.0000000000000001E-3</v>
      </c>
      <c r="J50" s="6"/>
      <c r="K50" s="2" t="s">
        <v>38</v>
      </c>
      <c r="L50" s="2">
        <f>0.7/100</f>
        <v>6.9999999999999993E-3</v>
      </c>
      <c r="M50" s="2">
        <f t="shared" si="23"/>
        <v>2.9029533119999998E-3</v>
      </c>
    </row>
    <row r="51" spans="1:13" x14ac:dyDescent="0.25">
      <c r="A51" s="4">
        <v>27.169</v>
      </c>
      <c r="B51" s="4" t="s">
        <v>2</v>
      </c>
      <c r="C51" s="5">
        <f t="shared" si="0"/>
        <v>0.159</v>
      </c>
      <c r="D51" s="6">
        <f t="shared" si="4"/>
        <v>4.319871</v>
      </c>
      <c r="E51" s="2" t="s">
        <v>18</v>
      </c>
      <c r="F51" s="6">
        <f t="shared" si="21"/>
        <v>9.6000000000000002E-2</v>
      </c>
      <c r="G51" s="6">
        <f t="shared" si="11"/>
        <v>0.414707616</v>
      </c>
      <c r="H51" s="6"/>
      <c r="I51" s="6"/>
      <c r="J51" s="6"/>
      <c r="K51" s="2" t="s">
        <v>39</v>
      </c>
      <c r="L51" s="2">
        <f>1/100</f>
        <v>0.01</v>
      </c>
      <c r="M51" s="2">
        <f t="shared" si="23"/>
        <v>4.1470761599999998E-3</v>
      </c>
    </row>
    <row r="52" spans="1:13" x14ac:dyDescent="0.25">
      <c r="A52" s="4">
        <v>27.169</v>
      </c>
      <c r="B52" s="2" t="s">
        <v>19</v>
      </c>
      <c r="C52" s="6">
        <f>84.1/100</f>
        <v>0.84099999999999997</v>
      </c>
      <c r="D52" s="6">
        <f t="shared" si="4"/>
        <v>22.849129000000001</v>
      </c>
      <c r="E52" s="6" t="s">
        <v>54</v>
      </c>
      <c r="F52" s="6">
        <f>80.1/100</f>
        <v>0.80099999999999993</v>
      </c>
      <c r="G52" s="6">
        <f t="shared" si="11"/>
        <v>18.302152328999998</v>
      </c>
      <c r="H52" s="6" t="s">
        <v>11</v>
      </c>
      <c r="I52" s="6">
        <f>11.7/100</f>
        <v>0.11699999999999999</v>
      </c>
      <c r="J52" s="6">
        <f>I52*G52</f>
        <v>2.1413518224929997</v>
      </c>
      <c r="K52" s="2" t="s">
        <v>32</v>
      </c>
      <c r="L52" s="2">
        <f>3.5/100</f>
        <v>3.5000000000000003E-2</v>
      </c>
      <c r="M52" s="2">
        <f>L52*G52</f>
        <v>0.64057533151500001</v>
      </c>
    </row>
    <row r="53" spans="1:13" x14ac:dyDescent="0.25">
      <c r="A53" s="4">
        <v>27.169</v>
      </c>
      <c r="B53" s="2" t="s">
        <v>19</v>
      </c>
      <c r="C53" s="6">
        <f t="shared" ref="C53:C99" si="24">84.1/100</f>
        <v>0.84099999999999997</v>
      </c>
      <c r="D53" s="6">
        <f t="shared" si="4"/>
        <v>22.849129000000001</v>
      </c>
      <c r="E53" s="6" t="s">
        <v>14</v>
      </c>
      <c r="F53" s="6">
        <f t="shared" ref="F53:F59" si="25">80.1/100</f>
        <v>0.80099999999999993</v>
      </c>
      <c r="G53" s="6">
        <f t="shared" si="11"/>
        <v>18.302152328999998</v>
      </c>
      <c r="H53" s="6" t="s">
        <v>12</v>
      </c>
      <c r="I53" s="6">
        <f>12.7/100</f>
        <v>0.127</v>
      </c>
      <c r="J53" s="6">
        <f t="shared" ref="J53:J56" si="26">I53*G53</f>
        <v>2.324373345783</v>
      </c>
      <c r="K53" s="2" t="s">
        <v>33</v>
      </c>
      <c r="L53" s="2">
        <f>7.1/100</f>
        <v>7.0999999999999994E-2</v>
      </c>
      <c r="M53" s="2">
        <f t="shared" ref="M53:M59" si="27">L53*G53</f>
        <v>1.2994528153589997</v>
      </c>
    </row>
    <row r="54" spans="1:13" x14ac:dyDescent="0.25">
      <c r="A54" s="4">
        <v>27.169</v>
      </c>
      <c r="B54" s="2" t="s">
        <v>19</v>
      </c>
      <c r="C54" s="6">
        <f t="shared" si="24"/>
        <v>0.84099999999999997</v>
      </c>
      <c r="D54" s="6">
        <f t="shared" si="4"/>
        <v>22.849129000000001</v>
      </c>
      <c r="E54" s="6" t="s">
        <v>14</v>
      </c>
      <c r="F54" s="6">
        <f t="shared" si="25"/>
        <v>0.80099999999999993</v>
      </c>
      <c r="G54" s="6">
        <f t="shared" si="11"/>
        <v>18.302152328999998</v>
      </c>
      <c r="H54" s="6" t="s">
        <v>7</v>
      </c>
      <c r="I54" s="14">
        <f>11.8/100</f>
        <v>0.11800000000000001</v>
      </c>
      <c r="J54" s="6">
        <f t="shared" si="26"/>
        <v>2.1596539748220001</v>
      </c>
      <c r="K54" s="2" t="s">
        <v>34</v>
      </c>
      <c r="L54" s="2">
        <f>11.5/100</f>
        <v>0.115</v>
      </c>
      <c r="M54" s="2">
        <f t="shared" si="27"/>
        <v>2.1047475178349999</v>
      </c>
    </row>
    <row r="55" spans="1:13" x14ac:dyDescent="0.25">
      <c r="A55" s="4">
        <v>27.169</v>
      </c>
      <c r="B55" s="2" t="s">
        <v>19</v>
      </c>
      <c r="C55" s="6">
        <f t="shared" si="24"/>
        <v>0.84099999999999997</v>
      </c>
      <c r="D55" s="6">
        <f t="shared" si="4"/>
        <v>22.849129000000001</v>
      </c>
      <c r="E55" s="6" t="s">
        <v>14</v>
      </c>
      <c r="F55" s="6">
        <f t="shared" si="25"/>
        <v>0.80099999999999993</v>
      </c>
      <c r="G55" s="6">
        <f t="shared" si="11"/>
        <v>18.302152328999998</v>
      </c>
      <c r="H55" s="6" t="s">
        <v>8</v>
      </c>
      <c r="I55" s="6">
        <f>34.6/100</f>
        <v>0.34600000000000003</v>
      </c>
      <c r="J55" s="6">
        <f t="shared" si="26"/>
        <v>6.3325447058339996</v>
      </c>
      <c r="K55" s="2" t="s">
        <v>35</v>
      </c>
      <c r="L55" s="2">
        <f>31.1/100</f>
        <v>0.311</v>
      </c>
      <c r="M55" s="2">
        <f t="shared" si="27"/>
        <v>5.6919693743189992</v>
      </c>
    </row>
    <row r="56" spans="1:13" x14ac:dyDescent="0.25">
      <c r="A56" s="4">
        <v>27.169</v>
      </c>
      <c r="B56" s="2" t="s">
        <v>19</v>
      </c>
      <c r="C56" s="6">
        <f t="shared" si="24"/>
        <v>0.84099999999999997</v>
      </c>
      <c r="D56" s="6">
        <f t="shared" si="4"/>
        <v>22.849129000000001</v>
      </c>
      <c r="E56" s="6" t="s">
        <v>14</v>
      </c>
      <c r="F56" s="6">
        <f t="shared" si="25"/>
        <v>0.80099999999999993</v>
      </c>
      <c r="G56" s="6">
        <f t="shared" si="11"/>
        <v>18.302152328999998</v>
      </c>
      <c r="H56" s="6" t="s">
        <v>10</v>
      </c>
      <c r="I56" s="6">
        <f>4.6/100</f>
        <v>4.5999999999999999E-2</v>
      </c>
      <c r="J56" s="6">
        <f t="shared" si="26"/>
        <v>0.8418990071339999</v>
      </c>
      <c r="K56" s="2" t="s">
        <v>36</v>
      </c>
      <c r="L56" s="2">
        <f>24.8/100</f>
        <v>0.248</v>
      </c>
      <c r="M56" s="2">
        <f t="shared" si="27"/>
        <v>4.5389337775919998</v>
      </c>
    </row>
    <row r="57" spans="1:13" x14ac:dyDescent="0.25">
      <c r="A57" s="4">
        <v>27.169</v>
      </c>
      <c r="B57" s="2" t="s">
        <v>19</v>
      </c>
      <c r="C57" s="6">
        <f t="shared" si="24"/>
        <v>0.84099999999999997</v>
      </c>
      <c r="D57" s="6">
        <f t="shared" si="4"/>
        <v>22.849129000000001</v>
      </c>
      <c r="E57" s="6" t="s">
        <v>14</v>
      </c>
      <c r="F57" s="6">
        <f t="shared" si="25"/>
        <v>0.80099999999999993</v>
      </c>
      <c r="G57" s="6">
        <f t="shared" si="11"/>
        <v>18.302152328999998</v>
      </c>
      <c r="H57" s="6" t="s">
        <v>9</v>
      </c>
      <c r="I57" s="6">
        <f>23.1/100</f>
        <v>0.23100000000000001</v>
      </c>
      <c r="J57" s="6">
        <f>I58*G57</f>
        <v>0.27453228493499998</v>
      </c>
      <c r="K57" s="2" t="s">
        <v>37</v>
      </c>
      <c r="L57" s="2">
        <f>17.8/100</f>
        <v>0.17800000000000002</v>
      </c>
      <c r="M57" s="2">
        <f t="shared" si="27"/>
        <v>3.2577831145620002</v>
      </c>
    </row>
    <row r="58" spans="1:13" x14ac:dyDescent="0.25">
      <c r="A58" s="4">
        <v>27.169</v>
      </c>
      <c r="B58" s="2" t="s">
        <v>19</v>
      </c>
      <c r="C58" s="6">
        <f t="shared" si="24"/>
        <v>0.84099999999999997</v>
      </c>
      <c r="D58" s="6">
        <f t="shared" si="4"/>
        <v>22.849129000000001</v>
      </c>
      <c r="E58" s="6" t="s">
        <v>14</v>
      </c>
      <c r="F58" s="6">
        <f t="shared" si="25"/>
        <v>0.80099999999999993</v>
      </c>
      <c r="G58" s="6">
        <f t="shared" si="11"/>
        <v>18.302152328999998</v>
      </c>
      <c r="H58" s="6" t="s">
        <v>55</v>
      </c>
      <c r="I58" s="6">
        <f>1.5/100</f>
        <v>1.4999999999999999E-2</v>
      </c>
      <c r="J58" s="6"/>
      <c r="K58" s="2" t="s">
        <v>38</v>
      </c>
      <c r="L58" s="2">
        <f>2.7/100</f>
        <v>2.7000000000000003E-2</v>
      </c>
      <c r="M58" s="2">
        <f t="shared" si="27"/>
        <v>0.49415811288299999</v>
      </c>
    </row>
    <row r="59" spans="1:13" x14ac:dyDescent="0.25">
      <c r="A59" s="4">
        <v>27.169</v>
      </c>
      <c r="B59" s="2" t="s">
        <v>19</v>
      </c>
      <c r="C59" s="6">
        <f t="shared" si="24"/>
        <v>0.84099999999999997</v>
      </c>
      <c r="D59" s="6">
        <f t="shared" si="4"/>
        <v>22.849129000000001</v>
      </c>
      <c r="E59" s="6" t="s">
        <v>14</v>
      </c>
      <c r="F59" s="6">
        <f t="shared" si="25"/>
        <v>0.80099999999999993</v>
      </c>
      <c r="G59" s="6">
        <f t="shared" si="11"/>
        <v>18.302152328999998</v>
      </c>
      <c r="H59" s="6"/>
      <c r="I59" s="6"/>
      <c r="J59" s="6"/>
      <c r="K59" s="2" t="s">
        <v>39</v>
      </c>
      <c r="L59" s="2">
        <f>1.6/100</f>
        <v>1.6E-2</v>
      </c>
      <c r="M59" s="2">
        <f t="shared" si="27"/>
        <v>0.29283443726399999</v>
      </c>
    </row>
    <row r="60" spans="1:13" x14ac:dyDescent="0.25">
      <c r="A60" s="4">
        <v>27.169</v>
      </c>
      <c r="B60" s="2" t="s">
        <v>19</v>
      </c>
      <c r="C60" s="6">
        <f t="shared" si="24"/>
        <v>0.84099999999999997</v>
      </c>
      <c r="D60" s="6">
        <f t="shared" si="4"/>
        <v>22.849129000000001</v>
      </c>
      <c r="E60" s="6" t="s">
        <v>52</v>
      </c>
      <c r="F60" s="6">
        <f>81/100</f>
        <v>0.81</v>
      </c>
      <c r="G60" s="6">
        <f t="shared" si="11"/>
        <v>18.507794490000002</v>
      </c>
      <c r="H60" s="6" t="s">
        <v>11</v>
      </c>
      <c r="I60" s="6">
        <f>9.9/100</f>
        <v>9.9000000000000005E-2</v>
      </c>
      <c r="J60" s="6">
        <f>I60*G60</f>
        <v>1.8322716545100002</v>
      </c>
      <c r="K60" s="2" t="s">
        <v>32</v>
      </c>
      <c r="L60" s="2">
        <f>0.8/100</f>
        <v>8.0000000000000002E-3</v>
      </c>
      <c r="M60" s="2">
        <f>L60*G60</f>
        <v>0.14806235592000003</v>
      </c>
    </row>
    <row r="61" spans="1:13" x14ac:dyDescent="0.25">
      <c r="A61" s="4">
        <v>27.169</v>
      </c>
      <c r="B61" s="2" t="s">
        <v>19</v>
      </c>
      <c r="C61" s="6">
        <f t="shared" si="24"/>
        <v>0.84099999999999997</v>
      </c>
      <c r="D61" s="6">
        <f t="shared" si="4"/>
        <v>22.849129000000001</v>
      </c>
      <c r="E61" s="6" t="s">
        <v>15</v>
      </c>
      <c r="F61" s="6">
        <f t="shared" ref="F61:F67" si="28">81/100</f>
        <v>0.81</v>
      </c>
      <c r="G61" s="6">
        <f t="shared" si="11"/>
        <v>18.507794490000002</v>
      </c>
      <c r="H61" s="6" t="s">
        <v>12</v>
      </c>
      <c r="I61" s="6">
        <f>6.9/100</f>
        <v>6.9000000000000006E-2</v>
      </c>
      <c r="J61" s="6">
        <f t="shared" ref="J61:J65" si="29">I61*G61</f>
        <v>1.2770378198100003</v>
      </c>
      <c r="K61" s="2" t="s">
        <v>33</v>
      </c>
      <c r="L61" s="2">
        <f>5.4/100</f>
        <v>5.4000000000000006E-2</v>
      </c>
      <c r="M61" s="2">
        <f t="shared" ref="M61:M67" si="30">L61*G61</f>
        <v>0.99942090246000026</v>
      </c>
    </row>
    <row r="62" spans="1:13" x14ac:dyDescent="0.25">
      <c r="A62" s="4">
        <v>27.169</v>
      </c>
      <c r="B62" s="2" t="s">
        <v>19</v>
      </c>
      <c r="C62" s="6">
        <f t="shared" si="24"/>
        <v>0.84099999999999997</v>
      </c>
      <c r="D62" s="6">
        <f t="shared" si="4"/>
        <v>22.849129000000001</v>
      </c>
      <c r="E62" s="6" t="s">
        <v>15</v>
      </c>
      <c r="F62" s="6">
        <f t="shared" si="28"/>
        <v>0.81</v>
      </c>
      <c r="G62" s="6">
        <f t="shared" si="11"/>
        <v>18.507794490000002</v>
      </c>
      <c r="H62" s="6" t="s">
        <v>7</v>
      </c>
      <c r="I62" s="6">
        <f>10.5/100</f>
        <v>0.105</v>
      </c>
      <c r="J62" s="6">
        <f t="shared" si="29"/>
        <v>1.9433184214500001</v>
      </c>
      <c r="K62" s="2" t="s">
        <v>34</v>
      </c>
      <c r="L62" s="2">
        <f>12/100</f>
        <v>0.12</v>
      </c>
      <c r="M62" s="2">
        <f t="shared" si="30"/>
        <v>2.2209353387999999</v>
      </c>
    </row>
    <row r="63" spans="1:13" x14ac:dyDescent="0.25">
      <c r="A63" s="4">
        <v>27.169</v>
      </c>
      <c r="B63" s="2" t="s">
        <v>19</v>
      </c>
      <c r="C63" s="6">
        <f t="shared" si="24"/>
        <v>0.84099999999999997</v>
      </c>
      <c r="D63" s="6">
        <f t="shared" si="4"/>
        <v>22.849129000000001</v>
      </c>
      <c r="E63" s="6" t="s">
        <v>15</v>
      </c>
      <c r="F63" s="6">
        <f t="shared" si="28"/>
        <v>0.81</v>
      </c>
      <c r="G63" s="6">
        <f t="shared" si="11"/>
        <v>18.507794490000002</v>
      </c>
      <c r="H63" s="6" t="s">
        <v>8</v>
      </c>
      <c r="I63" s="6">
        <f>37.1/100</f>
        <v>0.371</v>
      </c>
      <c r="J63" s="6">
        <f t="shared" si="29"/>
        <v>6.8663917557900005</v>
      </c>
      <c r="K63" s="2" t="s">
        <v>35</v>
      </c>
      <c r="L63" s="2">
        <f>36/100</f>
        <v>0.36</v>
      </c>
      <c r="M63" s="2">
        <f t="shared" si="30"/>
        <v>6.6628060164000003</v>
      </c>
    </row>
    <row r="64" spans="1:13" x14ac:dyDescent="0.25">
      <c r="A64" s="4">
        <v>27.169</v>
      </c>
      <c r="B64" s="2" t="s">
        <v>19</v>
      </c>
      <c r="C64" s="6">
        <f t="shared" si="24"/>
        <v>0.84099999999999997</v>
      </c>
      <c r="D64" s="6">
        <f t="shared" si="4"/>
        <v>22.849129000000001</v>
      </c>
      <c r="E64" s="6" t="s">
        <v>15</v>
      </c>
      <c r="F64" s="6">
        <f t="shared" si="28"/>
        <v>0.81</v>
      </c>
      <c r="G64" s="6">
        <f t="shared" si="11"/>
        <v>18.507794490000002</v>
      </c>
      <c r="H64" s="6" t="s">
        <v>10</v>
      </c>
      <c r="I64" s="6">
        <f>6.5/100</f>
        <v>6.5000000000000002E-2</v>
      </c>
      <c r="J64" s="6">
        <f t="shared" si="29"/>
        <v>1.2030066418500003</v>
      </c>
      <c r="K64" s="2" t="s">
        <v>36</v>
      </c>
      <c r="L64" s="2">
        <f>30.2/100</f>
        <v>0.30199999999999999</v>
      </c>
      <c r="M64" s="2">
        <f t="shared" si="30"/>
        <v>5.5893539359800002</v>
      </c>
    </row>
    <row r="65" spans="1:13" x14ac:dyDescent="0.25">
      <c r="A65" s="4">
        <v>27.169</v>
      </c>
      <c r="B65" s="2" t="s">
        <v>19</v>
      </c>
      <c r="C65" s="6">
        <f t="shared" si="24"/>
        <v>0.84099999999999997</v>
      </c>
      <c r="D65" s="6">
        <f t="shared" si="4"/>
        <v>22.849129000000001</v>
      </c>
      <c r="E65" s="6" t="s">
        <v>15</v>
      </c>
      <c r="F65" s="6">
        <f t="shared" si="28"/>
        <v>0.81</v>
      </c>
      <c r="G65" s="6">
        <f t="shared" si="11"/>
        <v>18.507794490000002</v>
      </c>
      <c r="H65" s="6" t="s">
        <v>9</v>
      </c>
      <c r="I65" s="6">
        <f>29/100</f>
        <v>0.28999999999999998</v>
      </c>
      <c r="J65" s="6">
        <f t="shared" si="29"/>
        <v>5.3672604021000003</v>
      </c>
      <c r="K65" s="2" t="s">
        <v>37</v>
      </c>
      <c r="L65" s="2">
        <f>13.5/100</f>
        <v>0.13500000000000001</v>
      </c>
      <c r="M65" s="2">
        <f t="shared" si="30"/>
        <v>2.4985522561500004</v>
      </c>
    </row>
    <row r="66" spans="1:13" x14ac:dyDescent="0.25">
      <c r="A66" s="4">
        <v>27.169</v>
      </c>
      <c r="B66" s="2" t="s">
        <v>19</v>
      </c>
      <c r="C66" s="6">
        <f t="shared" si="24"/>
        <v>0.84099999999999997</v>
      </c>
      <c r="D66" s="6">
        <f t="shared" si="4"/>
        <v>22.849129000000001</v>
      </c>
      <c r="E66" s="6" t="s">
        <v>15</v>
      </c>
      <c r="F66" s="6">
        <f t="shared" si="28"/>
        <v>0.81</v>
      </c>
      <c r="G66" s="6">
        <f t="shared" si="11"/>
        <v>18.507794490000002</v>
      </c>
      <c r="H66" s="6" t="s">
        <v>55</v>
      </c>
      <c r="I66" s="6">
        <f>0/100</f>
        <v>0</v>
      </c>
      <c r="J66" s="6"/>
      <c r="K66" s="2" t="s">
        <v>38</v>
      </c>
      <c r="L66" s="2">
        <f>2.1/100</f>
        <v>2.1000000000000001E-2</v>
      </c>
      <c r="M66" s="2">
        <f t="shared" si="30"/>
        <v>0.38866368429000009</v>
      </c>
    </row>
    <row r="67" spans="1:13" x14ac:dyDescent="0.25">
      <c r="A67" s="4">
        <v>27.169</v>
      </c>
      <c r="B67" s="2" t="s">
        <v>19</v>
      </c>
      <c r="C67" s="6">
        <f t="shared" si="24"/>
        <v>0.84099999999999997</v>
      </c>
      <c r="D67" s="6">
        <f t="shared" si="4"/>
        <v>22.849129000000001</v>
      </c>
      <c r="E67" s="6" t="s">
        <v>15</v>
      </c>
      <c r="F67" s="6">
        <f t="shared" si="28"/>
        <v>0.81</v>
      </c>
      <c r="G67" s="6">
        <f t="shared" si="11"/>
        <v>18.507794490000002</v>
      </c>
      <c r="H67" s="6"/>
      <c r="I67" s="6"/>
      <c r="J67" s="6"/>
      <c r="K67" s="2" t="s">
        <v>39</v>
      </c>
      <c r="L67" s="2">
        <f>0/100</f>
        <v>0</v>
      </c>
      <c r="M67" s="2">
        <f t="shared" si="30"/>
        <v>0</v>
      </c>
    </row>
    <row r="68" spans="1:13" x14ac:dyDescent="0.25">
      <c r="A68" s="4">
        <v>27.169</v>
      </c>
      <c r="B68" s="2" t="s">
        <v>19</v>
      </c>
      <c r="C68" s="6">
        <f t="shared" si="24"/>
        <v>0.84099999999999997</v>
      </c>
      <c r="D68" s="6">
        <f t="shared" si="4"/>
        <v>22.849129000000001</v>
      </c>
      <c r="E68" s="6" t="s">
        <v>53</v>
      </c>
      <c r="F68" s="6">
        <f>83.1/100</f>
        <v>0.83099999999999996</v>
      </c>
      <c r="G68" s="6">
        <f t="shared" si="11"/>
        <v>18.987626199000001</v>
      </c>
      <c r="H68" s="6" t="s">
        <v>11</v>
      </c>
      <c r="I68" s="6">
        <f>13.3/100</f>
        <v>0.13300000000000001</v>
      </c>
      <c r="J68" s="6">
        <f>I68*G68</f>
        <v>2.5253542844670003</v>
      </c>
      <c r="K68" s="2" t="s">
        <v>32</v>
      </c>
      <c r="L68" s="2">
        <f>4.4/100</f>
        <v>4.4000000000000004E-2</v>
      </c>
      <c r="M68" s="2">
        <f>L68*G68</f>
        <v>0.83545555275600014</v>
      </c>
    </row>
    <row r="69" spans="1:13" x14ac:dyDescent="0.25">
      <c r="A69" s="4">
        <v>27.169</v>
      </c>
      <c r="B69" s="2" t="s">
        <v>19</v>
      </c>
      <c r="C69" s="6">
        <f t="shared" si="24"/>
        <v>0.84099999999999997</v>
      </c>
      <c r="D69" s="6">
        <f t="shared" si="4"/>
        <v>22.849129000000001</v>
      </c>
      <c r="E69" s="6" t="s">
        <v>16</v>
      </c>
      <c r="F69" s="6">
        <f t="shared" ref="F69:F75" si="31">83.1/100</f>
        <v>0.83099999999999996</v>
      </c>
      <c r="G69" s="6">
        <f t="shared" si="11"/>
        <v>18.987626199000001</v>
      </c>
      <c r="H69" s="6" t="s">
        <v>12</v>
      </c>
      <c r="I69" s="6">
        <f>10/100</f>
        <v>0.1</v>
      </c>
      <c r="J69" s="6">
        <f t="shared" ref="J69:J73" si="32">I69*G69</f>
        <v>1.8987626199000003</v>
      </c>
      <c r="K69" s="2" t="s">
        <v>33</v>
      </c>
      <c r="L69" s="2">
        <f>9.1/100</f>
        <v>9.0999999999999998E-2</v>
      </c>
      <c r="M69" s="2">
        <f t="shared" ref="M69:M75" si="33">L69*G69</f>
        <v>1.7278739841090001</v>
      </c>
    </row>
    <row r="70" spans="1:13" x14ac:dyDescent="0.25">
      <c r="A70" s="4">
        <v>27.169</v>
      </c>
      <c r="B70" s="2" t="s">
        <v>19</v>
      </c>
      <c r="C70" s="6">
        <f t="shared" si="24"/>
        <v>0.84099999999999997</v>
      </c>
      <c r="D70" s="6">
        <f t="shared" si="4"/>
        <v>22.849129000000001</v>
      </c>
      <c r="E70" s="6" t="s">
        <v>16</v>
      </c>
      <c r="F70" s="6">
        <f t="shared" si="31"/>
        <v>0.83099999999999996</v>
      </c>
      <c r="G70" s="6">
        <f t="shared" si="11"/>
        <v>18.987626199000001</v>
      </c>
      <c r="H70" s="6" t="s">
        <v>7</v>
      </c>
      <c r="I70" s="6">
        <f>11.1/100</f>
        <v>0.111</v>
      </c>
      <c r="J70" s="6">
        <f t="shared" si="32"/>
        <v>2.107626508089</v>
      </c>
      <c r="K70" s="2" t="s">
        <v>34</v>
      </c>
      <c r="L70" s="2">
        <f>13.7/100</f>
        <v>0.13699999999999998</v>
      </c>
      <c r="M70" s="2">
        <f t="shared" si="33"/>
        <v>2.6013047892629997</v>
      </c>
    </row>
    <row r="71" spans="1:13" x14ac:dyDescent="0.25">
      <c r="A71" s="4">
        <v>27.169</v>
      </c>
      <c r="B71" s="2" t="s">
        <v>19</v>
      </c>
      <c r="C71" s="6">
        <f t="shared" si="24"/>
        <v>0.84099999999999997</v>
      </c>
      <c r="D71" s="6">
        <f t="shared" si="4"/>
        <v>22.849129000000001</v>
      </c>
      <c r="E71" s="6" t="s">
        <v>16</v>
      </c>
      <c r="F71" s="6">
        <f t="shared" si="31"/>
        <v>0.83099999999999996</v>
      </c>
      <c r="G71" s="6">
        <f t="shared" si="11"/>
        <v>18.987626199000001</v>
      </c>
      <c r="H71" s="6" t="s">
        <v>8</v>
      </c>
      <c r="I71" s="6">
        <f>37/100</f>
        <v>0.37</v>
      </c>
      <c r="J71" s="6">
        <f t="shared" si="32"/>
        <v>7.0254216936300002</v>
      </c>
      <c r="K71" s="2" t="s">
        <v>35</v>
      </c>
      <c r="L71" s="2">
        <f>29.4/100</f>
        <v>0.29399999999999998</v>
      </c>
      <c r="M71" s="2">
        <f t="shared" si="33"/>
        <v>5.582362102506</v>
      </c>
    </row>
    <row r="72" spans="1:13" x14ac:dyDescent="0.25">
      <c r="A72" s="4">
        <v>27.169</v>
      </c>
      <c r="B72" s="2" t="s">
        <v>19</v>
      </c>
      <c r="C72" s="6">
        <f t="shared" si="24"/>
        <v>0.84099999999999997</v>
      </c>
      <c r="D72" s="6">
        <f t="shared" si="4"/>
        <v>22.849129000000001</v>
      </c>
      <c r="E72" s="6" t="s">
        <v>16</v>
      </c>
      <c r="F72" s="6">
        <f t="shared" si="31"/>
        <v>0.83099999999999996</v>
      </c>
      <c r="G72" s="6">
        <f t="shared" si="11"/>
        <v>18.987626199000001</v>
      </c>
      <c r="H72" s="6" t="s">
        <v>10</v>
      </c>
      <c r="I72" s="6">
        <f>4.4/100</f>
        <v>4.4000000000000004E-2</v>
      </c>
      <c r="J72" s="6">
        <f t="shared" si="32"/>
        <v>0.83545555275600014</v>
      </c>
      <c r="K72" s="2" t="s">
        <v>36</v>
      </c>
      <c r="L72" s="2">
        <f>22.8/100</f>
        <v>0.22800000000000001</v>
      </c>
      <c r="M72" s="2">
        <f t="shared" si="33"/>
        <v>4.329178773372</v>
      </c>
    </row>
    <row r="73" spans="1:13" x14ac:dyDescent="0.25">
      <c r="A73" s="4">
        <v>27.169</v>
      </c>
      <c r="B73" s="2" t="s">
        <v>19</v>
      </c>
      <c r="C73" s="6">
        <f t="shared" si="24"/>
        <v>0.84099999999999997</v>
      </c>
      <c r="D73" s="6">
        <f t="shared" si="4"/>
        <v>22.849129000000001</v>
      </c>
      <c r="E73" s="6" t="s">
        <v>16</v>
      </c>
      <c r="F73" s="6">
        <f t="shared" si="31"/>
        <v>0.83099999999999996</v>
      </c>
      <c r="G73" s="6">
        <f t="shared" si="11"/>
        <v>18.987626199000001</v>
      </c>
      <c r="H73" s="6" t="s">
        <v>9</v>
      </c>
      <c r="I73" s="6">
        <f>22.6/100</f>
        <v>0.22600000000000001</v>
      </c>
      <c r="J73" s="6">
        <f t="shared" si="32"/>
        <v>4.2912035209740003</v>
      </c>
      <c r="K73" s="2" t="s">
        <v>37</v>
      </c>
      <c r="L73" s="2">
        <f>16.6/100</f>
        <v>0.16600000000000001</v>
      </c>
      <c r="M73" s="2">
        <f t="shared" si="33"/>
        <v>3.1519459490340003</v>
      </c>
    </row>
    <row r="74" spans="1:13" x14ac:dyDescent="0.25">
      <c r="A74" s="4">
        <v>27.169</v>
      </c>
      <c r="B74" s="2" t="s">
        <v>19</v>
      </c>
      <c r="C74" s="6">
        <f t="shared" si="24"/>
        <v>0.84099999999999997</v>
      </c>
      <c r="D74" s="6">
        <f t="shared" si="4"/>
        <v>22.849129000000001</v>
      </c>
      <c r="E74" s="6" t="s">
        <v>16</v>
      </c>
      <c r="F74" s="6">
        <f t="shared" si="31"/>
        <v>0.83099999999999996</v>
      </c>
      <c r="G74" s="6">
        <f t="shared" si="11"/>
        <v>18.987626199000001</v>
      </c>
      <c r="H74" s="6" t="s">
        <v>55</v>
      </c>
      <c r="I74" s="6">
        <f>1.6/100</f>
        <v>1.6E-2</v>
      </c>
      <c r="J74" s="6"/>
      <c r="K74" s="2" t="s">
        <v>38</v>
      </c>
      <c r="L74" s="2">
        <f>2.6/100</f>
        <v>2.6000000000000002E-2</v>
      </c>
      <c r="M74" s="2">
        <f t="shared" si="33"/>
        <v>0.49367828117400009</v>
      </c>
    </row>
    <row r="75" spans="1:13" x14ac:dyDescent="0.25">
      <c r="A75" s="4">
        <v>27.169</v>
      </c>
      <c r="B75" s="2" t="s">
        <v>19</v>
      </c>
      <c r="C75" s="6">
        <f t="shared" si="24"/>
        <v>0.84099999999999997</v>
      </c>
      <c r="D75" s="6">
        <f t="shared" si="4"/>
        <v>22.849129000000001</v>
      </c>
      <c r="E75" s="6" t="s">
        <v>16</v>
      </c>
      <c r="F75" s="6">
        <f t="shared" si="31"/>
        <v>0.83099999999999996</v>
      </c>
      <c r="G75" s="6">
        <f t="shared" si="11"/>
        <v>18.987626199000001</v>
      </c>
      <c r="H75" s="6"/>
      <c r="I75" s="6"/>
      <c r="J75" s="6"/>
      <c r="K75" s="2" t="s">
        <v>39</v>
      </c>
      <c r="L75" s="2">
        <f>1.4/100</f>
        <v>1.3999999999999999E-2</v>
      </c>
      <c r="M75" s="2">
        <f t="shared" si="33"/>
        <v>0.26582676678599998</v>
      </c>
    </row>
    <row r="76" spans="1:13" x14ac:dyDescent="0.25">
      <c r="A76" s="4">
        <v>27.169</v>
      </c>
      <c r="B76" s="2" t="s">
        <v>19</v>
      </c>
      <c r="C76" s="6">
        <f t="shared" si="24"/>
        <v>0.84099999999999997</v>
      </c>
      <c r="D76" s="6">
        <f t="shared" si="4"/>
        <v>22.849129000000001</v>
      </c>
      <c r="E76" s="2" t="s">
        <v>51</v>
      </c>
      <c r="F76" s="6">
        <f>82.6/100</f>
        <v>0.82599999999999996</v>
      </c>
      <c r="G76" s="6">
        <f t="shared" si="11"/>
        <v>18.873380554000001</v>
      </c>
      <c r="H76" s="6" t="s">
        <v>11</v>
      </c>
      <c r="I76" s="6">
        <f>16.9/100</f>
        <v>0.16899999999999998</v>
      </c>
      <c r="J76" s="8">
        <f>I76*G76</f>
        <v>3.189601313626</v>
      </c>
      <c r="K76" s="2" t="s">
        <v>32</v>
      </c>
      <c r="L76" s="2">
        <f>4.8/100</f>
        <v>4.8000000000000001E-2</v>
      </c>
      <c r="M76" s="2">
        <f>L76*G76</f>
        <v>0.90592226659200004</v>
      </c>
    </row>
    <row r="77" spans="1:13" x14ac:dyDescent="0.25">
      <c r="A77" s="4">
        <v>27.169</v>
      </c>
      <c r="B77" s="2" t="s">
        <v>19</v>
      </c>
      <c r="C77" s="6">
        <f t="shared" si="24"/>
        <v>0.84099999999999997</v>
      </c>
      <c r="D77" s="6">
        <f t="shared" si="4"/>
        <v>22.849129000000001</v>
      </c>
      <c r="E77" s="2" t="s">
        <v>13</v>
      </c>
      <c r="F77" s="6">
        <f t="shared" ref="F77:F83" si="34">82.6/100</f>
        <v>0.82599999999999996</v>
      </c>
      <c r="G77" s="6">
        <f t="shared" si="11"/>
        <v>18.873380554000001</v>
      </c>
      <c r="H77" s="6" t="s">
        <v>12</v>
      </c>
      <c r="I77" s="6">
        <f>11.2/100</f>
        <v>0.11199999999999999</v>
      </c>
      <c r="J77" s="8">
        <f t="shared" ref="J77:J81" si="35">I77*G77</f>
        <v>2.113818622048</v>
      </c>
      <c r="K77" s="2" t="s">
        <v>33</v>
      </c>
      <c r="L77" s="2">
        <f>9.3/100</f>
        <v>9.3000000000000013E-2</v>
      </c>
      <c r="M77" s="2">
        <f t="shared" ref="M77:M83" si="36">L77*G77</f>
        <v>1.7552243915220003</v>
      </c>
    </row>
    <row r="78" spans="1:13" x14ac:dyDescent="0.25">
      <c r="A78" s="4">
        <v>27.169</v>
      </c>
      <c r="B78" s="2" t="s">
        <v>19</v>
      </c>
      <c r="C78" s="6">
        <f t="shared" si="24"/>
        <v>0.84099999999999997</v>
      </c>
      <c r="D78" s="6">
        <f t="shared" si="4"/>
        <v>22.849129000000001</v>
      </c>
      <c r="E78" s="2" t="s">
        <v>13</v>
      </c>
      <c r="F78" s="6">
        <f t="shared" si="34"/>
        <v>0.82599999999999996</v>
      </c>
      <c r="G78" s="6">
        <f t="shared" si="11"/>
        <v>18.873380554000001</v>
      </c>
      <c r="H78" s="6" t="s">
        <v>7</v>
      </c>
      <c r="I78" s="6">
        <f>14.5/100</f>
        <v>0.14499999999999999</v>
      </c>
      <c r="J78" s="8">
        <f t="shared" si="35"/>
        <v>2.7366401803299998</v>
      </c>
      <c r="K78" s="2" t="s">
        <v>34</v>
      </c>
      <c r="L78" s="2">
        <f>10.7/100</f>
        <v>0.107</v>
      </c>
      <c r="M78" s="2">
        <f t="shared" si="36"/>
        <v>2.0194517192779999</v>
      </c>
    </row>
    <row r="79" spans="1:13" x14ac:dyDescent="0.25">
      <c r="A79" s="4">
        <v>27.169</v>
      </c>
      <c r="B79" s="2" t="s">
        <v>19</v>
      </c>
      <c r="C79" s="6">
        <f t="shared" si="24"/>
        <v>0.84099999999999997</v>
      </c>
      <c r="D79" s="6">
        <f t="shared" si="4"/>
        <v>22.849129000000001</v>
      </c>
      <c r="E79" s="2" t="s">
        <v>13</v>
      </c>
      <c r="F79" s="6">
        <f t="shared" si="34"/>
        <v>0.82599999999999996</v>
      </c>
      <c r="G79" s="6">
        <f t="shared" si="11"/>
        <v>18.873380554000001</v>
      </c>
      <c r="H79" s="6" t="s">
        <v>8</v>
      </c>
      <c r="I79" s="6">
        <f>37.7/100</f>
        <v>0.377</v>
      </c>
      <c r="J79" s="8">
        <f t="shared" si="35"/>
        <v>7.1152644688580002</v>
      </c>
      <c r="K79" s="2" t="s">
        <v>35</v>
      </c>
      <c r="L79" s="2">
        <f>30.4/100</f>
        <v>0.30399999999999999</v>
      </c>
      <c r="M79" s="2">
        <f t="shared" si="36"/>
        <v>5.7375076884159997</v>
      </c>
    </row>
    <row r="80" spans="1:13" x14ac:dyDescent="0.25">
      <c r="A80" s="4">
        <v>27.169</v>
      </c>
      <c r="B80" s="2" t="s">
        <v>19</v>
      </c>
      <c r="C80" s="6">
        <f t="shared" si="24"/>
        <v>0.84099999999999997</v>
      </c>
      <c r="D80" s="6">
        <f t="shared" si="4"/>
        <v>22.849129000000001</v>
      </c>
      <c r="E80" s="2" t="s">
        <v>13</v>
      </c>
      <c r="F80" s="6">
        <f t="shared" si="34"/>
        <v>0.82599999999999996</v>
      </c>
      <c r="G80" s="6">
        <f t="shared" si="11"/>
        <v>18.873380554000001</v>
      </c>
      <c r="H80" s="6" t="s">
        <v>10</v>
      </c>
      <c r="I80" s="6">
        <f>3.6/100</f>
        <v>3.6000000000000004E-2</v>
      </c>
      <c r="J80" s="8">
        <f t="shared" si="35"/>
        <v>0.67944169994400005</v>
      </c>
      <c r="K80" s="2" t="s">
        <v>36</v>
      </c>
      <c r="L80" s="2">
        <f>23/100</f>
        <v>0.23</v>
      </c>
      <c r="M80" s="2">
        <f t="shared" si="36"/>
        <v>4.34087752742</v>
      </c>
    </row>
    <row r="81" spans="1:13" x14ac:dyDescent="0.25">
      <c r="A81" s="4">
        <v>27.169</v>
      </c>
      <c r="B81" s="2" t="s">
        <v>19</v>
      </c>
      <c r="C81" s="6">
        <f t="shared" si="24"/>
        <v>0.84099999999999997</v>
      </c>
      <c r="D81" s="6">
        <f t="shared" si="4"/>
        <v>22.849129000000001</v>
      </c>
      <c r="E81" s="2" t="s">
        <v>13</v>
      </c>
      <c r="F81" s="6">
        <f t="shared" si="34"/>
        <v>0.82599999999999996</v>
      </c>
      <c r="G81" s="6">
        <f t="shared" si="11"/>
        <v>18.873380554000001</v>
      </c>
      <c r="H81" s="6" t="s">
        <v>9</v>
      </c>
      <c r="I81" s="6">
        <f>14/100</f>
        <v>0.14000000000000001</v>
      </c>
      <c r="J81" s="8">
        <f t="shared" si="35"/>
        <v>2.6422732775600002</v>
      </c>
      <c r="K81" s="2" t="s">
        <v>37</v>
      </c>
      <c r="L81" s="2">
        <f>16.3/100</f>
        <v>0.16300000000000001</v>
      </c>
      <c r="M81" s="2">
        <f t="shared" si="36"/>
        <v>3.0763610303020004</v>
      </c>
    </row>
    <row r="82" spans="1:13" x14ac:dyDescent="0.25">
      <c r="A82" s="4">
        <v>27.169</v>
      </c>
      <c r="B82" s="2" t="s">
        <v>19</v>
      </c>
      <c r="C82" s="6">
        <f t="shared" si="24"/>
        <v>0.84099999999999997</v>
      </c>
      <c r="D82" s="6">
        <f t="shared" si="4"/>
        <v>22.849129000000001</v>
      </c>
      <c r="E82" s="2" t="s">
        <v>13</v>
      </c>
      <c r="F82" s="6">
        <f t="shared" si="34"/>
        <v>0.82599999999999996</v>
      </c>
      <c r="G82" s="6">
        <f t="shared" si="11"/>
        <v>18.873380554000001</v>
      </c>
      <c r="H82" s="6" t="s">
        <v>55</v>
      </c>
      <c r="I82" s="6">
        <f>2.2/100</f>
        <v>2.2000000000000002E-2</v>
      </c>
      <c r="J82" s="8"/>
      <c r="K82" s="2" t="s">
        <v>38</v>
      </c>
      <c r="L82" s="2">
        <f>3.3/100</f>
        <v>3.3000000000000002E-2</v>
      </c>
      <c r="M82" s="2">
        <f t="shared" si="36"/>
        <v>0.62282155828200003</v>
      </c>
    </row>
    <row r="83" spans="1:13" x14ac:dyDescent="0.25">
      <c r="A83" s="4">
        <v>27.169</v>
      </c>
      <c r="B83" s="2" t="s">
        <v>19</v>
      </c>
      <c r="C83" s="6">
        <f t="shared" si="24"/>
        <v>0.84099999999999997</v>
      </c>
      <c r="D83" s="6">
        <f t="shared" si="4"/>
        <v>22.849129000000001</v>
      </c>
      <c r="E83" s="2" t="s">
        <v>13</v>
      </c>
      <c r="F83" s="6">
        <f t="shared" si="34"/>
        <v>0.82599999999999996</v>
      </c>
      <c r="G83" s="6">
        <f t="shared" si="11"/>
        <v>18.873380554000001</v>
      </c>
      <c r="H83" s="6"/>
      <c r="I83" s="6"/>
      <c r="J83" s="8"/>
      <c r="K83" s="2" t="s">
        <v>39</v>
      </c>
      <c r="L83" s="2">
        <f>2.3/100</f>
        <v>2.3E-2</v>
      </c>
      <c r="M83" s="2">
        <f t="shared" si="36"/>
        <v>0.43408775274200001</v>
      </c>
    </row>
    <row r="84" spans="1:13" x14ac:dyDescent="0.25">
      <c r="A84" s="4">
        <v>27.169</v>
      </c>
      <c r="B84" s="2" t="s">
        <v>19</v>
      </c>
      <c r="C84" s="6">
        <f t="shared" si="24"/>
        <v>0.84099999999999997</v>
      </c>
      <c r="D84" s="6">
        <f t="shared" si="4"/>
        <v>22.849129000000001</v>
      </c>
      <c r="E84" s="2" t="s">
        <v>50</v>
      </c>
      <c r="F84" s="6">
        <f>89.7/100</f>
        <v>0.89700000000000002</v>
      </c>
      <c r="G84" s="6">
        <f t="shared" si="11"/>
        <v>20.495668713000001</v>
      </c>
      <c r="H84" s="6" t="s">
        <v>11</v>
      </c>
      <c r="I84" s="6">
        <f>26.5/100</f>
        <v>0.26500000000000001</v>
      </c>
      <c r="J84" s="6">
        <f>I84*G84</f>
        <v>5.4313522089450004</v>
      </c>
      <c r="K84" s="2" t="s">
        <v>32</v>
      </c>
      <c r="L84" s="2">
        <f>0/100</f>
        <v>0</v>
      </c>
      <c r="M84" s="2">
        <f>L84*G84</f>
        <v>0</v>
      </c>
    </row>
    <row r="85" spans="1:13" x14ac:dyDescent="0.25">
      <c r="A85" s="4">
        <v>27.169</v>
      </c>
      <c r="B85" s="2" t="s">
        <v>19</v>
      </c>
      <c r="C85" s="6">
        <f t="shared" si="24"/>
        <v>0.84099999999999997</v>
      </c>
      <c r="D85" s="6">
        <f t="shared" si="4"/>
        <v>22.849129000000001</v>
      </c>
      <c r="E85" s="2" t="s">
        <v>17</v>
      </c>
      <c r="F85" s="6">
        <f t="shared" ref="F85:F91" si="37">89.7/100</f>
        <v>0.89700000000000002</v>
      </c>
      <c r="G85" s="6">
        <f t="shared" si="11"/>
        <v>20.495668713000001</v>
      </c>
      <c r="H85" s="6" t="s">
        <v>12</v>
      </c>
      <c r="I85" s="6">
        <f>13.4/100</f>
        <v>0.13400000000000001</v>
      </c>
      <c r="J85" s="6">
        <f t="shared" ref="J85:J89" si="38">I85*G85</f>
        <v>2.7464196075420002</v>
      </c>
      <c r="K85" s="2" t="s">
        <v>33</v>
      </c>
      <c r="L85" s="2">
        <f>8.6/100</f>
        <v>8.5999999999999993E-2</v>
      </c>
      <c r="M85" s="2">
        <f t="shared" ref="M85:M87" si="39">L85*G85</f>
        <v>1.7626275093179999</v>
      </c>
    </row>
    <row r="86" spans="1:13" x14ac:dyDescent="0.25">
      <c r="A86" s="4">
        <v>27.169</v>
      </c>
      <c r="B86" s="2" t="s">
        <v>19</v>
      </c>
      <c r="C86" s="6">
        <f t="shared" si="24"/>
        <v>0.84099999999999997</v>
      </c>
      <c r="D86" s="6">
        <f t="shared" si="4"/>
        <v>22.849129000000001</v>
      </c>
      <c r="E86" s="2" t="s">
        <v>17</v>
      </c>
      <c r="F86" s="6">
        <f t="shared" si="37"/>
        <v>0.89700000000000002</v>
      </c>
      <c r="G86" s="6">
        <f t="shared" si="11"/>
        <v>20.495668713000001</v>
      </c>
      <c r="H86" s="6" t="s">
        <v>7</v>
      </c>
      <c r="I86" s="6">
        <f>6.4/100</f>
        <v>6.4000000000000001E-2</v>
      </c>
      <c r="J86" s="6">
        <f t="shared" si="38"/>
        <v>1.3117227976320001</v>
      </c>
      <c r="K86" s="2" t="s">
        <v>34</v>
      </c>
      <c r="L86" s="2">
        <f>18.6/100</f>
        <v>0.18600000000000003</v>
      </c>
      <c r="M86" s="2">
        <f t="shared" si="39"/>
        <v>3.8121943806180005</v>
      </c>
    </row>
    <row r="87" spans="1:13" x14ac:dyDescent="0.25">
      <c r="A87" s="4">
        <v>27.169</v>
      </c>
      <c r="B87" s="2" t="s">
        <v>19</v>
      </c>
      <c r="C87" s="6">
        <f t="shared" si="24"/>
        <v>0.84099999999999997</v>
      </c>
      <c r="D87" s="6">
        <f t="shared" si="4"/>
        <v>22.849129000000001</v>
      </c>
      <c r="E87" s="2" t="s">
        <v>17</v>
      </c>
      <c r="F87" s="6">
        <f t="shared" si="37"/>
        <v>0.89700000000000002</v>
      </c>
      <c r="G87" s="6">
        <f t="shared" si="11"/>
        <v>20.495668713000001</v>
      </c>
      <c r="H87" s="6" t="s">
        <v>8</v>
      </c>
      <c r="I87" s="6">
        <f>38.9/100</f>
        <v>0.38900000000000001</v>
      </c>
      <c r="J87" s="6">
        <f t="shared" si="38"/>
        <v>7.9728151293570004</v>
      </c>
      <c r="K87" s="2" t="s">
        <v>35</v>
      </c>
      <c r="L87" s="2">
        <f>40.5/100</f>
        <v>0.40500000000000003</v>
      </c>
      <c r="M87" s="2">
        <f t="shared" si="39"/>
        <v>8.3007458287650007</v>
      </c>
    </row>
    <row r="88" spans="1:13" x14ac:dyDescent="0.25">
      <c r="A88" s="4">
        <v>27.169</v>
      </c>
      <c r="B88" s="2" t="s">
        <v>19</v>
      </c>
      <c r="C88" s="6">
        <f t="shared" si="24"/>
        <v>0.84099999999999997</v>
      </c>
      <c r="D88" s="6">
        <f t="shared" si="4"/>
        <v>22.849129000000001</v>
      </c>
      <c r="E88" s="2" t="s">
        <v>17</v>
      </c>
      <c r="F88" s="6">
        <f t="shared" si="37"/>
        <v>0.89700000000000002</v>
      </c>
      <c r="G88" s="6">
        <f t="shared" si="11"/>
        <v>20.495668713000001</v>
      </c>
      <c r="H88" s="6" t="s">
        <v>10</v>
      </c>
      <c r="I88" s="6">
        <f>2.6/100</f>
        <v>2.6000000000000002E-2</v>
      </c>
      <c r="J88" s="6">
        <f t="shared" si="38"/>
        <v>0.53288738653800005</v>
      </c>
      <c r="K88" s="2" t="s">
        <v>36</v>
      </c>
      <c r="L88" s="2">
        <f>11.9/100</f>
        <v>0.11900000000000001</v>
      </c>
      <c r="M88" s="2">
        <f>L87*G88</f>
        <v>8.3007458287650007</v>
      </c>
    </row>
    <row r="89" spans="1:13" x14ac:dyDescent="0.25">
      <c r="A89" s="4">
        <v>27.169</v>
      </c>
      <c r="B89" s="2" t="s">
        <v>19</v>
      </c>
      <c r="C89" s="6">
        <f t="shared" si="24"/>
        <v>0.84099999999999997</v>
      </c>
      <c r="D89" s="6">
        <f t="shared" si="4"/>
        <v>22.849129000000001</v>
      </c>
      <c r="E89" s="2" t="s">
        <v>17</v>
      </c>
      <c r="F89" s="6">
        <f t="shared" si="37"/>
        <v>0.89700000000000002</v>
      </c>
      <c r="G89" s="6">
        <f t="shared" si="11"/>
        <v>20.495668713000001</v>
      </c>
      <c r="H89" s="6" t="s">
        <v>9</v>
      </c>
      <c r="I89" s="6">
        <f>9.3/100</f>
        <v>9.3000000000000013E-2</v>
      </c>
      <c r="J89" s="6">
        <f t="shared" si="38"/>
        <v>1.9060971903090003</v>
      </c>
      <c r="K89" s="2" t="s">
        <v>37</v>
      </c>
      <c r="L89" s="2">
        <f>18.7/100</f>
        <v>0.187</v>
      </c>
      <c r="M89" s="2">
        <f>L88*G89</f>
        <v>2.4389845768470004</v>
      </c>
    </row>
    <row r="90" spans="1:13" x14ac:dyDescent="0.25">
      <c r="A90" s="4">
        <v>27.169</v>
      </c>
      <c r="B90" s="2" t="s">
        <v>19</v>
      </c>
      <c r="C90" s="6">
        <f t="shared" si="24"/>
        <v>0.84099999999999997</v>
      </c>
      <c r="D90" s="6">
        <f t="shared" si="4"/>
        <v>22.849129000000001</v>
      </c>
      <c r="E90" s="2" t="s">
        <v>17</v>
      </c>
      <c r="F90" s="6">
        <f t="shared" si="37"/>
        <v>0.89700000000000002</v>
      </c>
      <c r="G90" s="6">
        <f t="shared" si="11"/>
        <v>20.495668713000001</v>
      </c>
      <c r="H90" s="6" t="s">
        <v>55</v>
      </c>
      <c r="I90" s="6">
        <f>2.9/100</f>
        <v>2.8999999999999998E-2</v>
      </c>
      <c r="J90" s="6"/>
      <c r="K90" s="2" t="s">
        <v>38</v>
      </c>
      <c r="L90" s="2">
        <f>1.8/100</f>
        <v>1.8000000000000002E-2</v>
      </c>
      <c r="M90" s="2">
        <f>L89*G90</f>
        <v>3.8326900493310001</v>
      </c>
    </row>
    <row r="91" spans="1:13" x14ac:dyDescent="0.25">
      <c r="A91" s="4">
        <v>27.169</v>
      </c>
      <c r="B91" s="2" t="s">
        <v>19</v>
      </c>
      <c r="C91" s="6">
        <f t="shared" si="24"/>
        <v>0.84099999999999997</v>
      </c>
      <c r="D91" s="6">
        <f t="shared" si="4"/>
        <v>22.849129000000001</v>
      </c>
      <c r="E91" s="2" t="s">
        <v>17</v>
      </c>
      <c r="F91" s="6">
        <f t="shared" si="37"/>
        <v>0.89700000000000002</v>
      </c>
      <c r="G91" s="6">
        <f t="shared" si="11"/>
        <v>20.495668713000001</v>
      </c>
      <c r="H91" s="6"/>
      <c r="I91" s="6"/>
      <c r="J91" s="6"/>
      <c r="K91" s="2" t="s">
        <v>39</v>
      </c>
      <c r="L91" s="2">
        <f>0/100</f>
        <v>0</v>
      </c>
      <c r="M91" s="2">
        <f>L90*G91</f>
        <v>0.36892203683400004</v>
      </c>
    </row>
    <row r="92" spans="1:13" x14ac:dyDescent="0.25">
      <c r="A92" s="4">
        <v>27.169</v>
      </c>
      <c r="B92" s="2" t="s">
        <v>19</v>
      </c>
      <c r="C92" s="6">
        <f t="shared" si="24"/>
        <v>0.84099999999999997</v>
      </c>
      <c r="D92" s="6">
        <f t="shared" si="4"/>
        <v>22.849129000000001</v>
      </c>
      <c r="E92" s="2" t="s">
        <v>49</v>
      </c>
      <c r="F92" s="2">
        <f>90.4/100</f>
        <v>0.90400000000000003</v>
      </c>
      <c r="G92" s="6">
        <f t="shared" si="11"/>
        <v>20.655612616000003</v>
      </c>
      <c r="H92" s="6" t="s">
        <v>11</v>
      </c>
      <c r="I92" s="6">
        <f>21.1/100</f>
        <v>0.21100000000000002</v>
      </c>
      <c r="J92" s="6">
        <f>I92*G92</f>
        <v>4.358334261976001</v>
      </c>
      <c r="K92" s="2" t="s">
        <v>32</v>
      </c>
      <c r="L92" s="2">
        <f>7.3/100</f>
        <v>7.2999999999999995E-2</v>
      </c>
      <c r="M92" s="2">
        <f>L92*G92</f>
        <v>1.507859720968</v>
      </c>
    </row>
    <row r="93" spans="1:13" x14ac:dyDescent="0.25">
      <c r="A93" s="4">
        <v>27.169</v>
      </c>
      <c r="B93" s="2" t="s">
        <v>19</v>
      </c>
      <c r="C93" s="6">
        <f t="shared" si="24"/>
        <v>0.84099999999999997</v>
      </c>
      <c r="D93" s="6">
        <f t="shared" ref="D93:D99" si="40">C93*A93</f>
        <v>22.849129000000001</v>
      </c>
      <c r="E93" s="2" t="s">
        <v>18</v>
      </c>
      <c r="F93" s="2">
        <f t="shared" ref="F93:F99" si="41">90.4/100</f>
        <v>0.90400000000000003</v>
      </c>
      <c r="G93" s="6">
        <f t="shared" si="11"/>
        <v>20.655612616000003</v>
      </c>
      <c r="H93" s="6" t="s">
        <v>12</v>
      </c>
      <c r="I93" s="6">
        <f>12.4/100</f>
        <v>0.124</v>
      </c>
      <c r="J93" s="6">
        <f t="shared" ref="J93:J97" si="42">I93*G93</f>
        <v>2.5612959643840001</v>
      </c>
      <c r="K93" s="2" t="s">
        <v>33</v>
      </c>
      <c r="L93" s="2">
        <f>12.8/100</f>
        <v>0.128</v>
      </c>
      <c r="M93" s="2">
        <f t="shared" ref="M93:M99" si="43">L93*G93</f>
        <v>2.6439184148480006</v>
      </c>
    </row>
    <row r="94" spans="1:13" x14ac:dyDescent="0.25">
      <c r="A94" s="4">
        <v>27.169</v>
      </c>
      <c r="B94" s="2" t="s">
        <v>19</v>
      </c>
      <c r="C94" s="6">
        <f t="shared" si="24"/>
        <v>0.84099999999999997</v>
      </c>
      <c r="D94" s="6">
        <f t="shared" si="40"/>
        <v>22.849129000000001</v>
      </c>
      <c r="E94" s="2" t="s">
        <v>18</v>
      </c>
      <c r="F94" s="2">
        <f t="shared" si="41"/>
        <v>0.90400000000000003</v>
      </c>
      <c r="G94" s="6">
        <f t="shared" si="11"/>
        <v>20.655612616000003</v>
      </c>
      <c r="H94" s="6" t="s">
        <v>7</v>
      </c>
      <c r="I94" s="6">
        <f>15.7/100</f>
        <v>0.157</v>
      </c>
      <c r="J94" s="6">
        <f t="shared" si="42"/>
        <v>3.2429311807120005</v>
      </c>
      <c r="K94" s="2" t="s">
        <v>34</v>
      </c>
      <c r="L94" s="2">
        <f>13.6/100</f>
        <v>0.13600000000000001</v>
      </c>
      <c r="M94" s="2">
        <f t="shared" si="43"/>
        <v>2.8091633157760008</v>
      </c>
    </row>
    <row r="95" spans="1:13" x14ac:dyDescent="0.25">
      <c r="A95" s="4">
        <v>27.169</v>
      </c>
      <c r="B95" s="2" t="s">
        <v>19</v>
      </c>
      <c r="C95" s="6">
        <f t="shared" si="24"/>
        <v>0.84099999999999997</v>
      </c>
      <c r="D95" s="6">
        <f t="shared" si="40"/>
        <v>22.849129000000001</v>
      </c>
      <c r="E95" s="2" t="s">
        <v>18</v>
      </c>
      <c r="F95" s="2">
        <f t="shared" si="41"/>
        <v>0.90400000000000003</v>
      </c>
      <c r="G95" s="6">
        <f t="shared" si="11"/>
        <v>20.655612616000003</v>
      </c>
      <c r="H95" s="6" t="s">
        <v>8</v>
      </c>
      <c r="I95" s="6">
        <f>38.3/100</f>
        <v>0.38299999999999995</v>
      </c>
      <c r="J95" s="6">
        <f t="shared" si="42"/>
        <v>7.9110996319279998</v>
      </c>
      <c r="K95" s="2" t="s">
        <v>35</v>
      </c>
      <c r="L95" s="2">
        <f>27/100</f>
        <v>0.27</v>
      </c>
      <c r="M95" s="2">
        <f t="shared" si="43"/>
        <v>5.577015406320001</v>
      </c>
    </row>
    <row r="96" spans="1:13" x14ac:dyDescent="0.25">
      <c r="A96" s="4">
        <v>27.169</v>
      </c>
      <c r="B96" s="2" t="s">
        <v>19</v>
      </c>
      <c r="C96" s="6">
        <f t="shared" si="24"/>
        <v>0.84099999999999997</v>
      </c>
      <c r="D96" s="6">
        <f t="shared" si="40"/>
        <v>22.849129000000001</v>
      </c>
      <c r="E96" s="2" t="s">
        <v>18</v>
      </c>
      <c r="F96" s="2">
        <f t="shared" si="41"/>
        <v>0.90400000000000003</v>
      </c>
      <c r="G96" s="6">
        <f t="shared" si="11"/>
        <v>20.655612616000003</v>
      </c>
      <c r="H96" s="6" t="s">
        <v>10</v>
      </c>
      <c r="I96" s="6">
        <f>2.6/100</f>
        <v>2.6000000000000002E-2</v>
      </c>
      <c r="J96" s="6">
        <f t="shared" si="42"/>
        <v>0.53704592801600015</v>
      </c>
      <c r="K96" s="2" t="s">
        <v>36</v>
      </c>
      <c r="L96" s="2">
        <f>19.3/100</f>
        <v>0.193</v>
      </c>
      <c r="M96" s="2">
        <f t="shared" si="43"/>
        <v>3.9865332348880007</v>
      </c>
    </row>
    <row r="97" spans="1:13" x14ac:dyDescent="0.25">
      <c r="A97" s="4">
        <v>27.169</v>
      </c>
      <c r="B97" s="2" t="s">
        <v>19</v>
      </c>
      <c r="C97" s="6">
        <f t="shared" si="24"/>
        <v>0.84099999999999997</v>
      </c>
      <c r="D97" s="6">
        <f t="shared" si="40"/>
        <v>22.849129000000001</v>
      </c>
      <c r="E97" s="2" t="s">
        <v>18</v>
      </c>
      <c r="F97" s="2">
        <f t="shared" si="41"/>
        <v>0.90400000000000003</v>
      </c>
      <c r="G97" s="6">
        <f t="shared" si="11"/>
        <v>20.655612616000003</v>
      </c>
      <c r="H97" s="6" t="s">
        <v>9</v>
      </c>
      <c r="I97" s="6">
        <f>8.7/100</f>
        <v>8.6999999999999994E-2</v>
      </c>
      <c r="J97" s="6">
        <f t="shared" si="42"/>
        <v>1.7970382975920001</v>
      </c>
      <c r="K97" s="2" t="s">
        <v>37</v>
      </c>
      <c r="L97" s="2">
        <f>14.9/100</f>
        <v>0.14899999999999999</v>
      </c>
      <c r="M97" s="2">
        <f t="shared" si="43"/>
        <v>3.0776862797840003</v>
      </c>
    </row>
    <row r="98" spans="1:13" x14ac:dyDescent="0.25">
      <c r="A98" s="4">
        <v>27.169</v>
      </c>
      <c r="B98" s="2" t="s">
        <v>19</v>
      </c>
      <c r="C98" s="6">
        <f t="shared" si="24"/>
        <v>0.84099999999999997</v>
      </c>
      <c r="D98" s="6">
        <f t="shared" si="40"/>
        <v>22.849129000000001</v>
      </c>
      <c r="E98" s="2" t="s">
        <v>18</v>
      </c>
      <c r="F98" s="2">
        <f t="shared" si="41"/>
        <v>0.90400000000000003</v>
      </c>
      <c r="G98" s="6">
        <f t="shared" si="11"/>
        <v>20.655612616000003</v>
      </c>
      <c r="H98" s="6" t="s">
        <v>55</v>
      </c>
      <c r="I98" s="2">
        <f>1.2/100</f>
        <v>1.2E-2</v>
      </c>
      <c r="J98" s="2"/>
      <c r="K98" s="2" t="s">
        <v>38</v>
      </c>
      <c r="L98" s="2">
        <f>2.8/100</f>
        <v>2.7999999999999997E-2</v>
      </c>
      <c r="M98" s="2">
        <f t="shared" si="43"/>
        <v>0.57835715324799997</v>
      </c>
    </row>
    <row r="99" spans="1:13" x14ac:dyDescent="0.25">
      <c r="A99" s="4">
        <v>27.169</v>
      </c>
      <c r="B99" s="2" t="s">
        <v>19</v>
      </c>
      <c r="C99" s="6">
        <f t="shared" si="24"/>
        <v>0.84099999999999997</v>
      </c>
      <c r="D99" s="6">
        <f t="shared" si="40"/>
        <v>22.849129000000001</v>
      </c>
      <c r="E99" s="2" t="s">
        <v>18</v>
      </c>
      <c r="F99" s="2">
        <f t="shared" si="41"/>
        <v>0.90400000000000003</v>
      </c>
      <c r="G99" s="6">
        <f t="shared" ref="G99" si="44">F99*D99</f>
        <v>20.655612616000003</v>
      </c>
      <c r="H99" s="2"/>
      <c r="I99" s="2"/>
      <c r="J99" s="2"/>
      <c r="K99" s="2" t="s">
        <v>39</v>
      </c>
      <c r="L99" s="2">
        <f>2.2/100</f>
        <v>2.2000000000000002E-2</v>
      </c>
      <c r="M99" s="2">
        <f t="shared" si="43"/>
        <v>0.45442347755200008</v>
      </c>
    </row>
  </sheetData>
  <mergeCells count="1">
    <mergeCell ref="E2:J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90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27.452999999999999</v>
      </c>
      <c r="B4" s="4" t="s">
        <v>2</v>
      </c>
      <c r="C4" s="5">
        <f>15.5/100</f>
        <v>0.155</v>
      </c>
      <c r="D4" s="6">
        <f>C4*A4</f>
        <v>4.2552149999999997</v>
      </c>
      <c r="E4" s="6" t="s">
        <v>14</v>
      </c>
      <c r="F4" s="5">
        <f>19.8/100</f>
        <v>0.19800000000000001</v>
      </c>
      <c r="G4" s="5">
        <f>D4*F4</f>
        <v>0.84253257000000004</v>
      </c>
      <c r="H4" s="6" t="s">
        <v>11</v>
      </c>
      <c r="I4" s="6">
        <f>11.6/100</f>
        <v>0.11599999999999999</v>
      </c>
      <c r="J4" s="7">
        <f>I4*G4</f>
        <v>9.7733778120000003E-2</v>
      </c>
      <c r="K4" s="2" t="s">
        <v>32</v>
      </c>
      <c r="L4" s="2">
        <f>2.2/100</f>
        <v>2.2000000000000002E-2</v>
      </c>
      <c r="M4" s="2">
        <f>L4*G4</f>
        <v>1.8535716540000004E-2</v>
      </c>
    </row>
    <row r="5" spans="1:13" x14ac:dyDescent="0.25">
      <c r="A5" s="4">
        <v>27.452999999999999</v>
      </c>
      <c r="B5" s="4" t="s">
        <v>2</v>
      </c>
      <c r="C5" s="5">
        <f t="shared" ref="C5:C51" si="0">15.5/100</f>
        <v>0.155</v>
      </c>
      <c r="D5" s="6">
        <f>C5*A5</f>
        <v>4.2552149999999997</v>
      </c>
      <c r="E5" s="6" t="s">
        <v>43</v>
      </c>
      <c r="F5" s="5">
        <f t="shared" ref="F5:F11" si="1">19.8/100</f>
        <v>0.19800000000000001</v>
      </c>
      <c r="G5" s="5">
        <f>D5*F5</f>
        <v>0.84253257000000004</v>
      </c>
      <c r="H5" s="6" t="s">
        <v>12</v>
      </c>
      <c r="I5" s="6">
        <f>5.2/100</f>
        <v>5.2000000000000005E-2</v>
      </c>
      <c r="J5" s="8">
        <f t="shared" ref="J5:J10" si="2">G5*I5</f>
        <v>4.3811693640000003E-2</v>
      </c>
      <c r="K5" s="2" t="s">
        <v>33</v>
      </c>
      <c r="L5" s="2">
        <f>8.2/100</f>
        <v>8.199999999999999E-2</v>
      </c>
      <c r="M5" s="2">
        <f t="shared" ref="M5:M11" si="3">L5*G5</f>
        <v>6.9087670739999996E-2</v>
      </c>
    </row>
    <row r="6" spans="1:13" x14ac:dyDescent="0.25">
      <c r="A6" s="4">
        <v>27.452999999999999</v>
      </c>
      <c r="B6" s="4" t="s">
        <v>2</v>
      </c>
      <c r="C6" s="5">
        <f t="shared" si="0"/>
        <v>0.155</v>
      </c>
      <c r="D6" s="6">
        <f t="shared" ref="D6:D92" si="4">C6*A6</f>
        <v>4.2552149999999997</v>
      </c>
      <c r="E6" s="6" t="s">
        <v>14</v>
      </c>
      <c r="F6" s="5">
        <f t="shared" si="1"/>
        <v>0.19800000000000001</v>
      </c>
      <c r="G6" s="5">
        <f t="shared" ref="G6:G11" si="5">D6*F6</f>
        <v>0.84253257000000004</v>
      </c>
      <c r="H6" s="6" t="s">
        <v>7</v>
      </c>
      <c r="I6" s="14">
        <f>4/100</f>
        <v>0.04</v>
      </c>
      <c r="J6" s="8">
        <f t="shared" si="2"/>
        <v>3.3701302799999999E-2</v>
      </c>
      <c r="K6" s="2" t="s">
        <v>34</v>
      </c>
      <c r="L6" s="2">
        <f>8.2/100</f>
        <v>8.199999999999999E-2</v>
      </c>
      <c r="M6" s="2">
        <f t="shared" si="3"/>
        <v>6.9087670739999996E-2</v>
      </c>
    </row>
    <row r="7" spans="1:13" x14ac:dyDescent="0.25">
      <c r="A7" s="4">
        <v>27.452999999999999</v>
      </c>
      <c r="B7" s="4" t="s">
        <v>2</v>
      </c>
      <c r="C7" s="5">
        <f t="shared" si="0"/>
        <v>0.155</v>
      </c>
      <c r="D7" s="6">
        <f t="shared" si="4"/>
        <v>4.2552149999999997</v>
      </c>
      <c r="E7" s="6" t="s">
        <v>14</v>
      </c>
      <c r="F7" s="5">
        <f t="shared" si="1"/>
        <v>0.19800000000000001</v>
      </c>
      <c r="G7" s="5">
        <f t="shared" si="5"/>
        <v>0.84253257000000004</v>
      </c>
      <c r="H7" s="6" t="s">
        <v>8</v>
      </c>
      <c r="I7" s="6">
        <f>29.3/100</f>
        <v>0.29299999999999998</v>
      </c>
      <c r="J7" s="8">
        <f t="shared" si="2"/>
        <v>0.24686204301</v>
      </c>
      <c r="K7" s="2" t="s">
        <v>35</v>
      </c>
      <c r="L7" s="2">
        <f>25.4/100</f>
        <v>0.254</v>
      </c>
      <c r="M7" s="2">
        <f t="shared" si="3"/>
        <v>0.21400327278</v>
      </c>
    </row>
    <row r="8" spans="1:13" x14ac:dyDescent="0.25">
      <c r="A8" s="4">
        <v>27.452999999999999</v>
      </c>
      <c r="B8" s="4" t="s">
        <v>2</v>
      </c>
      <c r="C8" s="5">
        <f t="shared" si="0"/>
        <v>0.155</v>
      </c>
      <c r="D8" s="6">
        <f t="shared" si="4"/>
        <v>4.2552149999999997</v>
      </c>
      <c r="E8" s="6" t="s">
        <v>14</v>
      </c>
      <c r="F8" s="5">
        <f t="shared" si="1"/>
        <v>0.19800000000000001</v>
      </c>
      <c r="G8" s="5">
        <f t="shared" si="5"/>
        <v>0.84253257000000004</v>
      </c>
      <c r="H8" s="6" t="s">
        <v>10</v>
      </c>
      <c r="I8" s="6">
        <f>7.4/100</f>
        <v>7.400000000000001E-2</v>
      </c>
      <c r="J8" s="8">
        <f t="shared" si="2"/>
        <v>6.2347410180000014E-2</v>
      </c>
      <c r="K8" s="2" t="s">
        <v>36</v>
      </c>
      <c r="L8" s="2">
        <f>27.7/100</f>
        <v>0.27699999999999997</v>
      </c>
      <c r="M8" s="2">
        <f t="shared" si="3"/>
        <v>0.23338152188999997</v>
      </c>
    </row>
    <row r="9" spans="1:13" x14ac:dyDescent="0.25">
      <c r="A9" s="4">
        <v>27.452999999999999</v>
      </c>
      <c r="B9" s="4" t="s">
        <v>2</v>
      </c>
      <c r="C9" s="5">
        <f t="shared" si="0"/>
        <v>0.155</v>
      </c>
      <c r="D9" s="6">
        <f>C9*A9</f>
        <v>4.2552149999999997</v>
      </c>
      <c r="E9" s="6" t="s">
        <v>14</v>
      </c>
      <c r="F9" s="5">
        <f t="shared" si="1"/>
        <v>0.19800000000000001</v>
      </c>
      <c r="G9" s="5">
        <f t="shared" si="5"/>
        <v>0.84253257000000004</v>
      </c>
      <c r="H9" s="6" t="s">
        <v>9</v>
      </c>
      <c r="I9" s="6">
        <f>41.3/100</f>
        <v>0.41299999999999998</v>
      </c>
      <c r="J9" s="8">
        <f t="shared" si="2"/>
        <v>0.34796595140999997</v>
      </c>
      <c r="K9" s="2" t="s">
        <v>37</v>
      </c>
      <c r="L9" s="2">
        <f>25.9/100</f>
        <v>0.25900000000000001</v>
      </c>
      <c r="M9" s="2">
        <f t="shared" si="3"/>
        <v>0.21821593563000002</v>
      </c>
    </row>
    <row r="10" spans="1:13" x14ac:dyDescent="0.25">
      <c r="A10" s="4">
        <v>27.452999999999999</v>
      </c>
      <c r="B10" s="4" t="s">
        <v>2</v>
      </c>
      <c r="C10" s="5">
        <f t="shared" si="0"/>
        <v>0.155</v>
      </c>
      <c r="D10" s="6">
        <f t="shared" si="4"/>
        <v>4.2552149999999997</v>
      </c>
      <c r="E10" s="6" t="s">
        <v>14</v>
      </c>
      <c r="F10" s="5">
        <f t="shared" si="1"/>
        <v>0.19800000000000001</v>
      </c>
      <c r="G10" s="5">
        <f t="shared" si="5"/>
        <v>0.84253257000000004</v>
      </c>
      <c r="H10" s="6" t="s">
        <v>55</v>
      </c>
      <c r="I10" s="6">
        <f>1.1/100</f>
        <v>1.1000000000000001E-2</v>
      </c>
      <c r="J10" s="8">
        <f t="shared" si="2"/>
        <v>9.2678582700000019E-3</v>
      </c>
      <c r="K10" s="2" t="s">
        <v>38</v>
      </c>
      <c r="L10" s="2">
        <f>1.4/100</f>
        <v>1.3999999999999999E-2</v>
      </c>
      <c r="M10" s="2">
        <f t="shared" si="3"/>
        <v>1.1795455979999999E-2</v>
      </c>
    </row>
    <row r="11" spans="1:13" x14ac:dyDescent="0.25">
      <c r="A11" s="4">
        <v>27.452999999999999</v>
      </c>
      <c r="B11" s="4" t="s">
        <v>2</v>
      </c>
      <c r="C11" s="5">
        <f t="shared" si="0"/>
        <v>0.155</v>
      </c>
      <c r="D11" s="6">
        <f t="shared" si="4"/>
        <v>4.2552149999999997</v>
      </c>
      <c r="E11" s="6" t="s">
        <v>14</v>
      </c>
      <c r="F11" s="5">
        <f t="shared" si="1"/>
        <v>0.19800000000000001</v>
      </c>
      <c r="G11" s="5">
        <f t="shared" si="5"/>
        <v>0.84253257000000004</v>
      </c>
      <c r="H11" s="6"/>
      <c r="I11" s="6"/>
      <c r="J11" s="8"/>
      <c r="K11" s="2" t="s">
        <v>39</v>
      </c>
      <c r="L11" s="2">
        <f>1/100</f>
        <v>0.01</v>
      </c>
      <c r="M11" s="2">
        <f t="shared" si="3"/>
        <v>8.4253256999999998E-3</v>
      </c>
    </row>
    <row r="12" spans="1:13" x14ac:dyDescent="0.25">
      <c r="A12" s="4">
        <v>27.452999999999999</v>
      </c>
      <c r="B12" s="4" t="s">
        <v>2</v>
      </c>
      <c r="C12" s="5">
        <f t="shared" si="0"/>
        <v>0.155</v>
      </c>
      <c r="D12" s="6">
        <f t="shared" si="4"/>
        <v>4.2552149999999997</v>
      </c>
      <c r="E12" s="6" t="s">
        <v>44</v>
      </c>
      <c r="F12" s="8">
        <f>14.9/100</f>
        <v>0.14899999999999999</v>
      </c>
      <c r="G12" s="6">
        <f>F12*D12</f>
        <v>0.63402703499999991</v>
      </c>
      <c r="H12" s="6" t="s">
        <v>11</v>
      </c>
      <c r="I12" s="6">
        <f>0/100</f>
        <v>0</v>
      </c>
      <c r="J12" s="8">
        <f>I12*G12</f>
        <v>0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27.452999999999999</v>
      </c>
      <c r="B13" s="4" t="s">
        <v>2</v>
      </c>
      <c r="C13" s="5">
        <f t="shared" si="0"/>
        <v>0.155</v>
      </c>
      <c r="D13" s="6">
        <f t="shared" si="4"/>
        <v>4.2552149999999997</v>
      </c>
      <c r="E13" s="6" t="s">
        <v>15</v>
      </c>
      <c r="F13" s="8">
        <f t="shared" ref="F13:F19" si="6">14.9/100</f>
        <v>0.14899999999999999</v>
      </c>
      <c r="G13" s="6">
        <f t="shared" ref="G13:G19" si="7">F13*D13</f>
        <v>0.63402703499999991</v>
      </c>
      <c r="H13" s="6" t="s">
        <v>12</v>
      </c>
      <c r="I13" s="6">
        <f>0/100</f>
        <v>0</v>
      </c>
      <c r="J13" s="8">
        <f t="shared" ref="J13:J17" si="8">I13*G13</f>
        <v>0</v>
      </c>
      <c r="K13" s="2" t="s">
        <v>33</v>
      </c>
      <c r="L13" s="2">
        <f>12.7/100</f>
        <v>0.127</v>
      </c>
      <c r="M13" s="2">
        <f t="shared" ref="M13:M19" si="9">L13*G13</f>
        <v>8.0521433444999985E-2</v>
      </c>
    </row>
    <row r="14" spans="1:13" x14ac:dyDescent="0.25">
      <c r="A14" s="4">
        <v>27.452999999999999</v>
      </c>
      <c r="B14" s="4" t="s">
        <v>2</v>
      </c>
      <c r="C14" s="5">
        <f t="shared" si="0"/>
        <v>0.155</v>
      </c>
      <c r="D14" s="6">
        <f t="shared" si="4"/>
        <v>4.2552149999999997</v>
      </c>
      <c r="E14" s="6" t="s">
        <v>15</v>
      </c>
      <c r="F14" s="8">
        <f t="shared" si="6"/>
        <v>0.14899999999999999</v>
      </c>
      <c r="G14" s="6">
        <f t="shared" si="7"/>
        <v>0.63402703499999991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6/100</f>
        <v>0.06</v>
      </c>
      <c r="M14" s="2">
        <f t="shared" si="9"/>
        <v>3.8041622099999992E-2</v>
      </c>
    </row>
    <row r="15" spans="1:13" x14ac:dyDescent="0.25">
      <c r="A15" s="4">
        <v>27.452999999999999</v>
      </c>
      <c r="B15" s="4" t="s">
        <v>2</v>
      </c>
      <c r="C15" s="5">
        <f t="shared" si="0"/>
        <v>0.155</v>
      </c>
      <c r="D15" s="6">
        <f t="shared" si="4"/>
        <v>4.2552149999999997</v>
      </c>
      <c r="E15" s="6" t="s">
        <v>15</v>
      </c>
      <c r="F15" s="8">
        <f t="shared" si="6"/>
        <v>0.14899999999999999</v>
      </c>
      <c r="G15" s="6">
        <f t="shared" si="7"/>
        <v>0.63402703499999991</v>
      </c>
      <c r="H15" s="6" t="s">
        <v>8</v>
      </c>
      <c r="I15" s="6">
        <f>33.2/100</f>
        <v>0.33200000000000002</v>
      </c>
      <c r="J15" s="8">
        <f>I15*G15</f>
        <v>0.21049697561999997</v>
      </c>
      <c r="K15" s="2" t="s">
        <v>35</v>
      </c>
      <c r="L15" s="2">
        <f>34.1/100</f>
        <v>0.34100000000000003</v>
      </c>
      <c r="M15" s="2">
        <f t="shared" si="9"/>
        <v>0.216203218935</v>
      </c>
    </row>
    <row r="16" spans="1:13" x14ac:dyDescent="0.25">
      <c r="A16" s="4">
        <v>27.452999999999999</v>
      </c>
      <c r="B16" s="4" t="s">
        <v>2</v>
      </c>
      <c r="C16" s="5">
        <f t="shared" si="0"/>
        <v>0.155</v>
      </c>
      <c r="D16" s="6">
        <f t="shared" si="4"/>
        <v>4.2552149999999997</v>
      </c>
      <c r="E16" s="6" t="s">
        <v>15</v>
      </c>
      <c r="F16" s="8">
        <f t="shared" si="6"/>
        <v>0.14899999999999999</v>
      </c>
      <c r="G16" s="6">
        <f t="shared" si="7"/>
        <v>0.63402703499999991</v>
      </c>
      <c r="H16" s="6" t="s">
        <v>10</v>
      </c>
      <c r="I16" s="6">
        <f>12.5/100</f>
        <v>0.125</v>
      </c>
      <c r="J16" s="8">
        <f t="shared" si="8"/>
        <v>7.9253379374999988E-2</v>
      </c>
      <c r="K16" s="2" t="s">
        <v>36</v>
      </c>
      <c r="L16" s="2">
        <f>26.6/100</f>
        <v>0.26600000000000001</v>
      </c>
      <c r="M16" s="2">
        <f t="shared" si="9"/>
        <v>0.16865119130999998</v>
      </c>
    </row>
    <row r="17" spans="1:13" x14ac:dyDescent="0.25">
      <c r="A17" s="4">
        <v>27.452999999999999</v>
      </c>
      <c r="B17" s="4" t="s">
        <v>2</v>
      </c>
      <c r="C17" s="5">
        <f t="shared" si="0"/>
        <v>0.155</v>
      </c>
      <c r="D17" s="6">
        <f t="shared" si="4"/>
        <v>4.2552149999999997</v>
      </c>
      <c r="E17" s="6" t="s">
        <v>15</v>
      </c>
      <c r="F17" s="8">
        <f t="shared" si="6"/>
        <v>0.14899999999999999</v>
      </c>
      <c r="G17" s="6">
        <f t="shared" si="7"/>
        <v>0.63402703499999991</v>
      </c>
      <c r="H17" s="6" t="s">
        <v>9</v>
      </c>
      <c r="I17" s="6">
        <f>54.3/100</f>
        <v>0.54299999999999993</v>
      </c>
      <c r="J17" s="8">
        <f t="shared" si="8"/>
        <v>0.34427668000499989</v>
      </c>
      <c r="K17" s="2" t="s">
        <v>37</v>
      </c>
      <c r="L17" s="2">
        <f>20.5/100</f>
        <v>0.20499999999999999</v>
      </c>
      <c r="M17" s="2">
        <f t="shared" si="9"/>
        <v>0.12997554217499999</v>
      </c>
    </row>
    <row r="18" spans="1:13" x14ac:dyDescent="0.25">
      <c r="A18" s="4">
        <v>27.452999999999999</v>
      </c>
      <c r="B18" s="4" t="s">
        <v>2</v>
      </c>
      <c r="C18" s="5">
        <f t="shared" si="0"/>
        <v>0.155</v>
      </c>
      <c r="D18" s="6">
        <f t="shared" si="4"/>
        <v>4.2552149999999997</v>
      </c>
      <c r="E18" s="6" t="s">
        <v>15</v>
      </c>
      <c r="F18" s="8">
        <f t="shared" si="6"/>
        <v>0.14899999999999999</v>
      </c>
      <c r="G18" s="6">
        <f t="shared" si="7"/>
        <v>0.63402703499999991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27.452999999999999</v>
      </c>
      <c r="B19" s="4" t="s">
        <v>2</v>
      </c>
      <c r="C19" s="5">
        <f t="shared" si="0"/>
        <v>0.155</v>
      </c>
      <c r="D19" s="6">
        <f t="shared" si="4"/>
        <v>4.2552149999999997</v>
      </c>
      <c r="E19" s="6" t="s">
        <v>15</v>
      </c>
      <c r="F19" s="8">
        <f t="shared" si="6"/>
        <v>0.14899999999999999</v>
      </c>
      <c r="G19" s="6">
        <f t="shared" si="7"/>
        <v>0.63402703499999991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27.452999999999999</v>
      </c>
      <c r="B20" s="4" t="s">
        <v>2</v>
      </c>
      <c r="C20" s="5">
        <f t="shared" si="0"/>
        <v>0.155</v>
      </c>
      <c r="D20" s="6">
        <f t="shared" si="4"/>
        <v>4.2552149999999997</v>
      </c>
      <c r="E20" s="6" t="s">
        <v>45</v>
      </c>
      <c r="F20" s="6">
        <f>16.8/100</f>
        <v>0.16800000000000001</v>
      </c>
      <c r="G20" s="6">
        <f>F20*D20</f>
        <v>0.71487612</v>
      </c>
      <c r="H20" s="6" t="s">
        <v>11</v>
      </c>
      <c r="I20" s="6">
        <f>10.4/100</f>
        <v>0.10400000000000001</v>
      </c>
      <c r="J20" s="6">
        <f>I20*G20</f>
        <v>7.4347116480000003E-2</v>
      </c>
      <c r="K20" s="2" t="s">
        <v>32</v>
      </c>
      <c r="L20" s="2">
        <f>1.7/100</f>
        <v>1.7000000000000001E-2</v>
      </c>
      <c r="M20" s="2">
        <f>L20*G20</f>
        <v>1.2152894040000001E-2</v>
      </c>
    </row>
    <row r="21" spans="1:13" x14ac:dyDescent="0.25">
      <c r="A21" s="4">
        <v>27.452999999999999</v>
      </c>
      <c r="B21" s="4" t="s">
        <v>2</v>
      </c>
      <c r="C21" s="5">
        <f t="shared" si="0"/>
        <v>0.155</v>
      </c>
      <c r="D21" s="6">
        <f t="shared" si="4"/>
        <v>4.2552149999999997</v>
      </c>
      <c r="E21" s="6" t="s">
        <v>16</v>
      </c>
      <c r="F21" s="6">
        <f t="shared" ref="F21:F27" si="10">16.8/100</f>
        <v>0.16800000000000001</v>
      </c>
      <c r="G21" s="6">
        <f t="shared" ref="G21:G98" si="11">F21*D21</f>
        <v>0.71487612</v>
      </c>
      <c r="H21" s="6" t="s">
        <v>12</v>
      </c>
      <c r="I21" s="6">
        <f>3.4/100</f>
        <v>3.4000000000000002E-2</v>
      </c>
      <c r="J21" s="6">
        <f t="shared" ref="J21:J26" si="12">I21*G21</f>
        <v>2.4305788080000001E-2</v>
      </c>
      <c r="K21" s="2" t="s">
        <v>33</v>
      </c>
      <c r="L21" s="2">
        <f>11.3/100</f>
        <v>0.113</v>
      </c>
      <c r="M21" s="2">
        <f t="shared" ref="M21:M27" si="13">L21*G21</f>
        <v>8.0781001559999996E-2</v>
      </c>
    </row>
    <row r="22" spans="1:13" x14ac:dyDescent="0.25">
      <c r="A22" s="4">
        <v>27.452999999999999</v>
      </c>
      <c r="B22" s="4" t="s">
        <v>2</v>
      </c>
      <c r="C22" s="5">
        <f t="shared" si="0"/>
        <v>0.155</v>
      </c>
      <c r="D22" s="6">
        <f t="shared" si="4"/>
        <v>4.2552149999999997</v>
      </c>
      <c r="E22" s="6" t="s">
        <v>16</v>
      </c>
      <c r="F22" s="6">
        <f t="shared" si="10"/>
        <v>0.16800000000000001</v>
      </c>
      <c r="G22" s="6">
        <f t="shared" si="11"/>
        <v>0.71487612</v>
      </c>
      <c r="H22" s="6" t="s">
        <v>7</v>
      </c>
      <c r="I22" s="6">
        <f>4.8/100</f>
        <v>4.8000000000000001E-2</v>
      </c>
      <c r="J22" s="6">
        <f t="shared" si="12"/>
        <v>3.4314053759999998E-2</v>
      </c>
      <c r="K22" s="2" t="s">
        <v>34</v>
      </c>
      <c r="L22" s="2">
        <f>8.9/100</f>
        <v>8.900000000000001E-2</v>
      </c>
      <c r="M22" s="2">
        <f t="shared" si="13"/>
        <v>6.3623974680000001E-2</v>
      </c>
    </row>
    <row r="23" spans="1:13" x14ac:dyDescent="0.25">
      <c r="A23" s="4">
        <v>27.452999999999999</v>
      </c>
      <c r="B23" s="4" t="s">
        <v>2</v>
      </c>
      <c r="C23" s="5">
        <f t="shared" si="0"/>
        <v>0.155</v>
      </c>
      <c r="D23" s="6">
        <f t="shared" si="4"/>
        <v>4.2552149999999997</v>
      </c>
      <c r="E23" s="6" t="s">
        <v>16</v>
      </c>
      <c r="F23" s="6">
        <f t="shared" si="10"/>
        <v>0.16800000000000001</v>
      </c>
      <c r="G23" s="6">
        <f t="shared" si="11"/>
        <v>0.71487612</v>
      </c>
      <c r="H23" s="6" t="s">
        <v>8</v>
      </c>
      <c r="I23" s="6">
        <f>22.7/100</f>
        <v>0.22699999999999998</v>
      </c>
      <c r="J23" s="6">
        <f t="shared" si="12"/>
        <v>0.16227687923999998</v>
      </c>
      <c r="K23" s="2" t="s">
        <v>35</v>
      </c>
      <c r="L23" s="2">
        <f>28.9/100</f>
        <v>0.28899999999999998</v>
      </c>
      <c r="M23" s="2">
        <f t="shared" si="13"/>
        <v>0.20659919867999998</v>
      </c>
    </row>
    <row r="24" spans="1:13" x14ac:dyDescent="0.25">
      <c r="A24" s="4">
        <v>27.452999999999999</v>
      </c>
      <c r="B24" s="4" t="s">
        <v>2</v>
      </c>
      <c r="C24" s="5">
        <f t="shared" si="0"/>
        <v>0.155</v>
      </c>
      <c r="D24" s="6">
        <f t="shared" si="4"/>
        <v>4.2552149999999997</v>
      </c>
      <c r="E24" s="6" t="s">
        <v>16</v>
      </c>
      <c r="F24" s="6">
        <f t="shared" si="10"/>
        <v>0.16800000000000001</v>
      </c>
      <c r="G24" s="6">
        <f t="shared" si="11"/>
        <v>0.71487612</v>
      </c>
      <c r="H24" s="6" t="s">
        <v>10</v>
      </c>
      <c r="I24" s="6">
        <f>7.2/100</f>
        <v>7.2000000000000008E-2</v>
      </c>
      <c r="J24" s="6">
        <f t="shared" si="12"/>
        <v>5.1471080640000007E-2</v>
      </c>
      <c r="K24" s="2" t="s">
        <v>36</v>
      </c>
      <c r="L24" s="2">
        <f>25.6/100</f>
        <v>0.25600000000000001</v>
      </c>
      <c r="M24" s="2">
        <f t="shared" si="13"/>
        <v>0.18300828672</v>
      </c>
    </row>
    <row r="25" spans="1:13" x14ac:dyDescent="0.25">
      <c r="A25" s="4">
        <v>27.452999999999999</v>
      </c>
      <c r="B25" s="4" t="s">
        <v>2</v>
      </c>
      <c r="C25" s="5">
        <f t="shared" si="0"/>
        <v>0.155</v>
      </c>
      <c r="D25" s="6">
        <f t="shared" si="4"/>
        <v>4.2552149999999997</v>
      </c>
      <c r="E25" s="6" t="s">
        <v>16</v>
      </c>
      <c r="F25" s="6">
        <f t="shared" si="10"/>
        <v>0.16800000000000001</v>
      </c>
      <c r="G25" s="6">
        <f t="shared" si="11"/>
        <v>0.71487612</v>
      </c>
      <c r="H25" s="6" t="s">
        <v>9</v>
      </c>
      <c r="I25" s="6">
        <f>50.2/100</f>
        <v>0.502</v>
      </c>
      <c r="J25" s="6">
        <f t="shared" si="12"/>
        <v>0.35886781224000003</v>
      </c>
      <c r="K25" s="2" t="s">
        <v>37</v>
      </c>
      <c r="L25" s="2">
        <f>21.8/100</f>
        <v>0.218</v>
      </c>
      <c r="M25" s="2">
        <f t="shared" si="13"/>
        <v>0.15584299416</v>
      </c>
    </row>
    <row r="26" spans="1:13" x14ac:dyDescent="0.25">
      <c r="A26" s="4">
        <v>27.452999999999999</v>
      </c>
      <c r="B26" s="4" t="s">
        <v>2</v>
      </c>
      <c r="C26" s="5">
        <f t="shared" si="0"/>
        <v>0.155</v>
      </c>
      <c r="D26" s="6">
        <f t="shared" si="4"/>
        <v>4.2552149999999997</v>
      </c>
      <c r="E26" s="6" t="s">
        <v>16</v>
      </c>
      <c r="F26" s="6">
        <f t="shared" si="10"/>
        <v>0.16800000000000001</v>
      </c>
      <c r="G26" s="6">
        <f t="shared" si="11"/>
        <v>0.71487612</v>
      </c>
      <c r="H26" s="6" t="s">
        <v>55</v>
      </c>
      <c r="I26" s="6">
        <f>1.4/100</f>
        <v>1.3999999999999999E-2</v>
      </c>
      <c r="J26" s="6">
        <f t="shared" si="12"/>
        <v>1.000826568E-2</v>
      </c>
      <c r="K26" s="2" t="s">
        <v>38</v>
      </c>
      <c r="L26" s="2">
        <f>0.6/100</f>
        <v>6.0000000000000001E-3</v>
      </c>
      <c r="M26" s="2">
        <f t="shared" si="13"/>
        <v>4.2892567199999997E-3</v>
      </c>
    </row>
    <row r="27" spans="1:13" x14ac:dyDescent="0.25">
      <c r="A27" s="4">
        <v>27.452999999999999</v>
      </c>
      <c r="B27" s="4" t="s">
        <v>2</v>
      </c>
      <c r="C27" s="5">
        <f t="shared" si="0"/>
        <v>0.155</v>
      </c>
      <c r="D27" s="6">
        <f t="shared" si="4"/>
        <v>4.2552149999999997</v>
      </c>
      <c r="E27" s="6" t="s">
        <v>16</v>
      </c>
      <c r="F27" s="6">
        <f t="shared" si="10"/>
        <v>0.16800000000000001</v>
      </c>
      <c r="G27" s="6">
        <f t="shared" si="11"/>
        <v>0.71487612</v>
      </c>
      <c r="H27" s="6"/>
      <c r="I27" s="6"/>
      <c r="J27" s="6"/>
      <c r="K27" s="2" t="s">
        <v>39</v>
      </c>
      <c r="L27" s="2">
        <f>1.1/100</f>
        <v>1.1000000000000001E-2</v>
      </c>
      <c r="M27" s="2">
        <f t="shared" si="13"/>
        <v>7.8636373200000002E-3</v>
      </c>
    </row>
    <row r="28" spans="1:13" x14ac:dyDescent="0.25">
      <c r="A28" s="4">
        <v>27.452999999999999</v>
      </c>
      <c r="B28" s="4" t="s">
        <v>2</v>
      </c>
      <c r="C28" s="5">
        <f t="shared" si="0"/>
        <v>0.155</v>
      </c>
      <c r="D28" s="6">
        <f t="shared" si="4"/>
        <v>4.2552149999999997</v>
      </c>
      <c r="E28" s="6" t="s">
        <v>46</v>
      </c>
      <c r="F28" s="8">
        <f>17.6/100</f>
        <v>0.17600000000000002</v>
      </c>
      <c r="G28" s="6">
        <f t="shared" si="11"/>
        <v>0.74891784000000006</v>
      </c>
      <c r="H28" s="6" t="s">
        <v>11</v>
      </c>
      <c r="I28" s="8">
        <f>25.5/100</f>
        <v>0.255</v>
      </c>
      <c r="J28" s="8">
        <f>I28*G28</f>
        <v>0.19097404920000002</v>
      </c>
      <c r="K28" s="2" t="s">
        <v>32</v>
      </c>
      <c r="L28" s="2">
        <f>1.3/100</f>
        <v>1.3000000000000001E-2</v>
      </c>
      <c r="M28" s="2">
        <f>L28*G28</f>
        <v>9.7359319200000013E-3</v>
      </c>
    </row>
    <row r="29" spans="1:13" x14ac:dyDescent="0.25">
      <c r="A29" s="4">
        <v>27.452999999999999</v>
      </c>
      <c r="B29" s="4" t="s">
        <v>2</v>
      </c>
      <c r="C29" s="5">
        <f t="shared" si="0"/>
        <v>0.155</v>
      </c>
      <c r="D29" s="6">
        <f t="shared" si="4"/>
        <v>4.2552149999999997</v>
      </c>
      <c r="E29" s="6" t="s">
        <v>13</v>
      </c>
      <c r="F29" s="8">
        <f t="shared" ref="F29:F34" si="14">17.6/100</f>
        <v>0.17600000000000002</v>
      </c>
      <c r="G29" s="6">
        <f t="shared" si="11"/>
        <v>0.74891784000000006</v>
      </c>
      <c r="H29" s="6" t="s">
        <v>12</v>
      </c>
      <c r="I29" s="8">
        <f>7.1/100</f>
        <v>7.0999999999999994E-2</v>
      </c>
      <c r="J29" s="8">
        <f t="shared" ref="J29:J34" si="15">I29*G29</f>
        <v>5.3173166639999998E-2</v>
      </c>
      <c r="K29" s="2" t="s">
        <v>33</v>
      </c>
      <c r="L29" s="2">
        <f>6.9/100</f>
        <v>6.9000000000000006E-2</v>
      </c>
      <c r="M29" s="2">
        <f t="shared" ref="M29:M31" si="16">L29*G29</f>
        <v>5.1675330960000009E-2</v>
      </c>
    </row>
    <row r="30" spans="1:13" x14ac:dyDescent="0.25">
      <c r="A30" s="4">
        <v>27.452999999999999</v>
      </c>
      <c r="B30" s="4" t="s">
        <v>2</v>
      </c>
      <c r="C30" s="5">
        <f t="shared" si="0"/>
        <v>0.155</v>
      </c>
      <c r="D30" s="6">
        <f t="shared" si="4"/>
        <v>4.2552149999999997</v>
      </c>
      <c r="E30" s="6" t="s">
        <v>13</v>
      </c>
      <c r="F30" s="8">
        <f t="shared" si="14"/>
        <v>0.17600000000000002</v>
      </c>
      <c r="G30" s="6">
        <f t="shared" si="11"/>
        <v>0.74891784000000006</v>
      </c>
      <c r="H30" s="6" t="s">
        <v>7</v>
      </c>
      <c r="I30" s="8">
        <f>7.1/100</f>
        <v>7.0999999999999994E-2</v>
      </c>
      <c r="J30" s="8">
        <f t="shared" si="15"/>
        <v>5.3173166639999998E-2</v>
      </c>
      <c r="K30" s="2" t="s">
        <v>34</v>
      </c>
      <c r="L30" s="2">
        <f>8.7/100</f>
        <v>8.6999999999999994E-2</v>
      </c>
      <c r="M30" s="2">
        <f t="shared" si="16"/>
        <v>6.5155852080000007E-2</v>
      </c>
    </row>
    <row r="31" spans="1:13" x14ac:dyDescent="0.25">
      <c r="A31" s="4">
        <v>27.452999999999999</v>
      </c>
      <c r="B31" s="4" t="s">
        <v>2</v>
      </c>
      <c r="C31" s="5">
        <f t="shared" si="0"/>
        <v>0.155</v>
      </c>
      <c r="D31" s="6">
        <f t="shared" si="4"/>
        <v>4.2552149999999997</v>
      </c>
      <c r="E31" s="6" t="s">
        <v>13</v>
      </c>
      <c r="F31" s="8">
        <f t="shared" si="14"/>
        <v>0.17600000000000002</v>
      </c>
      <c r="G31" s="6">
        <f t="shared" si="11"/>
        <v>0.74891784000000006</v>
      </c>
      <c r="H31" s="6" t="s">
        <v>8</v>
      </c>
      <c r="I31" s="8">
        <f>29.5/100</f>
        <v>0.29499999999999998</v>
      </c>
      <c r="J31" s="8">
        <f t="shared" si="15"/>
        <v>0.22093076280000001</v>
      </c>
      <c r="K31" s="2" t="s">
        <v>35</v>
      </c>
      <c r="L31" s="2">
        <f>31.4/100</f>
        <v>0.314</v>
      </c>
      <c r="M31" s="2">
        <f t="shared" si="16"/>
        <v>0.23516020176000002</v>
      </c>
    </row>
    <row r="32" spans="1:13" x14ac:dyDescent="0.25">
      <c r="A32" s="4">
        <v>27.452999999999999</v>
      </c>
      <c r="B32" s="4" t="s">
        <v>2</v>
      </c>
      <c r="C32" s="5">
        <f t="shared" si="0"/>
        <v>0.155</v>
      </c>
      <c r="D32" s="6">
        <f t="shared" si="4"/>
        <v>4.2552149999999997</v>
      </c>
      <c r="E32" s="6" t="s">
        <v>13</v>
      </c>
      <c r="F32" s="8">
        <f t="shared" si="14"/>
        <v>0.17600000000000002</v>
      </c>
      <c r="G32" s="6">
        <f t="shared" si="11"/>
        <v>0.74891784000000006</v>
      </c>
      <c r="H32" s="6" t="s">
        <v>10</v>
      </c>
      <c r="I32" s="8">
        <f>6.7/100</f>
        <v>6.7000000000000004E-2</v>
      </c>
      <c r="J32" s="8">
        <f t="shared" si="15"/>
        <v>5.0177495280000005E-2</v>
      </c>
      <c r="K32" s="2" t="s">
        <v>36</v>
      </c>
      <c r="L32" s="2">
        <f>27.5/100</f>
        <v>0.27500000000000002</v>
      </c>
      <c r="M32" s="2" t="e">
        <f>#REF!*G32</f>
        <v>#REF!</v>
      </c>
    </row>
    <row r="33" spans="1:13" x14ac:dyDescent="0.25">
      <c r="A33" s="4">
        <v>27.452999999999999</v>
      </c>
      <c r="B33" s="4" t="s">
        <v>2</v>
      </c>
      <c r="C33" s="5">
        <f t="shared" si="0"/>
        <v>0.155</v>
      </c>
      <c r="D33" s="6">
        <f t="shared" si="4"/>
        <v>4.2552149999999997</v>
      </c>
      <c r="E33" s="6" t="s">
        <v>13</v>
      </c>
      <c r="F33" s="8">
        <f t="shared" si="14"/>
        <v>0.17600000000000002</v>
      </c>
      <c r="G33" s="6">
        <f t="shared" si="11"/>
        <v>0.74891784000000006</v>
      </c>
      <c r="H33" s="6" t="s">
        <v>9</v>
      </c>
      <c r="I33" s="8">
        <f>23.2/100</f>
        <v>0.23199999999999998</v>
      </c>
      <c r="J33" s="8">
        <f t="shared" si="15"/>
        <v>0.17374893888000001</v>
      </c>
      <c r="K33" s="2" t="s">
        <v>37</v>
      </c>
      <c r="L33" s="2">
        <f>20.9/100</f>
        <v>0.20899999999999999</v>
      </c>
      <c r="M33" s="2">
        <f>L32*G33</f>
        <v>0.20595240600000003</v>
      </c>
    </row>
    <row r="34" spans="1:13" x14ac:dyDescent="0.25">
      <c r="A34" s="4">
        <v>27.452999999999999</v>
      </c>
      <c r="B34" s="4" t="s">
        <v>2</v>
      </c>
      <c r="C34" s="5">
        <f t="shared" si="0"/>
        <v>0.155</v>
      </c>
      <c r="D34" s="6">
        <f t="shared" si="4"/>
        <v>4.2552149999999997</v>
      </c>
      <c r="E34" s="6" t="s">
        <v>13</v>
      </c>
      <c r="F34" s="8">
        <f t="shared" si="14"/>
        <v>0.17600000000000002</v>
      </c>
      <c r="G34" s="6">
        <f t="shared" si="11"/>
        <v>0.74891784000000006</v>
      </c>
      <c r="H34" s="6" t="s">
        <v>55</v>
      </c>
      <c r="I34" s="8">
        <f>0.8/100</f>
        <v>8.0000000000000002E-3</v>
      </c>
      <c r="J34" s="8">
        <f t="shared" si="15"/>
        <v>5.9913427200000008E-3</v>
      </c>
      <c r="K34" s="2" t="s">
        <v>38</v>
      </c>
      <c r="L34" s="2">
        <f>2/100</f>
        <v>0.02</v>
      </c>
      <c r="M34" s="2">
        <f>L33*G34</f>
        <v>0.15652382855999999</v>
      </c>
    </row>
    <row r="35" spans="1:13" x14ac:dyDescent="0.25">
      <c r="A35" s="4">
        <v>27.452999999999999</v>
      </c>
      <c r="B35" s="4" t="s">
        <v>2</v>
      </c>
      <c r="C35" s="5">
        <f t="shared" si="0"/>
        <v>0.155</v>
      </c>
      <c r="D35" s="6">
        <f t="shared" si="4"/>
        <v>4.2552149999999997</v>
      </c>
      <c r="E35" s="6" t="s">
        <v>13</v>
      </c>
      <c r="F35" s="8">
        <f>17.6/100</f>
        <v>0.17600000000000002</v>
      </c>
      <c r="G35" s="6">
        <f t="shared" si="11"/>
        <v>0.74891784000000006</v>
      </c>
      <c r="H35" s="6"/>
      <c r="I35" s="8"/>
      <c r="J35" s="8"/>
      <c r="K35" s="2" t="s">
        <v>39</v>
      </c>
      <c r="L35" s="2">
        <f>1.1/100</f>
        <v>1.1000000000000001E-2</v>
      </c>
      <c r="M35" s="2">
        <f>L34*G35</f>
        <v>1.4978356800000002E-2</v>
      </c>
    </row>
    <row r="36" spans="1:13" x14ac:dyDescent="0.25">
      <c r="A36" s="4">
        <v>27.452999999999999</v>
      </c>
      <c r="B36" s="4" t="s">
        <v>2</v>
      </c>
      <c r="C36" s="5">
        <f t="shared" si="0"/>
        <v>0.155</v>
      </c>
      <c r="D36" s="6">
        <f t="shared" si="4"/>
        <v>4.2552149999999997</v>
      </c>
      <c r="E36" s="8" t="s">
        <v>47</v>
      </c>
      <c r="F36" s="6">
        <f>12.3/100</f>
        <v>0.12300000000000001</v>
      </c>
      <c r="G36" s="6">
        <f t="shared" si="11"/>
        <v>0.52339144500000001</v>
      </c>
      <c r="H36" s="6" t="s">
        <v>11</v>
      </c>
      <c r="I36" s="6">
        <f>4.2/100</f>
        <v>4.2000000000000003E-2</v>
      </c>
      <c r="J36" s="6">
        <f>I36*G36</f>
        <v>2.1982440690000001E-2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27.452999999999999</v>
      </c>
      <c r="B37" s="4" t="s">
        <v>2</v>
      </c>
      <c r="C37" s="5">
        <f t="shared" si="0"/>
        <v>0.155</v>
      </c>
      <c r="D37" s="6">
        <f t="shared" si="4"/>
        <v>4.2552149999999997</v>
      </c>
      <c r="E37" s="8" t="s">
        <v>17</v>
      </c>
      <c r="F37" s="6">
        <f t="shared" ref="F37:F43" si="17">12.3/100</f>
        <v>0.12300000000000001</v>
      </c>
      <c r="G37" s="6">
        <f t="shared" si="11"/>
        <v>0.52339144500000001</v>
      </c>
      <c r="H37" s="6" t="s">
        <v>12</v>
      </c>
      <c r="I37" s="6">
        <f>5.3/100</f>
        <v>5.2999999999999999E-2</v>
      </c>
      <c r="J37" s="6">
        <f t="shared" ref="J37:J42" si="18">I37*G37</f>
        <v>2.7739746584999999E-2</v>
      </c>
      <c r="K37" s="2" t="s">
        <v>33</v>
      </c>
      <c r="L37" s="2">
        <f>13.7/100</f>
        <v>0.13699999999999998</v>
      </c>
      <c r="M37" s="2">
        <f t="shared" ref="M37:M43" si="19">L37*G37</f>
        <v>7.170462796499999E-2</v>
      </c>
    </row>
    <row r="38" spans="1:13" x14ac:dyDescent="0.25">
      <c r="A38" s="4">
        <v>27.452999999999999</v>
      </c>
      <c r="B38" s="4" t="s">
        <v>2</v>
      </c>
      <c r="C38" s="5">
        <f t="shared" si="0"/>
        <v>0.155</v>
      </c>
      <c r="D38" s="6">
        <f t="shared" si="4"/>
        <v>4.2552149999999997</v>
      </c>
      <c r="E38" s="8" t="s">
        <v>17</v>
      </c>
      <c r="F38" s="6">
        <f t="shared" si="17"/>
        <v>0.12300000000000001</v>
      </c>
      <c r="G38" s="6">
        <f t="shared" si="11"/>
        <v>0.52339144500000001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5.3/100</f>
        <v>5.2999999999999999E-2</v>
      </c>
      <c r="M38" s="2">
        <f t="shared" si="19"/>
        <v>2.7739746584999999E-2</v>
      </c>
    </row>
    <row r="39" spans="1:13" x14ac:dyDescent="0.25">
      <c r="A39" s="4">
        <v>27.452999999999999</v>
      </c>
      <c r="B39" s="4" t="s">
        <v>2</v>
      </c>
      <c r="C39" s="5">
        <f t="shared" si="0"/>
        <v>0.155</v>
      </c>
      <c r="D39" s="6">
        <f t="shared" si="4"/>
        <v>4.2552149999999997</v>
      </c>
      <c r="E39" s="8" t="s">
        <v>17</v>
      </c>
      <c r="F39" s="6">
        <f t="shared" si="17"/>
        <v>0.12300000000000001</v>
      </c>
      <c r="G39" s="6">
        <f t="shared" si="11"/>
        <v>0.52339144500000001</v>
      </c>
      <c r="H39" s="6" t="s">
        <v>8</v>
      </c>
      <c r="I39" s="6">
        <f>35.8/100</f>
        <v>0.35799999999999998</v>
      </c>
      <c r="J39" s="6">
        <f t="shared" si="18"/>
        <v>0.18737413730999999</v>
      </c>
      <c r="K39" s="2" t="s">
        <v>35</v>
      </c>
      <c r="L39" s="2">
        <f>20.9/100</f>
        <v>0.20899999999999999</v>
      </c>
      <c r="M39" s="2">
        <f t="shared" si="19"/>
        <v>0.109388812005</v>
      </c>
    </row>
    <row r="40" spans="1:13" x14ac:dyDescent="0.25">
      <c r="A40" s="4">
        <v>27.452999999999999</v>
      </c>
      <c r="B40" s="4" t="s">
        <v>2</v>
      </c>
      <c r="C40" s="5">
        <f t="shared" si="0"/>
        <v>0.155</v>
      </c>
      <c r="D40" s="6">
        <f t="shared" si="4"/>
        <v>4.2552149999999997</v>
      </c>
      <c r="E40" s="8" t="s">
        <v>17</v>
      </c>
      <c r="F40" s="6">
        <f t="shared" si="17"/>
        <v>0.12300000000000001</v>
      </c>
      <c r="G40" s="6">
        <f t="shared" si="11"/>
        <v>0.52339144500000001</v>
      </c>
      <c r="H40" s="6" t="s">
        <v>10</v>
      </c>
      <c r="I40" s="6">
        <f>23.2/100</f>
        <v>0.23199999999999998</v>
      </c>
      <c r="J40" s="6">
        <f t="shared" si="18"/>
        <v>0.12142681524</v>
      </c>
      <c r="K40" s="2" t="s">
        <v>36</v>
      </c>
      <c r="L40" s="2">
        <f>16.8/100</f>
        <v>0.16800000000000001</v>
      </c>
      <c r="M40" s="2">
        <f t="shared" si="19"/>
        <v>8.7929762760000002E-2</v>
      </c>
    </row>
    <row r="41" spans="1:13" x14ac:dyDescent="0.25">
      <c r="A41" s="4">
        <v>27.452999999999999</v>
      </c>
      <c r="B41" s="4" t="s">
        <v>2</v>
      </c>
      <c r="C41" s="5">
        <f t="shared" si="0"/>
        <v>0.155</v>
      </c>
      <c r="D41" s="6">
        <f t="shared" si="4"/>
        <v>4.2552149999999997</v>
      </c>
      <c r="E41" s="8" t="s">
        <v>17</v>
      </c>
      <c r="F41" s="6">
        <f t="shared" si="17"/>
        <v>0.12300000000000001</v>
      </c>
      <c r="G41" s="6">
        <f t="shared" si="11"/>
        <v>0.52339144500000001</v>
      </c>
      <c r="H41" s="6" t="s">
        <v>9</v>
      </c>
      <c r="I41" s="6">
        <f>31.6/100</f>
        <v>0.316</v>
      </c>
      <c r="J41" s="6">
        <f t="shared" si="18"/>
        <v>0.16539169662</v>
      </c>
      <c r="K41" s="2" t="s">
        <v>37</v>
      </c>
      <c r="L41" s="2">
        <f>43.3/100</f>
        <v>0.433</v>
      </c>
      <c r="M41" s="2">
        <f t="shared" si="19"/>
        <v>0.22662849568500001</v>
      </c>
    </row>
    <row r="42" spans="1:13" x14ac:dyDescent="0.25">
      <c r="A42" s="4">
        <v>27.452999999999999</v>
      </c>
      <c r="B42" s="4" t="s">
        <v>2</v>
      </c>
      <c r="C42" s="5">
        <f t="shared" si="0"/>
        <v>0.155</v>
      </c>
      <c r="D42" s="6">
        <f t="shared" si="4"/>
        <v>4.2552149999999997</v>
      </c>
      <c r="E42" s="8" t="s">
        <v>17</v>
      </c>
      <c r="F42" s="6">
        <f t="shared" si="17"/>
        <v>0.12300000000000001</v>
      </c>
      <c r="G42" s="6">
        <f t="shared" si="11"/>
        <v>0.52339144500000001</v>
      </c>
      <c r="H42" s="6" t="s">
        <v>55</v>
      </c>
      <c r="I42" s="6">
        <v>0</v>
      </c>
      <c r="J42" s="8">
        <f t="shared" si="18"/>
        <v>0</v>
      </c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27.452999999999999</v>
      </c>
      <c r="B43" s="4" t="s">
        <v>2</v>
      </c>
      <c r="C43" s="5">
        <f t="shared" si="0"/>
        <v>0.155</v>
      </c>
      <c r="D43" s="6">
        <f t="shared" si="4"/>
        <v>4.2552149999999997</v>
      </c>
      <c r="E43" s="8" t="s">
        <v>17</v>
      </c>
      <c r="F43" s="6">
        <f t="shared" si="17"/>
        <v>0.12300000000000001</v>
      </c>
      <c r="G43" s="6">
        <f t="shared" si="11"/>
        <v>0.52339144500000001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27.452999999999999</v>
      </c>
      <c r="B44" s="4" t="s">
        <v>2</v>
      </c>
      <c r="C44" s="5">
        <f t="shared" si="0"/>
        <v>0.155</v>
      </c>
      <c r="D44" s="6">
        <f t="shared" si="4"/>
        <v>4.2552149999999997</v>
      </c>
      <c r="E44" s="2" t="s">
        <v>18</v>
      </c>
      <c r="F44" s="6">
        <f>8.5/100</f>
        <v>8.5000000000000006E-2</v>
      </c>
      <c r="G44" s="6">
        <f t="shared" si="11"/>
        <v>0.36169327499999998</v>
      </c>
      <c r="H44" s="6" t="s">
        <v>11</v>
      </c>
      <c r="I44" s="8">
        <f>34.3/100</f>
        <v>0.34299999999999997</v>
      </c>
      <c r="J44" s="6">
        <f>I44*G44</f>
        <v>0.12406079332499999</v>
      </c>
      <c r="K44" s="2" t="s">
        <v>32</v>
      </c>
      <c r="L44" s="2">
        <f>2.9/100</f>
        <v>2.8999999999999998E-2</v>
      </c>
      <c r="M44" s="2">
        <f>L44*G44</f>
        <v>1.0489104974999998E-2</v>
      </c>
    </row>
    <row r="45" spans="1:13" x14ac:dyDescent="0.25">
      <c r="A45" s="4">
        <v>27.452999999999999</v>
      </c>
      <c r="B45" s="4" t="s">
        <v>2</v>
      </c>
      <c r="C45" s="5">
        <f t="shared" si="0"/>
        <v>0.155</v>
      </c>
      <c r="D45" s="6">
        <f t="shared" si="4"/>
        <v>4.2552149999999997</v>
      </c>
      <c r="E45" s="2" t="s">
        <v>18</v>
      </c>
      <c r="F45" s="6">
        <f t="shared" ref="F45:F51" si="20">8.5/100</f>
        <v>8.5000000000000006E-2</v>
      </c>
      <c r="G45" s="6">
        <f t="shared" si="11"/>
        <v>0.36169327499999998</v>
      </c>
      <c r="H45" s="6" t="s">
        <v>12</v>
      </c>
      <c r="I45" s="8">
        <f>4/100</f>
        <v>0.04</v>
      </c>
      <c r="J45" s="6">
        <f t="shared" ref="J45:J50" si="21">I45*G45</f>
        <v>1.4467730999999999E-2</v>
      </c>
      <c r="K45" s="2" t="s">
        <v>33</v>
      </c>
      <c r="L45" s="2">
        <f>7.4/100</f>
        <v>7.400000000000001E-2</v>
      </c>
      <c r="M45" s="2">
        <f t="shared" ref="M45:M51" si="22">L45*G45</f>
        <v>2.6765302350000002E-2</v>
      </c>
    </row>
    <row r="46" spans="1:13" x14ac:dyDescent="0.25">
      <c r="A46" s="4">
        <v>27.452999999999999</v>
      </c>
      <c r="B46" s="4" t="s">
        <v>2</v>
      </c>
      <c r="C46" s="5">
        <f t="shared" si="0"/>
        <v>0.155</v>
      </c>
      <c r="D46" s="6">
        <f t="shared" si="4"/>
        <v>4.2552149999999997</v>
      </c>
      <c r="E46" s="2" t="s">
        <v>18</v>
      </c>
      <c r="F46" s="6">
        <f t="shared" si="20"/>
        <v>8.5000000000000006E-2</v>
      </c>
      <c r="G46" s="6">
        <f t="shared" si="11"/>
        <v>0.36169327499999998</v>
      </c>
      <c r="H46" s="6" t="s">
        <v>7</v>
      </c>
      <c r="I46" s="8">
        <f>5.8/100</f>
        <v>5.7999999999999996E-2</v>
      </c>
      <c r="J46" s="6">
        <f t="shared" si="21"/>
        <v>2.0978209949999996E-2</v>
      </c>
      <c r="K46" s="2" t="s">
        <v>34</v>
      </c>
      <c r="L46" s="2">
        <f>9.5/100</f>
        <v>9.5000000000000001E-2</v>
      </c>
      <c r="M46" s="2">
        <f t="shared" si="22"/>
        <v>3.4360861124999996E-2</v>
      </c>
    </row>
    <row r="47" spans="1:13" x14ac:dyDescent="0.25">
      <c r="A47" s="4">
        <v>27.452999999999999</v>
      </c>
      <c r="B47" s="4" t="s">
        <v>2</v>
      </c>
      <c r="C47" s="5">
        <f t="shared" si="0"/>
        <v>0.155</v>
      </c>
      <c r="D47" s="6">
        <f t="shared" si="4"/>
        <v>4.2552149999999997</v>
      </c>
      <c r="E47" s="2" t="s">
        <v>18</v>
      </c>
      <c r="F47" s="6">
        <f t="shared" si="20"/>
        <v>8.5000000000000006E-2</v>
      </c>
      <c r="G47" s="6">
        <f t="shared" si="11"/>
        <v>0.36169327499999998</v>
      </c>
      <c r="H47" s="6" t="s">
        <v>8</v>
      </c>
      <c r="I47" s="8">
        <f>25.9/100</f>
        <v>0.25900000000000001</v>
      </c>
      <c r="J47" s="6">
        <f>I50*G47</f>
        <v>0</v>
      </c>
      <c r="K47" s="2" t="s">
        <v>35</v>
      </c>
      <c r="L47" s="2">
        <f>31.3/100</f>
        <v>0.313</v>
      </c>
      <c r="M47" s="2">
        <f t="shared" si="22"/>
        <v>0.113209995075</v>
      </c>
    </row>
    <row r="48" spans="1:13" x14ac:dyDescent="0.25">
      <c r="A48" s="4">
        <v>27.452999999999999</v>
      </c>
      <c r="B48" s="4" t="s">
        <v>2</v>
      </c>
      <c r="C48" s="5">
        <f t="shared" si="0"/>
        <v>0.155</v>
      </c>
      <c r="D48" s="6">
        <f t="shared" si="4"/>
        <v>4.2552149999999997</v>
      </c>
      <c r="E48" s="2" t="s">
        <v>18</v>
      </c>
      <c r="F48" s="6">
        <f t="shared" si="20"/>
        <v>8.5000000000000006E-2</v>
      </c>
      <c r="G48" s="6">
        <f t="shared" si="11"/>
        <v>0.36169327499999998</v>
      </c>
      <c r="H48" s="6" t="s">
        <v>10</v>
      </c>
      <c r="I48" s="8">
        <f>6.2/100</f>
        <v>6.2E-2</v>
      </c>
      <c r="J48" s="6">
        <f>I47*G48</f>
        <v>9.3678558225E-2</v>
      </c>
      <c r="K48" s="2" t="s">
        <v>36</v>
      </c>
      <c r="L48" s="2">
        <f>28.4/100</f>
        <v>0.28399999999999997</v>
      </c>
      <c r="M48" s="2">
        <f t="shared" si="22"/>
        <v>0.10272089009999999</v>
      </c>
    </row>
    <row r="49" spans="1:13" x14ac:dyDescent="0.25">
      <c r="A49" s="4">
        <v>27.452999999999999</v>
      </c>
      <c r="B49" s="4" t="s">
        <v>2</v>
      </c>
      <c r="C49" s="5">
        <f t="shared" si="0"/>
        <v>0.155</v>
      </c>
      <c r="D49" s="6">
        <f t="shared" si="4"/>
        <v>4.2552149999999997</v>
      </c>
      <c r="E49" s="2" t="s">
        <v>48</v>
      </c>
      <c r="F49" s="6">
        <f t="shared" si="20"/>
        <v>8.5000000000000006E-2</v>
      </c>
      <c r="G49" s="6">
        <f t="shared" si="11"/>
        <v>0.36169327499999998</v>
      </c>
      <c r="H49" s="6" t="s">
        <v>9</v>
      </c>
      <c r="I49" s="8">
        <f>23.9/100</f>
        <v>0.23899999999999999</v>
      </c>
      <c r="J49" s="6">
        <f t="shared" si="21"/>
        <v>8.6444692724999994E-2</v>
      </c>
      <c r="K49" s="2" t="s">
        <v>37</v>
      </c>
      <c r="L49" s="2">
        <f>16.8/100</f>
        <v>0.16800000000000001</v>
      </c>
      <c r="M49" s="2">
        <f t="shared" si="22"/>
        <v>6.0764470200000004E-2</v>
      </c>
    </row>
    <row r="50" spans="1:13" x14ac:dyDescent="0.25">
      <c r="A50" s="4">
        <v>27.452999999999999</v>
      </c>
      <c r="B50" s="4" t="s">
        <v>2</v>
      </c>
      <c r="C50" s="5">
        <f t="shared" si="0"/>
        <v>0.155</v>
      </c>
      <c r="D50" s="6">
        <f t="shared" si="4"/>
        <v>4.2552149999999997</v>
      </c>
      <c r="E50" s="2" t="s">
        <v>18</v>
      </c>
      <c r="F50" s="6">
        <f t="shared" si="20"/>
        <v>8.5000000000000006E-2</v>
      </c>
      <c r="G50" s="6">
        <f t="shared" si="11"/>
        <v>0.36169327499999998</v>
      </c>
      <c r="H50" s="6" t="s">
        <v>55</v>
      </c>
      <c r="I50" s="8">
        <f>0/100</f>
        <v>0</v>
      </c>
      <c r="J50" s="6">
        <f t="shared" si="21"/>
        <v>0</v>
      </c>
      <c r="K50" s="2" t="s">
        <v>38</v>
      </c>
      <c r="L50" s="2">
        <f>1.9/100</f>
        <v>1.9E-2</v>
      </c>
      <c r="M50" s="2">
        <f t="shared" si="22"/>
        <v>6.8721722249999997E-3</v>
      </c>
    </row>
    <row r="51" spans="1:13" x14ac:dyDescent="0.25">
      <c r="A51" s="4">
        <v>27.452999999999999</v>
      </c>
      <c r="B51" s="4" t="s">
        <v>2</v>
      </c>
      <c r="C51" s="5">
        <f t="shared" si="0"/>
        <v>0.155</v>
      </c>
      <c r="D51" s="6">
        <f t="shared" si="4"/>
        <v>4.2552149999999997</v>
      </c>
      <c r="E51" s="2" t="s">
        <v>18</v>
      </c>
      <c r="F51" s="6">
        <f t="shared" si="20"/>
        <v>8.5000000000000006E-2</v>
      </c>
      <c r="G51" s="6">
        <f t="shared" si="11"/>
        <v>0.36169327499999998</v>
      </c>
      <c r="H51" s="6"/>
      <c r="I51" s="6"/>
      <c r="J51" s="6"/>
      <c r="K51" s="2" t="s">
        <v>39</v>
      </c>
      <c r="L51" s="2">
        <f>1.9/100</f>
        <v>1.9E-2</v>
      </c>
      <c r="M51" s="2">
        <f t="shared" si="22"/>
        <v>6.8721722249999997E-3</v>
      </c>
    </row>
    <row r="52" spans="1:13" x14ac:dyDescent="0.25">
      <c r="A52" s="4">
        <v>27.452999999999999</v>
      </c>
      <c r="B52" s="2" t="s">
        <v>19</v>
      </c>
      <c r="C52" s="6">
        <f>84.5/100</f>
        <v>0.84499999999999997</v>
      </c>
      <c r="D52" s="6">
        <f t="shared" si="4"/>
        <v>23.197785</v>
      </c>
      <c r="E52" s="6" t="s">
        <v>54</v>
      </c>
      <c r="F52" s="6">
        <f>80.2/100</f>
        <v>0.80200000000000005</v>
      </c>
      <c r="G52" s="6">
        <f t="shared" si="11"/>
        <v>18.604623570000001</v>
      </c>
      <c r="H52" s="6" t="s">
        <v>11</v>
      </c>
      <c r="I52" s="6">
        <f>12/100</f>
        <v>0.12</v>
      </c>
      <c r="J52" s="6">
        <f>I52*G52</f>
        <v>2.2325548284000001</v>
      </c>
      <c r="K52" s="2" t="s">
        <v>32</v>
      </c>
      <c r="L52" s="2">
        <f>4.2/100</f>
        <v>4.2000000000000003E-2</v>
      </c>
      <c r="M52" s="2">
        <f>L52*G52</f>
        <v>0.78139418994000009</v>
      </c>
    </row>
    <row r="53" spans="1:13" x14ac:dyDescent="0.25">
      <c r="A53" s="4">
        <v>27.452999999999999</v>
      </c>
      <c r="B53" s="2" t="s">
        <v>19</v>
      </c>
      <c r="C53" s="6">
        <f t="shared" ref="C53:C99" si="23">84.5/100</f>
        <v>0.84499999999999997</v>
      </c>
      <c r="D53" s="6">
        <f t="shared" si="4"/>
        <v>23.197785</v>
      </c>
      <c r="E53" s="6" t="s">
        <v>14</v>
      </c>
      <c r="F53" s="6">
        <f t="shared" ref="F53:F59" si="24">80.2/100</f>
        <v>0.80200000000000005</v>
      </c>
      <c r="G53" s="6">
        <f t="shared" si="11"/>
        <v>18.604623570000001</v>
      </c>
      <c r="H53" s="6" t="s">
        <v>12</v>
      </c>
      <c r="I53" s="6">
        <f>11.7/100</f>
        <v>0.11699999999999999</v>
      </c>
      <c r="J53" s="6">
        <f t="shared" ref="J53:J56" si="25">I53*G53</f>
        <v>2.1767409576899999</v>
      </c>
      <c r="K53" s="2" t="s">
        <v>33</v>
      </c>
      <c r="L53" s="2">
        <f>8.3/100</f>
        <v>8.3000000000000004E-2</v>
      </c>
      <c r="M53" s="2">
        <f t="shared" ref="M53:M59" si="26">L53*G53</f>
        <v>1.5441837563100003</v>
      </c>
    </row>
    <row r="54" spans="1:13" x14ac:dyDescent="0.25">
      <c r="A54" s="4">
        <v>27.452999999999999</v>
      </c>
      <c r="B54" s="2" t="s">
        <v>19</v>
      </c>
      <c r="C54" s="6">
        <f t="shared" si="23"/>
        <v>0.84499999999999997</v>
      </c>
      <c r="D54" s="6">
        <f t="shared" si="4"/>
        <v>23.197785</v>
      </c>
      <c r="E54" s="6" t="s">
        <v>14</v>
      </c>
      <c r="F54" s="6">
        <f t="shared" si="24"/>
        <v>0.80200000000000005</v>
      </c>
      <c r="G54" s="6">
        <f t="shared" si="11"/>
        <v>18.604623570000001</v>
      </c>
      <c r="H54" s="6" t="s">
        <v>7</v>
      </c>
      <c r="I54" s="14">
        <f>12.2/100</f>
        <v>0.122</v>
      </c>
      <c r="J54" s="6">
        <f t="shared" si="25"/>
        <v>2.2697640755399999</v>
      </c>
      <c r="K54" s="2" t="s">
        <v>34</v>
      </c>
      <c r="L54" s="2">
        <f>12.3/100</f>
        <v>0.12300000000000001</v>
      </c>
      <c r="M54" s="2">
        <f t="shared" si="26"/>
        <v>2.2883686991100003</v>
      </c>
    </row>
    <row r="55" spans="1:13" x14ac:dyDescent="0.25">
      <c r="A55" s="4">
        <v>27.452999999999999</v>
      </c>
      <c r="B55" s="2" t="s">
        <v>19</v>
      </c>
      <c r="C55" s="6">
        <f t="shared" si="23"/>
        <v>0.84499999999999997</v>
      </c>
      <c r="D55" s="6">
        <f t="shared" si="4"/>
        <v>23.197785</v>
      </c>
      <c r="E55" s="6" t="s">
        <v>14</v>
      </c>
      <c r="F55" s="6">
        <f t="shared" si="24"/>
        <v>0.80200000000000005</v>
      </c>
      <c r="G55" s="6">
        <f t="shared" si="11"/>
        <v>18.604623570000001</v>
      </c>
      <c r="H55" s="6" t="s">
        <v>8</v>
      </c>
      <c r="I55" s="6">
        <f>34.3/100</f>
        <v>0.34299999999999997</v>
      </c>
      <c r="J55" s="6">
        <f t="shared" si="25"/>
        <v>6.3813858845100002</v>
      </c>
      <c r="K55" s="2" t="s">
        <v>35</v>
      </c>
      <c r="L55" s="2">
        <f>28.2/100</f>
        <v>0.28199999999999997</v>
      </c>
      <c r="M55" s="2">
        <f t="shared" si="26"/>
        <v>5.2465038467399996</v>
      </c>
    </row>
    <row r="56" spans="1:13" x14ac:dyDescent="0.25">
      <c r="A56" s="4">
        <v>27.452999999999999</v>
      </c>
      <c r="B56" s="2" t="s">
        <v>19</v>
      </c>
      <c r="C56" s="6">
        <f t="shared" si="23"/>
        <v>0.84499999999999997</v>
      </c>
      <c r="D56" s="6">
        <f t="shared" si="4"/>
        <v>23.197785</v>
      </c>
      <c r="E56" s="6" t="s">
        <v>14</v>
      </c>
      <c r="F56" s="6">
        <f t="shared" si="24"/>
        <v>0.80200000000000005</v>
      </c>
      <c r="G56" s="6">
        <f t="shared" si="11"/>
        <v>18.604623570000001</v>
      </c>
      <c r="H56" s="6" t="s">
        <v>10</v>
      </c>
      <c r="I56" s="6">
        <f>4.2/100</f>
        <v>4.2000000000000003E-2</v>
      </c>
      <c r="J56" s="6">
        <f t="shared" si="25"/>
        <v>0.78139418994000009</v>
      </c>
      <c r="K56" s="2" t="s">
        <v>36</v>
      </c>
      <c r="L56" s="2">
        <f>24.5/100</f>
        <v>0.245</v>
      </c>
      <c r="M56" s="2">
        <f t="shared" si="26"/>
        <v>4.5581327746499998</v>
      </c>
    </row>
    <row r="57" spans="1:13" x14ac:dyDescent="0.25">
      <c r="A57" s="4">
        <v>27.452999999999999</v>
      </c>
      <c r="B57" s="2" t="s">
        <v>19</v>
      </c>
      <c r="C57" s="6">
        <f t="shared" si="23"/>
        <v>0.84499999999999997</v>
      </c>
      <c r="D57" s="6">
        <f t="shared" si="4"/>
        <v>23.197785</v>
      </c>
      <c r="E57" s="6" t="s">
        <v>14</v>
      </c>
      <c r="F57" s="6">
        <f t="shared" si="24"/>
        <v>0.80200000000000005</v>
      </c>
      <c r="G57" s="6">
        <f t="shared" si="11"/>
        <v>18.604623570000001</v>
      </c>
      <c r="H57" s="6" t="s">
        <v>9</v>
      </c>
      <c r="I57" s="6">
        <f>23.9/100</f>
        <v>0.23899999999999999</v>
      </c>
      <c r="J57" s="6">
        <f>I58*G57</f>
        <v>0.31627860069000002</v>
      </c>
      <c r="K57" s="2" t="s">
        <v>37</v>
      </c>
      <c r="L57" s="2">
        <f>18/100</f>
        <v>0.18</v>
      </c>
      <c r="M57" s="2">
        <f t="shared" si="26"/>
        <v>3.3488322425999999</v>
      </c>
    </row>
    <row r="58" spans="1:13" x14ac:dyDescent="0.25">
      <c r="A58" s="4">
        <v>27.452999999999999</v>
      </c>
      <c r="B58" s="2" t="s">
        <v>19</v>
      </c>
      <c r="C58" s="6">
        <f t="shared" si="23"/>
        <v>0.84499999999999997</v>
      </c>
      <c r="D58" s="6">
        <f t="shared" si="4"/>
        <v>23.197785</v>
      </c>
      <c r="E58" s="6" t="s">
        <v>14</v>
      </c>
      <c r="F58" s="6">
        <f t="shared" si="24"/>
        <v>0.80200000000000005</v>
      </c>
      <c r="G58" s="6">
        <f t="shared" si="11"/>
        <v>18.604623570000001</v>
      </c>
      <c r="H58" s="6" t="s">
        <v>55</v>
      </c>
      <c r="I58" s="6">
        <f>1.7/100</f>
        <v>1.7000000000000001E-2</v>
      </c>
      <c r="J58" s="8">
        <f t="shared" ref="J58" si="27">I58*G58</f>
        <v>0.31627860069000002</v>
      </c>
      <c r="K58" s="2" t="s">
        <v>38</v>
      </c>
      <c r="L58" s="2">
        <f>2.5/100</f>
        <v>2.5000000000000001E-2</v>
      </c>
      <c r="M58" s="2">
        <f t="shared" si="26"/>
        <v>0.46511558925000007</v>
      </c>
    </row>
    <row r="59" spans="1:13" x14ac:dyDescent="0.25">
      <c r="A59" s="4">
        <v>27.452999999999999</v>
      </c>
      <c r="B59" s="2" t="s">
        <v>19</v>
      </c>
      <c r="C59" s="6">
        <f t="shared" si="23"/>
        <v>0.84499999999999997</v>
      </c>
      <c r="D59" s="6">
        <f t="shared" si="4"/>
        <v>23.197785</v>
      </c>
      <c r="E59" s="6" t="s">
        <v>14</v>
      </c>
      <c r="F59" s="6">
        <f t="shared" si="24"/>
        <v>0.80200000000000005</v>
      </c>
      <c r="G59" s="6">
        <f t="shared" si="11"/>
        <v>18.604623570000001</v>
      </c>
      <c r="H59" s="6"/>
      <c r="I59" s="6"/>
      <c r="J59" s="6"/>
      <c r="K59" s="2" t="s">
        <v>39</v>
      </c>
      <c r="L59" s="2">
        <f>2.1/100</f>
        <v>2.1000000000000001E-2</v>
      </c>
      <c r="M59" s="2">
        <f t="shared" si="26"/>
        <v>0.39069709497000005</v>
      </c>
    </row>
    <row r="60" spans="1:13" x14ac:dyDescent="0.25">
      <c r="A60" s="4">
        <v>27.452999999999999</v>
      </c>
      <c r="B60" s="2" t="s">
        <v>19</v>
      </c>
      <c r="C60" s="6">
        <f t="shared" si="23"/>
        <v>0.84499999999999997</v>
      </c>
      <c r="D60" s="6">
        <f t="shared" si="4"/>
        <v>23.197785</v>
      </c>
      <c r="E60" s="6" t="s">
        <v>52</v>
      </c>
      <c r="F60" s="6">
        <f>85.1/100</f>
        <v>0.85099999999999998</v>
      </c>
      <c r="G60" s="6">
        <f t="shared" si="11"/>
        <v>19.741315035</v>
      </c>
      <c r="H60" s="6" t="s">
        <v>11</v>
      </c>
      <c r="I60" s="6">
        <f>6.4/100</f>
        <v>6.4000000000000001E-2</v>
      </c>
      <c r="J60" s="6">
        <f>I60*G60</f>
        <v>1.2634441622399999</v>
      </c>
      <c r="K60" s="2" t="s">
        <v>32</v>
      </c>
      <c r="L60" s="2">
        <f>0.4/100</f>
        <v>4.0000000000000001E-3</v>
      </c>
      <c r="M60" s="2">
        <f>L60*G60</f>
        <v>7.8965260139999993E-2</v>
      </c>
    </row>
    <row r="61" spans="1:13" x14ac:dyDescent="0.25">
      <c r="A61" s="4">
        <v>27.452999999999999</v>
      </c>
      <c r="B61" s="2" t="s">
        <v>19</v>
      </c>
      <c r="C61" s="6">
        <f t="shared" si="23"/>
        <v>0.84499999999999997</v>
      </c>
      <c r="D61" s="6">
        <f t="shared" si="4"/>
        <v>23.197785</v>
      </c>
      <c r="E61" s="6" t="s">
        <v>15</v>
      </c>
      <c r="F61" s="6">
        <f t="shared" ref="F61:F67" si="28">85.1/100</f>
        <v>0.85099999999999998</v>
      </c>
      <c r="G61" s="6">
        <f t="shared" si="11"/>
        <v>19.741315035</v>
      </c>
      <c r="H61" s="6" t="s">
        <v>12</v>
      </c>
      <c r="I61" s="6">
        <f>7.2/100</f>
        <v>7.2000000000000008E-2</v>
      </c>
      <c r="J61" s="6">
        <f t="shared" ref="J61:J66" si="29">I61*G61</f>
        <v>1.4213746825200002</v>
      </c>
      <c r="K61" s="2" t="s">
        <v>33</v>
      </c>
      <c r="L61" s="2">
        <f>9.1/100</f>
        <v>9.0999999999999998E-2</v>
      </c>
      <c r="M61" s="2">
        <f t="shared" ref="M61:M67" si="30">L61*G61</f>
        <v>1.7964596681849998</v>
      </c>
    </row>
    <row r="62" spans="1:13" x14ac:dyDescent="0.25">
      <c r="A62" s="4">
        <v>27.452999999999999</v>
      </c>
      <c r="B62" s="2" t="s">
        <v>19</v>
      </c>
      <c r="C62" s="6">
        <f t="shared" si="23"/>
        <v>0.84499999999999997</v>
      </c>
      <c r="D62" s="6">
        <f t="shared" si="4"/>
        <v>23.197785</v>
      </c>
      <c r="E62" s="6" t="s">
        <v>15</v>
      </c>
      <c r="F62" s="6">
        <f t="shared" si="28"/>
        <v>0.85099999999999998</v>
      </c>
      <c r="G62" s="6">
        <f t="shared" si="11"/>
        <v>19.741315035</v>
      </c>
      <c r="H62" s="6" t="s">
        <v>7</v>
      </c>
      <c r="I62" s="6">
        <f>5.7/100</f>
        <v>5.7000000000000002E-2</v>
      </c>
      <c r="J62" s="6">
        <f t="shared" si="29"/>
        <v>1.1252549569950001</v>
      </c>
      <c r="K62" s="2" t="s">
        <v>34</v>
      </c>
      <c r="L62" s="2">
        <f>13.2/100</f>
        <v>0.13200000000000001</v>
      </c>
      <c r="M62" s="2">
        <f t="shared" si="30"/>
        <v>2.6058535846200002</v>
      </c>
    </row>
    <row r="63" spans="1:13" x14ac:dyDescent="0.25">
      <c r="A63" s="4">
        <v>27.452999999999999</v>
      </c>
      <c r="B63" s="2" t="s">
        <v>19</v>
      </c>
      <c r="C63" s="6">
        <f t="shared" si="23"/>
        <v>0.84499999999999997</v>
      </c>
      <c r="D63" s="6">
        <f t="shared" si="4"/>
        <v>23.197785</v>
      </c>
      <c r="E63" s="6" t="s">
        <v>15</v>
      </c>
      <c r="F63" s="6">
        <f t="shared" si="28"/>
        <v>0.85099999999999998</v>
      </c>
      <c r="G63" s="6">
        <f t="shared" si="11"/>
        <v>19.741315035</v>
      </c>
      <c r="H63" s="6" t="s">
        <v>8</v>
      </c>
      <c r="I63" s="6">
        <f>48.4/100</f>
        <v>0.48399999999999999</v>
      </c>
      <c r="J63" s="6">
        <f t="shared" si="29"/>
        <v>9.55479647694</v>
      </c>
      <c r="K63" s="2" t="s">
        <v>35</v>
      </c>
      <c r="L63" s="2">
        <f>25.6/100</f>
        <v>0.25600000000000001</v>
      </c>
      <c r="M63" s="2">
        <f t="shared" si="30"/>
        <v>5.0537766489599996</v>
      </c>
    </row>
    <row r="64" spans="1:13" x14ac:dyDescent="0.25">
      <c r="A64" s="4">
        <v>27.452999999999999</v>
      </c>
      <c r="B64" s="2" t="s">
        <v>19</v>
      </c>
      <c r="C64" s="6">
        <f t="shared" si="23"/>
        <v>0.84499999999999997</v>
      </c>
      <c r="D64" s="6">
        <f t="shared" si="4"/>
        <v>23.197785</v>
      </c>
      <c r="E64" s="6" t="s">
        <v>15</v>
      </c>
      <c r="F64" s="6">
        <f t="shared" si="28"/>
        <v>0.85099999999999998</v>
      </c>
      <c r="G64" s="6">
        <f t="shared" si="11"/>
        <v>19.741315035</v>
      </c>
      <c r="H64" s="6" t="s">
        <v>10</v>
      </c>
      <c r="I64" s="6">
        <f>6.3/100</f>
        <v>6.3E-2</v>
      </c>
      <c r="J64" s="6">
        <f t="shared" si="29"/>
        <v>1.243702847205</v>
      </c>
      <c r="K64" s="2" t="s">
        <v>36</v>
      </c>
      <c r="L64" s="2">
        <f>28.9/100</f>
        <v>0.28899999999999998</v>
      </c>
      <c r="M64" s="2">
        <f t="shared" si="30"/>
        <v>5.7052400451149996</v>
      </c>
    </row>
    <row r="65" spans="1:13" x14ac:dyDescent="0.25">
      <c r="A65" s="4">
        <v>27.452999999999999</v>
      </c>
      <c r="B65" s="2" t="s">
        <v>19</v>
      </c>
      <c r="C65" s="6">
        <f t="shared" si="23"/>
        <v>0.84499999999999997</v>
      </c>
      <c r="D65" s="6">
        <f t="shared" si="4"/>
        <v>23.197785</v>
      </c>
      <c r="E65" s="6" t="s">
        <v>15</v>
      </c>
      <c r="F65" s="6">
        <f t="shared" si="28"/>
        <v>0.85099999999999998</v>
      </c>
      <c r="G65" s="6">
        <f t="shared" si="11"/>
        <v>19.741315035</v>
      </c>
      <c r="H65" s="6" t="s">
        <v>9</v>
      </c>
      <c r="I65" s="6">
        <f>25/100</f>
        <v>0.25</v>
      </c>
      <c r="J65" s="6">
        <f t="shared" si="29"/>
        <v>4.9353287587499999</v>
      </c>
      <c r="K65" s="2" t="s">
        <v>37</v>
      </c>
      <c r="L65" s="2">
        <f>19.1/100</f>
        <v>0.191</v>
      </c>
      <c r="M65" s="2">
        <f t="shared" si="30"/>
        <v>3.770591171685</v>
      </c>
    </row>
    <row r="66" spans="1:13" x14ac:dyDescent="0.25">
      <c r="A66" s="4">
        <v>27.452999999999999</v>
      </c>
      <c r="B66" s="2" t="s">
        <v>19</v>
      </c>
      <c r="C66" s="6">
        <f t="shared" si="23"/>
        <v>0.84499999999999997</v>
      </c>
      <c r="D66" s="6">
        <f t="shared" si="4"/>
        <v>23.197785</v>
      </c>
      <c r="E66" s="6" t="s">
        <v>15</v>
      </c>
      <c r="F66" s="6">
        <f t="shared" si="28"/>
        <v>0.85099999999999998</v>
      </c>
      <c r="G66" s="6">
        <f t="shared" si="11"/>
        <v>19.741315035</v>
      </c>
      <c r="H66" s="6" t="s">
        <v>55</v>
      </c>
      <c r="I66" s="6">
        <f>1.1/100</f>
        <v>1.1000000000000001E-2</v>
      </c>
      <c r="J66" s="8">
        <f t="shared" si="29"/>
        <v>0.21715446538500002</v>
      </c>
      <c r="K66" s="2" t="s">
        <v>38</v>
      </c>
      <c r="L66" s="2">
        <f>1.1/100</f>
        <v>1.1000000000000001E-2</v>
      </c>
      <c r="M66" s="2">
        <f t="shared" si="30"/>
        <v>0.21715446538500002</v>
      </c>
    </row>
    <row r="67" spans="1:13" x14ac:dyDescent="0.25">
      <c r="A67" s="4">
        <v>27.452999999999999</v>
      </c>
      <c r="B67" s="2" t="s">
        <v>19</v>
      </c>
      <c r="C67" s="6">
        <f t="shared" si="23"/>
        <v>0.84499999999999997</v>
      </c>
      <c r="D67" s="6">
        <f t="shared" si="4"/>
        <v>23.197785</v>
      </c>
      <c r="E67" s="6" t="s">
        <v>15</v>
      </c>
      <c r="F67" s="6">
        <f t="shared" si="28"/>
        <v>0.85099999999999998</v>
      </c>
      <c r="G67" s="6">
        <f t="shared" si="11"/>
        <v>19.741315035</v>
      </c>
      <c r="H67" s="6"/>
      <c r="I67" s="6"/>
      <c r="J67" s="6"/>
      <c r="K67" s="2" t="s">
        <v>39</v>
      </c>
      <c r="L67" s="2">
        <f>2.6/100</f>
        <v>2.6000000000000002E-2</v>
      </c>
      <c r="M67" s="2">
        <f t="shared" si="30"/>
        <v>0.51327419091000004</v>
      </c>
    </row>
    <row r="68" spans="1:13" x14ac:dyDescent="0.25">
      <c r="A68" s="4">
        <v>27.452999999999999</v>
      </c>
      <c r="B68" s="2" t="s">
        <v>19</v>
      </c>
      <c r="C68" s="6">
        <f t="shared" si="23"/>
        <v>0.84499999999999997</v>
      </c>
      <c r="D68" s="6">
        <f t="shared" si="4"/>
        <v>23.197785</v>
      </c>
      <c r="E68" s="6" t="s">
        <v>53</v>
      </c>
      <c r="F68" s="6">
        <f>83.2/100</f>
        <v>0.83200000000000007</v>
      </c>
      <c r="G68" s="6">
        <f t="shared" si="11"/>
        <v>19.300557120000001</v>
      </c>
      <c r="H68" s="6" t="s">
        <v>11</v>
      </c>
      <c r="I68" s="6">
        <f>13.1/100</f>
        <v>0.13100000000000001</v>
      </c>
      <c r="J68" s="6">
        <f>I68*G68</f>
        <v>2.5283729827200001</v>
      </c>
      <c r="K68" s="2" t="s">
        <v>32</v>
      </c>
      <c r="L68" s="2">
        <f>3.8/100</f>
        <v>3.7999999999999999E-2</v>
      </c>
      <c r="M68" s="2">
        <f>L68*G68</f>
        <v>0.73342117056</v>
      </c>
    </row>
    <row r="69" spans="1:13" x14ac:dyDescent="0.25">
      <c r="A69" s="4">
        <v>27.452999999999999</v>
      </c>
      <c r="B69" s="2" t="s">
        <v>19</v>
      </c>
      <c r="C69" s="6">
        <f t="shared" si="23"/>
        <v>0.84499999999999997</v>
      </c>
      <c r="D69" s="6">
        <f t="shared" si="4"/>
        <v>23.197785</v>
      </c>
      <c r="E69" s="6" t="s">
        <v>16</v>
      </c>
      <c r="F69" s="6">
        <f t="shared" ref="F69:F75" si="31">83.2/100</f>
        <v>0.83200000000000007</v>
      </c>
      <c r="G69" s="6">
        <f t="shared" si="11"/>
        <v>19.300557120000001</v>
      </c>
      <c r="H69" s="6" t="s">
        <v>12</v>
      </c>
      <c r="I69" s="6">
        <f>10.5/100</f>
        <v>0.105</v>
      </c>
      <c r="J69" s="6">
        <f t="shared" ref="J69:J74" si="32">I69*G69</f>
        <v>2.0265584976</v>
      </c>
      <c r="K69" s="2" t="s">
        <v>33</v>
      </c>
      <c r="L69" s="2">
        <f>9.4/100</f>
        <v>9.4E-2</v>
      </c>
      <c r="M69" s="2">
        <f t="shared" ref="M69:M75" si="33">L69*G69</f>
        <v>1.8142523692800001</v>
      </c>
    </row>
    <row r="70" spans="1:13" x14ac:dyDescent="0.25">
      <c r="A70" s="4">
        <v>27.452999999999999</v>
      </c>
      <c r="B70" s="2" t="s">
        <v>19</v>
      </c>
      <c r="C70" s="6">
        <f t="shared" si="23"/>
        <v>0.84499999999999997</v>
      </c>
      <c r="D70" s="6">
        <f t="shared" si="4"/>
        <v>23.197785</v>
      </c>
      <c r="E70" s="6" t="s">
        <v>16</v>
      </c>
      <c r="F70" s="6">
        <f t="shared" si="31"/>
        <v>0.83200000000000007</v>
      </c>
      <c r="G70" s="6">
        <f t="shared" si="11"/>
        <v>19.300557120000001</v>
      </c>
      <c r="H70" s="6" t="s">
        <v>7</v>
      </c>
      <c r="I70" s="6">
        <f>11.6/100</f>
        <v>0.11599999999999999</v>
      </c>
      <c r="J70" s="6">
        <f t="shared" si="32"/>
        <v>2.2388646259199998</v>
      </c>
      <c r="K70" s="2" t="s">
        <v>34</v>
      </c>
      <c r="L70" s="2">
        <f>12.6/100</f>
        <v>0.126</v>
      </c>
      <c r="M70" s="2">
        <f t="shared" si="33"/>
        <v>2.4318701971200003</v>
      </c>
    </row>
    <row r="71" spans="1:13" x14ac:dyDescent="0.25">
      <c r="A71" s="4">
        <v>27.452999999999999</v>
      </c>
      <c r="B71" s="2" t="s">
        <v>19</v>
      </c>
      <c r="C71" s="6">
        <f t="shared" si="23"/>
        <v>0.84499999999999997</v>
      </c>
      <c r="D71" s="6">
        <f t="shared" si="4"/>
        <v>23.197785</v>
      </c>
      <c r="E71" s="6" t="s">
        <v>16</v>
      </c>
      <c r="F71" s="6">
        <f t="shared" si="31"/>
        <v>0.83200000000000007</v>
      </c>
      <c r="G71" s="6">
        <f t="shared" si="11"/>
        <v>19.300557120000001</v>
      </c>
      <c r="H71" s="6" t="s">
        <v>8</v>
      </c>
      <c r="I71" s="6">
        <f>35.9/100</f>
        <v>0.35899999999999999</v>
      </c>
      <c r="J71" s="6">
        <f t="shared" si="32"/>
        <v>6.9289000060800001</v>
      </c>
      <c r="K71" s="2" t="s">
        <v>35</v>
      </c>
      <c r="L71" s="2">
        <f>28.6/100</f>
        <v>0.28600000000000003</v>
      </c>
      <c r="M71" s="2">
        <f t="shared" si="33"/>
        <v>5.5199593363200004</v>
      </c>
    </row>
    <row r="72" spans="1:13" x14ac:dyDescent="0.25">
      <c r="A72" s="4">
        <v>27.452999999999999</v>
      </c>
      <c r="B72" s="2" t="s">
        <v>19</v>
      </c>
      <c r="C72" s="6">
        <f t="shared" si="23"/>
        <v>0.84499999999999997</v>
      </c>
      <c r="D72" s="6">
        <f t="shared" si="4"/>
        <v>23.197785</v>
      </c>
      <c r="E72" s="6" t="s">
        <v>16</v>
      </c>
      <c r="F72" s="6">
        <f t="shared" si="31"/>
        <v>0.83200000000000007</v>
      </c>
      <c r="G72" s="6">
        <f t="shared" si="11"/>
        <v>19.300557120000001</v>
      </c>
      <c r="H72" s="6" t="s">
        <v>10</v>
      </c>
      <c r="I72" s="6">
        <f>4.7/100</f>
        <v>4.7E-2</v>
      </c>
      <c r="J72" s="6">
        <f t="shared" si="32"/>
        <v>0.90712618464000006</v>
      </c>
      <c r="K72" s="2" t="s">
        <v>36</v>
      </c>
      <c r="L72" s="2">
        <f>24.6/100</f>
        <v>0.24600000000000002</v>
      </c>
      <c r="M72" s="2">
        <f t="shared" si="33"/>
        <v>4.747937051520001</v>
      </c>
    </row>
    <row r="73" spans="1:13" x14ac:dyDescent="0.25">
      <c r="A73" s="4">
        <v>27.452999999999999</v>
      </c>
      <c r="B73" s="2" t="s">
        <v>19</v>
      </c>
      <c r="C73" s="6">
        <f t="shared" si="23"/>
        <v>0.84499999999999997</v>
      </c>
      <c r="D73" s="6">
        <f t="shared" si="4"/>
        <v>23.197785</v>
      </c>
      <c r="E73" s="6" t="s">
        <v>16</v>
      </c>
      <c r="F73" s="6">
        <f t="shared" si="31"/>
        <v>0.83200000000000007</v>
      </c>
      <c r="G73" s="6">
        <f t="shared" si="11"/>
        <v>19.300557120000001</v>
      </c>
      <c r="H73" s="6" t="s">
        <v>9</v>
      </c>
      <c r="I73" s="6">
        <f>22.7/100</f>
        <v>0.22699999999999998</v>
      </c>
      <c r="J73" s="6">
        <f t="shared" si="32"/>
        <v>4.3812264662399993</v>
      </c>
      <c r="K73" s="2" t="s">
        <v>37</v>
      </c>
      <c r="L73" s="2">
        <f>17.3/100</f>
        <v>0.17300000000000001</v>
      </c>
      <c r="M73" s="2">
        <f t="shared" si="33"/>
        <v>3.3389963817600004</v>
      </c>
    </row>
    <row r="74" spans="1:13" x14ac:dyDescent="0.25">
      <c r="A74" s="4">
        <v>27.452999999999999</v>
      </c>
      <c r="B74" s="2" t="s">
        <v>19</v>
      </c>
      <c r="C74" s="6">
        <f t="shared" si="23"/>
        <v>0.84499999999999997</v>
      </c>
      <c r="D74" s="6">
        <f t="shared" si="4"/>
        <v>23.197785</v>
      </c>
      <c r="E74" s="6" t="s">
        <v>16</v>
      </c>
      <c r="F74" s="6">
        <f t="shared" si="31"/>
        <v>0.83200000000000007</v>
      </c>
      <c r="G74" s="6">
        <f t="shared" si="11"/>
        <v>19.300557120000001</v>
      </c>
      <c r="H74" s="6" t="s">
        <v>55</v>
      </c>
      <c r="I74" s="6">
        <f>1.5/100</f>
        <v>1.4999999999999999E-2</v>
      </c>
      <c r="J74" s="8">
        <f t="shared" si="32"/>
        <v>0.28950835679999998</v>
      </c>
      <c r="K74" s="2" t="s">
        <v>38</v>
      </c>
      <c r="L74" s="2">
        <f>1.9/100</f>
        <v>1.9E-2</v>
      </c>
      <c r="M74" s="2">
        <f t="shared" si="33"/>
        <v>0.36671058528</v>
      </c>
    </row>
    <row r="75" spans="1:13" x14ac:dyDescent="0.25">
      <c r="A75" s="4">
        <v>27.452999999999999</v>
      </c>
      <c r="B75" s="2" t="s">
        <v>19</v>
      </c>
      <c r="C75" s="6">
        <f t="shared" si="23"/>
        <v>0.84499999999999997</v>
      </c>
      <c r="D75" s="6">
        <f t="shared" si="4"/>
        <v>23.197785</v>
      </c>
      <c r="E75" s="6" t="s">
        <v>16</v>
      </c>
      <c r="F75" s="6">
        <f t="shared" si="31"/>
        <v>0.83200000000000007</v>
      </c>
      <c r="G75" s="6">
        <f t="shared" si="11"/>
        <v>19.300557120000001</v>
      </c>
      <c r="H75" s="6"/>
      <c r="I75" s="6"/>
      <c r="J75" s="6"/>
      <c r="K75" s="2" t="s">
        <v>39</v>
      </c>
      <c r="L75" s="2">
        <f>1.8/100</f>
        <v>1.8000000000000002E-2</v>
      </c>
      <c r="M75" s="2">
        <f t="shared" si="33"/>
        <v>0.34741002816000005</v>
      </c>
    </row>
    <row r="76" spans="1:13" x14ac:dyDescent="0.25">
      <c r="A76" s="4">
        <v>27.452999999999999</v>
      </c>
      <c r="B76" s="2" t="s">
        <v>19</v>
      </c>
      <c r="C76" s="6">
        <f t="shared" si="23"/>
        <v>0.84499999999999997</v>
      </c>
      <c r="D76" s="6">
        <f t="shared" si="4"/>
        <v>23.197785</v>
      </c>
      <c r="E76" s="2" t="s">
        <v>51</v>
      </c>
      <c r="F76" s="6">
        <f>82.4/100</f>
        <v>0.82400000000000007</v>
      </c>
      <c r="G76" s="6">
        <f t="shared" si="11"/>
        <v>19.114974840000002</v>
      </c>
      <c r="H76" s="6" t="s">
        <v>11</v>
      </c>
      <c r="I76" s="6">
        <f>16.7/100</f>
        <v>0.16699999999999998</v>
      </c>
      <c r="J76" s="8">
        <f>I76*G76</f>
        <v>3.19220079828</v>
      </c>
      <c r="K76" s="2" t="s">
        <v>32</v>
      </c>
      <c r="L76" s="2">
        <f>5/100</f>
        <v>0.05</v>
      </c>
      <c r="M76" s="2">
        <f>L76*G76</f>
        <v>0.95574874200000015</v>
      </c>
    </row>
    <row r="77" spans="1:13" x14ac:dyDescent="0.25">
      <c r="A77" s="4">
        <v>27.452999999999999</v>
      </c>
      <c r="B77" s="2" t="s">
        <v>19</v>
      </c>
      <c r="C77" s="6">
        <f t="shared" si="23"/>
        <v>0.84499999999999997</v>
      </c>
      <c r="D77" s="6">
        <f t="shared" si="4"/>
        <v>23.197785</v>
      </c>
      <c r="E77" s="2" t="s">
        <v>13</v>
      </c>
      <c r="F77" s="6">
        <f t="shared" ref="F77:F83" si="34">82.4/100</f>
        <v>0.82400000000000007</v>
      </c>
      <c r="G77" s="6">
        <f t="shared" si="11"/>
        <v>19.114974840000002</v>
      </c>
      <c r="H77" s="6" t="s">
        <v>12</v>
      </c>
      <c r="I77" s="6">
        <f>12.5/100</f>
        <v>0.125</v>
      </c>
      <c r="J77" s="8">
        <f t="shared" ref="J77:J82" si="35">I77*G77</f>
        <v>2.3893718550000003</v>
      </c>
      <c r="K77" s="2" t="s">
        <v>33</v>
      </c>
      <c r="L77" s="2">
        <f>10.1/100</f>
        <v>0.10099999999999999</v>
      </c>
      <c r="M77" s="2">
        <f t="shared" ref="M77:M83" si="36">L77*G77</f>
        <v>1.93061245884</v>
      </c>
    </row>
    <row r="78" spans="1:13" x14ac:dyDescent="0.25">
      <c r="A78" s="4">
        <v>27.452999999999999</v>
      </c>
      <c r="B78" s="2" t="s">
        <v>19</v>
      </c>
      <c r="C78" s="6">
        <f t="shared" si="23"/>
        <v>0.84499999999999997</v>
      </c>
      <c r="D78" s="6">
        <f t="shared" si="4"/>
        <v>23.197785</v>
      </c>
      <c r="E78" s="2" t="s">
        <v>13</v>
      </c>
      <c r="F78" s="6">
        <f t="shared" si="34"/>
        <v>0.82400000000000007</v>
      </c>
      <c r="G78" s="6">
        <f t="shared" si="11"/>
        <v>19.114974840000002</v>
      </c>
      <c r="H78" s="6" t="s">
        <v>7</v>
      </c>
      <c r="I78" s="6">
        <f>13.2/100</f>
        <v>0.13200000000000001</v>
      </c>
      <c r="J78" s="8">
        <f t="shared" si="35"/>
        <v>2.5231766788800005</v>
      </c>
      <c r="K78" s="2" t="s">
        <v>34</v>
      </c>
      <c r="L78" s="2">
        <f>11.3/100</f>
        <v>0.113</v>
      </c>
      <c r="M78" s="2">
        <f t="shared" si="36"/>
        <v>2.1599921569200005</v>
      </c>
    </row>
    <row r="79" spans="1:13" x14ac:dyDescent="0.25">
      <c r="A79" s="4">
        <v>27.452999999999999</v>
      </c>
      <c r="B79" s="2" t="s">
        <v>19</v>
      </c>
      <c r="C79" s="6">
        <f t="shared" si="23"/>
        <v>0.84499999999999997</v>
      </c>
      <c r="D79" s="6">
        <f t="shared" si="4"/>
        <v>23.197785</v>
      </c>
      <c r="E79" s="2" t="s">
        <v>13</v>
      </c>
      <c r="F79" s="6">
        <f t="shared" si="34"/>
        <v>0.82400000000000007</v>
      </c>
      <c r="G79" s="6">
        <f t="shared" si="11"/>
        <v>19.114974840000002</v>
      </c>
      <c r="H79" s="6" t="s">
        <v>8</v>
      </c>
      <c r="I79" s="6">
        <f>38.6/100</f>
        <v>0.38600000000000001</v>
      </c>
      <c r="J79" s="8">
        <f t="shared" si="35"/>
        <v>7.3783802882400007</v>
      </c>
      <c r="K79" s="2" t="s">
        <v>35</v>
      </c>
      <c r="L79" s="2">
        <f>29.6/100</f>
        <v>0.29600000000000004</v>
      </c>
      <c r="M79" s="2">
        <f t="shared" si="36"/>
        <v>5.6580325526400017</v>
      </c>
    </row>
    <row r="80" spans="1:13" x14ac:dyDescent="0.25">
      <c r="A80" s="4">
        <v>27.452999999999999</v>
      </c>
      <c r="B80" s="2" t="s">
        <v>19</v>
      </c>
      <c r="C80" s="6">
        <f t="shared" si="23"/>
        <v>0.84499999999999997</v>
      </c>
      <c r="D80" s="6">
        <f t="shared" si="4"/>
        <v>23.197785</v>
      </c>
      <c r="E80" s="2" t="s">
        <v>13</v>
      </c>
      <c r="F80" s="6">
        <f t="shared" si="34"/>
        <v>0.82400000000000007</v>
      </c>
      <c r="G80" s="6">
        <f t="shared" si="11"/>
        <v>19.114974840000002</v>
      </c>
      <c r="H80" s="6" t="s">
        <v>10</v>
      </c>
      <c r="I80" s="6">
        <f>3.3/100</f>
        <v>3.3000000000000002E-2</v>
      </c>
      <c r="J80" s="8">
        <f t="shared" si="35"/>
        <v>0.63079416972000013</v>
      </c>
      <c r="K80" s="2" t="s">
        <v>36</v>
      </c>
      <c r="L80" s="2">
        <f>22.3/100</f>
        <v>0.223</v>
      </c>
      <c r="M80" s="2">
        <f t="shared" si="36"/>
        <v>4.2626393893200003</v>
      </c>
    </row>
    <row r="81" spans="1:13" x14ac:dyDescent="0.25">
      <c r="A81" s="4">
        <v>27.452999999999999</v>
      </c>
      <c r="B81" s="2" t="s">
        <v>19</v>
      </c>
      <c r="C81" s="6">
        <f t="shared" si="23"/>
        <v>0.84499999999999997</v>
      </c>
      <c r="D81" s="6">
        <f t="shared" si="4"/>
        <v>23.197785</v>
      </c>
      <c r="E81" s="2" t="s">
        <v>13</v>
      </c>
      <c r="F81" s="6">
        <f t="shared" si="34"/>
        <v>0.82400000000000007</v>
      </c>
      <c r="G81" s="6">
        <f t="shared" si="11"/>
        <v>19.114974840000002</v>
      </c>
      <c r="H81" s="6" t="s">
        <v>9</v>
      </c>
      <c r="I81" s="6">
        <f>13.6/100</f>
        <v>0.13600000000000001</v>
      </c>
      <c r="J81" s="8">
        <f t="shared" si="35"/>
        <v>2.5996365782400006</v>
      </c>
      <c r="K81" s="2" t="s">
        <v>37</v>
      </c>
      <c r="L81" s="2">
        <f>16.4/100</f>
        <v>0.16399999999999998</v>
      </c>
      <c r="M81" s="2">
        <f t="shared" si="36"/>
        <v>3.1348558737599999</v>
      </c>
    </row>
    <row r="82" spans="1:13" x14ac:dyDescent="0.25">
      <c r="A82" s="4">
        <v>27.452999999999999</v>
      </c>
      <c r="B82" s="2" t="s">
        <v>19</v>
      </c>
      <c r="C82" s="6">
        <f t="shared" si="23"/>
        <v>0.84499999999999997</v>
      </c>
      <c r="D82" s="6">
        <f t="shared" si="4"/>
        <v>23.197785</v>
      </c>
      <c r="E82" s="2" t="s">
        <v>13</v>
      </c>
      <c r="F82" s="6">
        <f t="shared" si="34"/>
        <v>0.82400000000000007</v>
      </c>
      <c r="G82" s="6">
        <f t="shared" si="11"/>
        <v>19.114974840000002</v>
      </c>
      <c r="H82" s="6" t="s">
        <v>55</v>
      </c>
      <c r="I82" s="6">
        <f>2.2/100</f>
        <v>2.2000000000000002E-2</v>
      </c>
      <c r="J82" s="8">
        <f t="shared" si="35"/>
        <v>0.42052944648000007</v>
      </c>
      <c r="K82" s="2" t="s">
        <v>38</v>
      </c>
      <c r="L82" s="2">
        <f>3/100</f>
        <v>0.03</v>
      </c>
      <c r="M82" s="2">
        <f t="shared" si="36"/>
        <v>0.57344924520000007</v>
      </c>
    </row>
    <row r="83" spans="1:13" x14ac:dyDescent="0.25">
      <c r="A83" s="4">
        <v>27.452999999999999</v>
      </c>
      <c r="B83" s="2" t="s">
        <v>19</v>
      </c>
      <c r="C83" s="6">
        <f t="shared" si="23"/>
        <v>0.84499999999999997</v>
      </c>
      <c r="D83" s="6">
        <f t="shared" si="4"/>
        <v>23.197785</v>
      </c>
      <c r="E83" s="2" t="s">
        <v>13</v>
      </c>
      <c r="F83" s="6">
        <f t="shared" si="34"/>
        <v>0.82400000000000007</v>
      </c>
      <c r="G83" s="6">
        <f t="shared" si="11"/>
        <v>19.114974840000002</v>
      </c>
      <c r="H83" s="6"/>
      <c r="I83" s="6"/>
      <c r="J83" s="8"/>
      <c r="K83" s="2" t="s">
        <v>39</v>
      </c>
      <c r="L83" s="2">
        <f>2.4/100</f>
        <v>2.4E-2</v>
      </c>
      <c r="M83" s="2">
        <f t="shared" si="36"/>
        <v>0.45875939616000005</v>
      </c>
    </row>
    <row r="84" spans="1:13" x14ac:dyDescent="0.25">
      <c r="A84" s="4">
        <v>27.452999999999999</v>
      </c>
      <c r="B84" s="2" t="s">
        <v>19</v>
      </c>
      <c r="C84" s="6">
        <f t="shared" si="23"/>
        <v>0.84499999999999997</v>
      </c>
      <c r="D84" s="6">
        <f t="shared" si="4"/>
        <v>23.197785</v>
      </c>
      <c r="E84" s="2" t="s">
        <v>50</v>
      </c>
      <c r="F84" s="6">
        <f>87.7/100</f>
        <v>0.877</v>
      </c>
      <c r="G84" s="6">
        <f t="shared" si="11"/>
        <v>20.344457445</v>
      </c>
      <c r="H84" s="6" t="s">
        <v>11</v>
      </c>
      <c r="I84" s="6">
        <f>20.9/100</f>
        <v>0.20899999999999999</v>
      </c>
      <c r="J84" s="6">
        <f>I84*G84</f>
        <v>4.2519916060049994</v>
      </c>
      <c r="K84" s="2" t="s">
        <v>32</v>
      </c>
      <c r="L84" s="2">
        <f>2/100</f>
        <v>0.02</v>
      </c>
      <c r="M84" s="2">
        <f>L84*G84</f>
        <v>0.4068891489</v>
      </c>
    </row>
    <row r="85" spans="1:13" x14ac:dyDescent="0.25">
      <c r="A85" s="4">
        <v>27.452999999999999</v>
      </c>
      <c r="B85" s="2" t="s">
        <v>19</v>
      </c>
      <c r="C85" s="6">
        <f t="shared" si="23"/>
        <v>0.84499999999999997</v>
      </c>
      <c r="D85" s="6">
        <f t="shared" si="4"/>
        <v>23.197785</v>
      </c>
      <c r="E85" s="2" t="s">
        <v>17</v>
      </c>
      <c r="F85" s="6">
        <f t="shared" ref="F85:F91" si="37">87.7/100</f>
        <v>0.877</v>
      </c>
      <c r="G85" s="6">
        <f t="shared" si="11"/>
        <v>20.344457445</v>
      </c>
      <c r="H85" s="6" t="s">
        <v>12</v>
      </c>
      <c r="I85" s="6">
        <f>20.8/100</f>
        <v>0.20800000000000002</v>
      </c>
      <c r="J85" s="6">
        <f t="shared" ref="J85:J90" si="38">I85*G85</f>
        <v>4.2316471485600005</v>
      </c>
      <c r="K85" s="2" t="s">
        <v>33</v>
      </c>
      <c r="L85" s="2">
        <f>10.1/100</f>
        <v>0.10099999999999999</v>
      </c>
      <c r="M85" s="2">
        <f t="shared" ref="M85:M87" si="39">L85*G85</f>
        <v>2.054790201945</v>
      </c>
    </row>
    <row r="86" spans="1:13" x14ac:dyDescent="0.25">
      <c r="A86" s="4">
        <v>27.452999999999999</v>
      </c>
      <c r="B86" s="2" t="s">
        <v>19</v>
      </c>
      <c r="C86" s="6">
        <f t="shared" si="23"/>
        <v>0.84499999999999997</v>
      </c>
      <c r="D86" s="6">
        <f t="shared" si="4"/>
        <v>23.197785</v>
      </c>
      <c r="E86" s="2" t="s">
        <v>17</v>
      </c>
      <c r="F86" s="6">
        <f t="shared" si="37"/>
        <v>0.877</v>
      </c>
      <c r="G86" s="6">
        <f t="shared" si="11"/>
        <v>20.344457445</v>
      </c>
      <c r="H86" s="6" t="s">
        <v>7</v>
      </c>
      <c r="I86" s="6">
        <f>13.1/100</f>
        <v>0.13100000000000001</v>
      </c>
      <c r="J86" s="6">
        <f t="shared" si="38"/>
        <v>2.6651239252950001</v>
      </c>
      <c r="K86" s="2" t="s">
        <v>34</v>
      </c>
      <c r="L86" s="2">
        <f>16.2/100</f>
        <v>0.16200000000000001</v>
      </c>
      <c r="M86" s="2">
        <f t="shared" si="39"/>
        <v>3.29580210609</v>
      </c>
    </row>
    <row r="87" spans="1:13" x14ac:dyDescent="0.25">
      <c r="A87" s="4">
        <v>27.452999999999999</v>
      </c>
      <c r="B87" s="2" t="s">
        <v>19</v>
      </c>
      <c r="C87" s="6">
        <f t="shared" si="23"/>
        <v>0.84499999999999997</v>
      </c>
      <c r="D87" s="6">
        <f t="shared" si="4"/>
        <v>23.197785</v>
      </c>
      <c r="E87" s="2" t="s">
        <v>17</v>
      </c>
      <c r="F87" s="6">
        <f t="shared" si="37"/>
        <v>0.877</v>
      </c>
      <c r="G87" s="6">
        <f t="shared" si="11"/>
        <v>20.344457445</v>
      </c>
      <c r="H87" s="6" t="s">
        <v>8</v>
      </c>
      <c r="I87" s="6">
        <f>36.1/100</f>
        <v>0.36099999999999999</v>
      </c>
      <c r="J87" s="6">
        <f t="shared" si="38"/>
        <v>7.3443491376449996</v>
      </c>
      <c r="K87" s="2" t="s">
        <v>35</v>
      </c>
      <c r="L87" s="2">
        <f>24.7/100</f>
        <v>0.247</v>
      </c>
      <c r="M87" s="2">
        <f t="shared" si="39"/>
        <v>5.0250809889149997</v>
      </c>
    </row>
    <row r="88" spans="1:13" x14ac:dyDescent="0.25">
      <c r="A88" s="4">
        <v>27.452999999999999</v>
      </c>
      <c r="B88" s="2" t="s">
        <v>19</v>
      </c>
      <c r="C88" s="6">
        <f t="shared" si="23"/>
        <v>0.84499999999999997</v>
      </c>
      <c r="D88" s="6">
        <f t="shared" si="4"/>
        <v>23.197785</v>
      </c>
      <c r="E88" s="2" t="s">
        <v>17</v>
      </c>
      <c r="F88" s="6">
        <f t="shared" si="37"/>
        <v>0.877</v>
      </c>
      <c r="G88" s="6">
        <f t="shared" si="11"/>
        <v>20.344457445</v>
      </c>
      <c r="H88" s="6" t="s">
        <v>10</v>
      </c>
      <c r="I88" s="6">
        <f>3.6/100</f>
        <v>3.6000000000000004E-2</v>
      </c>
      <c r="J88" s="6">
        <f t="shared" si="38"/>
        <v>0.73240046802000003</v>
      </c>
      <c r="K88" s="2" t="s">
        <v>36</v>
      </c>
      <c r="L88" s="2">
        <f>29.5/100</f>
        <v>0.29499999999999998</v>
      </c>
      <c r="M88" s="2">
        <f>L87*G88</f>
        <v>5.0250809889149997</v>
      </c>
    </row>
    <row r="89" spans="1:13" x14ac:dyDescent="0.25">
      <c r="A89" s="4">
        <v>27.452999999999999</v>
      </c>
      <c r="B89" s="2" t="s">
        <v>19</v>
      </c>
      <c r="C89" s="6">
        <f t="shared" si="23"/>
        <v>0.84499999999999997</v>
      </c>
      <c r="D89" s="6">
        <f t="shared" si="4"/>
        <v>23.197785</v>
      </c>
      <c r="E89" s="2" t="s">
        <v>17</v>
      </c>
      <c r="F89" s="6">
        <f t="shared" si="37"/>
        <v>0.877</v>
      </c>
      <c r="G89" s="6">
        <f t="shared" si="11"/>
        <v>20.344457445</v>
      </c>
      <c r="H89" s="6" t="s">
        <v>9</v>
      </c>
      <c r="I89" s="6">
        <f>4.7/100</f>
        <v>4.7E-2</v>
      </c>
      <c r="J89" s="6">
        <f t="shared" si="38"/>
        <v>0.95618949991500002</v>
      </c>
      <c r="K89" s="2" t="s">
        <v>37</v>
      </c>
      <c r="L89" s="2">
        <f>15.3/100</f>
        <v>0.153</v>
      </c>
      <c r="M89" s="2">
        <f>L88*G89</f>
        <v>6.0016149462749997</v>
      </c>
    </row>
    <row r="90" spans="1:13" x14ac:dyDescent="0.25">
      <c r="A90" s="4">
        <v>27.452999999999999</v>
      </c>
      <c r="B90" s="2" t="s">
        <v>19</v>
      </c>
      <c r="C90" s="6">
        <f t="shared" si="23"/>
        <v>0.84499999999999997</v>
      </c>
      <c r="D90" s="6">
        <f t="shared" si="4"/>
        <v>23.197785</v>
      </c>
      <c r="E90" s="2" t="s">
        <v>17</v>
      </c>
      <c r="F90" s="6">
        <f t="shared" si="37"/>
        <v>0.877</v>
      </c>
      <c r="G90" s="6">
        <f t="shared" si="11"/>
        <v>20.344457445</v>
      </c>
      <c r="H90" s="6" t="s">
        <v>55</v>
      </c>
      <c r="I90" s="6">
        <f>8/100</f>
        <v>0.08</v>
      </c>
      <c r="J90" s="8">
        <f t="shared" si="38"/>
        <v>1.6275565956</v>
      </c>
      <c r="K90" s="2" t="s">
        <v>38</v>
      </c>
      <c r="L90" s="2">
        <f>1.3/100</f>
        <v>1.3000000000000001E-2</v>
      </c>
      <c r="M90" s="2">
        <f>L89*G90</f>
        <v>3.1127019890850001</v>
      </c>
    </row>
    <row r="91" spans="1:13" x14ac:dyDescent="0.25">
      <c r="A91" s="4">
        <v>27.452999999999999</v>
      </c>
      <c r="B91" s="2" t="s">
        <v>19</v>
      </c>
      <c r="C91" s="6">
        <f t="shared" si="23"/>
        <v>0.84499999999999997</v>
      </c>
      <c r="D91" s="6">
        <f t="shared" si="4"/>
        <v>23.197785</v>
      </c>
      <c r="E91" s="2" t="s">
        <v>17</v>
      </c>
      <c r="F91" s="6">
        <f t="shared" si="37"/>
        <v>0.877</v>
      </c>
      <c r="G91" s="6">
        <f t="shared" si="11"/>
        <v>20.344457445</v>
      </c>
      <c r="H91" s="6"/>
      <c r="I91" s="6"/>
      <c r="J91" s="6"/>
      <c r="K91" s="2" t="s">
        <v>39</v>
      </c>
      <c r="L91" s="2">
        <f>0.8/100</f>
        <v>8.0000000000000002E-3</v>
      </c>
      <c r="M91" s="2">
        <f>L90*G91</f>
        <v>0.26447794678500003</v>
      </c>
    </row>
    <row r="92" spans="1:13" x14ac:dyDescent="0.25">
      <c r="A92" s="4">
        <v>27.452999999999999</v>
      </c>
      <c r="B92" s="2" t="s">
        <v>19</v>
      </c>
      <c r="C92" s="6">
        <f t="shared" si="23"/>
        <v>0.84499999999999997</v>
      </c>
      <c r="D92" s="6">
        <f t="shared" si="4"/>
        <v>23.197785</v>
      </c>
      <c r="E92" s="2" t="s">
        <v>49</v>
      </c>
      <c r="F92" s="2">
        <f>91.5/100</f>
        <v>0.91500000000000004</v>
      </c>
      <c r="G92" s="6">
        <f t="shared" si="11"/>
        <v>21.225973275000001</v>
      </c>
      <c r="H92" s="6" t="s">
        <v>11</v>
      </c>
      <c r="I92" s="6">
        <f>21.1/100</f>
        <v>0.21100000000000002</v>
      </c>
      <c r="J92" s="6">
        <f>I92*G92</f>
        <v>4.4786803610250008</v>
      </c>
      <c r="K92" s="2" t="s">
        <v>32</v>
      </c>
      <c r="L92" s="2">
        <f>6.9/100</f>
        <v>6.9000000000000006E-2</v>
      </c>
      <c r="M92" s="2">
        <f>L92*G92</f>
        <v>1.4645921559750001</v>
      </c>
    </row>
    <row r="93" spans="1:13" x14ac:dyDescent="0.25">
      <c r="A93" s="4">
        <v>27.452999999999999</v>
      </c>
      <c r="B93" s="2" t="s">
        <v>19</v>
      </c>
      <c r="C93" s="6">
        <f t="shared" si="23"/>
        <v>0.84499999999999997</v>
      </c>
      <c r="D93" s="6">
        <f t="shared" ref="D93:D99" si="40">C93*A93</f>
        <v>23.197785</v>
      </c>
      <c r="E93" s="2" t="s">
        <v>18</v>
      </c>
      <c r="F93" s="2">
        <f t="shared" ref="F93:F99" si="41">91.5/100</f>
        <v>0.91500000000000004</v>
      </c>
      <c r="G93" s="6">
        <f t="shared" si="11"/>
        <v>21.225973275000001</v>
      </c>
      <c r="H93" s="6" t="s">
        <v>12</v>
      </c>
      <c r="I93" s="6">
        <f>12.3/100</f>
        <v>0.12300000000000001</v>
      </c>
      <c r="J93" s="6">
        <f t="shared" ref="J93:J98" si="42">I93*G93</f>
        <v>2.6107947128250002</v>
      </c>
      <c r="K93" s="2" t="s">
        <v>33</v>
      </c>
      <c r="L93" s="2">
        <f>12.3/100</f>
        <v>0.12300000000000001</v>
      </c>
      <c r="M93" s="2">
        <f t="shared" ref="M93:M99" si="43">L93*G93</f>
        <v>2.6107947128250002</v>
      </c>
    </row>
    <row r="94" spans="1:13" x14ac:dyDescent="0.25">
      <c r="A94" s="4">
        <v>27.452999999999999</v>
      </c>
      <c r="B94" s="2" t="s">
        <v>19</v>
      </c>
      <c r="C94" s="6">
        <f t="shared" si="23"/>
        <v>0.84499999999999997</v>
      </c>
      <c r="D94" s="6">
        <f t="shared" si="40"/>
        <v>23.197785</v>
      </c>
      <c r="E94" s="2" t="s">
        <v>18</v>
      </c>
      <c r="F94" s="2">
        <f t="shared" si="41"/>
        <v>0.91500000000000004</v>
      </c>
      <c r="G94" s="6">
        <f t="shared" si="11"/>
        <v>21.225973275000001</v>
      </c>
      <c r="H94" s="6" t="s">
        <v>7</v>
      </c>
      <c r="I94" s="6">
        <f>15/100</f>
        <v>0.15</v>
      </c>
      <c r="J94" s="6">
        <f t="shared" si="42"/>
        <v>3.18389599125</v>
      </c>
      <c r="K94" s="2" t="s">
        <v>34</v>
      </c>
      <c r="L94" s="2">
        <f>13.7/100</f>
        <v>0.13699999999999998</v>
      </c>
      <c r="M94" s="2">
        <f t="shared" si="43"/>
        <v>2.9079583386749999</v>
      </c>
    </row>
    <row r="95" spans="1:13" x14ac:dyDescent="0.25">
      <c r="A95" s="4">
        <v>27.452999999999999</v>
      </c>
      <c r="B95" s="2" t="s">
        <v>19</v>
      </c>
      <c r="C95" s="6">
        <f t="shared" si="23"/>
        <v>0.84499999999999997</v>
      </c>
      <c r="D95" s="6">
        <f t="shared" si="40"/>
        <v>23.197785</v>
      </c>
      <c r="E95" s="2" t="s">
        <v>18</v>
      </c>
      <c r="F95" s="2">
        <f t="shared" si="41"/>
        <v>0.91500000000000004</v>
      </c>
      <c r="G95" s="6">
        <f t="shared" si="11"/>
        <v>21.225973275000001</v>
      </c>
      <c r="H95" s="6" t="s">
        <v>8</v>
      </c>
      <c r="I95" s="6">
        <f>38/100</f>
        <v>0.38</v>
      </c>
      <c r="J95" s="6">
        <f t="shared" si="42"/>
        <v>8.0658698444999999</v>
      </c>
      <c r="K95" s="2" t="s">
        <v>35</v>
      </c>
      <c r="L95" s="2">
        <f>28.6/100</f>
        <v>0.28600000000000003</v>
      </c>
      <c r="M95" s="2">
        <f t="shared" si="43"/>
        <v>6.0706283566500012</v>
      </c>
    </row>
    <row r="96" spans="1:13" x14ac:dyDescent="0.25">
      <c r="A96" s="4">
        <v>27.452999999999999</v>
      </c>
      <c r="B96" s="2" t="s">
        <v>19</v>
      </c>
      <c r="C96" s="6">
        <f t="shared" si="23"/>
        <v>0.84499999999999997</v>
      </c>
      <c r="D96" s="6">
        <f t="shared" si="40"/>
        <v>23.197785</v>
      </c>
      <c r="E96" s="2" t="s">
        <v>18</v>
      </c>
      <c r="F96" s="2">
        <f t="shared" si="41"/>
        <v>0.91500000000000004</v>
      </c>
      <c r="G96" s="6">
        <f t="shared" si="11"/>
        <v>21.225973275000001</v>
      </c>
      <c r="H96" s="6" t="s">
        <v>10</v>
      </c>
      <c r="I96" s="6">
        <f>3/100</f>
        <v>0.03</v>
      </c>
      <c r="J96" s="6">
        <f t="shared" si="42"/>
        <v>0.63677919825000007</v>
      </c>
      <c r="K96" s="2" t="s">
        <v>36</v>
      </c>
      <c r="L96" s="2">
        <f>19.5/100</f>
        <v>0.19500000000000001</v>
      </c>
      <c r="M96" s="2">
        <f t="shared" si="43"/>
        <v>4.1390647886250003</v>
      </c>
    </row>
    <row r="97" spans="1:13" x14ac:dyDescent="0.25">
      <c r="A97" s="4">
        <v>27.452999999999999</v>
      </c>
      <c r="B97" s="2" t="s">
        <v>19</v>
      </c>
      <c r="C97" s="6">
        <f t="shared" si="23"/>
        <v>0.84499999999999997</v>
      </c>
      <c r="D97" s="6">
        <f t="shared" si="40"/>
        <v>23.197785</v>
      </c>
      <c r="E97" s="2" t="s">
        <v>18</v>
      </c>
      <c r="F97" s="2">
        <f t="shared" si="41"/>
        <v>0.91500000000000004</v>
      </c>
      <c r="G97" s="6">
        <f t="shared" si="11"/>
        <v>21.225973275000001</v>
      </c>
      <c r="H97" s="6" t="s">
        <v>9</v>
      </c>
      <c r="I97" s="6">
        <f>9.2/100</f>
        <v>9.1999999999999998E-2</v>
      </c>
      <c r="J97" s="6">
        <f t="shared" si="42"/>
        <v>1.9527895413</v>
      </c>
      <c r="K97" s="2" t="s">
        <v>37</v>
      </c>
      <c r="L97" s="2">
        <f>14.5/100</f>
        <v>0.14499999999999999</v>
      </c>
      <c r="M97" s="2">
        <f t="shared" si="43"/>
        <v>3.0777661248750001</v>
      </c>
    </row>
    <row r="98" spans="1:13" x14ac:dyDescent="0.25">
      <c r="A98" s="4">
        <v>27.452999999999999</v>
      </c>
      <c r="B98" s="2" t="s">
        <v>19</v>
      </c>
      <c r="C98" s="6">
        <f t="shared" si="23"/>
        <v>0.84499999999999997</v>
      </c>
      <c r="D98" s="6">
        <f t="shared" si="40"/>
        <v>23.197785</v>
      </c>
      <c r="E98" s="2" t="s">
        <v>18</v>
      </c>
      <c r="F98" s="2">
        <f t="shared" si="41"/>
        <v>0.91500000000000004</v>
      </c>
      <c r="G98" s="6">
        <f t="shared" si="11"/>
        <v>21.225973275000001</v>
      </c>
      <c r="H98" s="6" t="s">
        <v>55</v>
      </c>
      <c r="I98" s="2">
        <f>1.4/100</f>
        <v>1.3999999999999999E-2</v>
      </c>
      <c r="J98" s="8">
        <f t="shared" si="42"/>
        <v>0.29716362585</v>
      </c>
      <c r="K98" s="2" t="s">
        <v>38</v>
      </c>
      <c r="L98" s="2">
        <f>2.8/100</f>
        <v>2.7999999999999997E-2</v>
      </c>
      <c r="M98" s="2">
        <f t="shared" si="43"/>
        <v>0.5943272517</v>
      </c>
    </row>
    <row r="99" spans="1:13" x14ac:dyDescent="0.25">
      <c r="A99" s="4">
        <v>27.452999999999999</v>
      </c>
      <c r="B99" s="2" t="s">
        <v>19</v>
      </c>
      <c r="C99" s="6">
        <f t="shared" si="23"/>
        <v>0.84499999999999997</v>
      </c>
      <c r="D99" s="6">
        <f t="shared" si="40"/>
        <v>23.197785</v>
      </c>
      <c r="E99" s="2" t="s">
        <v>18</v>
      </c>
      <c r="F99" s="2">
        <f t="shared" si="41"/>
        <v>0.91500000000000004</v>
      </c>
      <c r="G99" s="6">
        <f t="shared" ref="G99" si="44">F99*D99</f>
        <v>21.225973275000001</v>
      </c>
      <c r="H99" s="2"/>
      <c r="I99" s="2"/>
      <c r="J99" s="2"/>
      <c r="K99" s="2" t="s">
        <v>39</v>
      </c>
      <c r="L99" s="2">
        <f>1.7/100</f>
        <v>1.7000000000000001E-2</v>
      </c>
      <c r="M99" s="2">
        <f t="shared" si="43"/>
        <v>0.36084154567500004</v>
      </c>
    </row>
  </sheetData>
  <mergeCells count="1">
    <mergeCell ref="E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M136"/>
  <sheetViews>
    <sheetView topLeftCell="A86" zoomScale="85" zoomScaleNormal="85" workbookViewId="0">
      <selection activeCell="A3" sqref="A3:M98"/>
    </sheetView>
  </sheetViews>
  <sheetFormatPr defaultRowHeight="13.2" x14ac:dyDescent="0.25"/>
  <cols>
    <col min="1" max="1" width="11.88671875" customWidth="1"/>
    <col min="2" max="2" width="8.33203125" customWidth="1"/>
    <col min="3" max="3" width="10.21875" style="13" customWidth="1"/>
    <col min="4" max="4" width="11.44140625" customWidth="1"/>
    <col min="5" max="5" width="21.33203125" customWidth="1"/>
    <col min="6" max="6" width="14.21875" customWidth="1"/>
    <col min="7" max="7" width="16.33203125" customWidth="1"/>
    <col min="8" max="8" width="19.77734375" customWidth="1"/>
    <col min="9" max="9" width="15.6640625" customWidth="1"/>
    <col min="10" max="10" width="16.109375" customWidth="1"/>
    <col min="11" max="11" width="9.88671875" customWidth="1"/>
    <col min="12" max="12" width="17.77734375" customWidth="1"/>
    <col min="13" max="13" width="23.77734375" customWidth="1"/>
    <col min="14" max="22" width="14.77734375" customWidth="1"/>
  </cols>
  <sheetData>
    <row r="1" spans="1:13" s="3" customFormat="1" x14ac:dyDescent="0.25">
      <c r="C1" s="9"/>
      <c r="E1" s="21" t="s">
        <v>42</v>
      </c>
      <c r="F1" s="21"/>
      <c r="G1" s="21"/>
      <c r="H1" s="21"/>
      <c r="I1" s="21"/>
      <c r="J1" s="21"/>
    </row>
    <row r="2" spans="1:13" s="2" customFormat="1" ht="66" customHeight="1" x14ac:dyDescent="0.25">
      <c r="A2" s="1" t="s">
        <v>30</v>
      </c>
      <c r="B2" s="2" t="s">
        <v>1</v>
      </c>
      <c r="C2" s="10" t="s">
        <v>57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s">
        <v>31</v>
      </c>
      <c r="L2" s="1" t="s">
        <v>40</v>
      </c>
      <c r="M2" s="1" t="s">
        <v>41</v>
      </c>
    </row>
    <row r="3" spans="1:13" s="2" customFormat="1" ht="45" customHeight="1" x14ac:dyDescent="0.25">
      <c r="A3" s="4">
        <v>27.75</v>
      </c>
      <c r="B3" s="4" t="s">
        <v>2</v>
      </c>
      <c r="C3" s="11">
        <f>15.5/100</f>
        <v>0.155</v>
      </c>
      <c r="D3" s="6">
        <f>C3*A3</f>
        <v>4.3012499999999996</v>
      </c>
      <c r="E3" s="6" t="s">
        <v>14</v>
      </c>
      <c r="F3" s="5">
        <f>19/100</f>
        <v>0.19</v>
      </c>
      <c r="G3" s="5">
        <f>D3*F3</f>
        <v>0.81723749999999995</v>
      </c>
      <c r="H3" s="6" t="s">
        <v>11</v>
      </c>
      <c r="I3" s="6">
        <f>8.3/100</f>
        <v>8.3000000000000004E-2</v>
      </c>
      <c r="J3" s="7">
        <f>I3*G3</f>
        <v>6.7830712500000001E-2</v>
      </c>
      <c r="K3" s="2" t="s">
        <v>32</v>
      </c>
      <c r="L3" s="2">
        <f>0.8/100</f>
        <v>8.0000000000000002E-3</v>
      </c>
      <c r="M3" s="2">
        <f>L3*G3</f>
        <v>6.5379000000000001E-3</v>
      </c>
    </row>
    <row r="4" spans="1:13" ht="31.2" customHeight="1" x14ac:dyDescent="0.25">
      <c r="A4" s="4">
        <v>27.75</v>
      </c>
      <c r="B4" s="4" t="s">
        <v>2</v>
      </c>
      <c r="C4" s="11">
        <f t="shared" ref="C4:C50" si="0">15.5/100</f>
        <v>0.155</v>
      </c>
      <c r="D4" s="6">
        <f>C4*A4</f>
        <v>4.3012499999999996</v>
      </c>
      <c r="E4" s="6" t="s">
        <v>43</v>
      </c>
      <c r="F4" s="5">
        <f t="shared" ref="F4:F10" si="1">19/100</f>
        <v>0.19</v>
      </c>
      <c r="G4" s="5">
        <f>D4*F4</f>
        <v>0.81723749999999995</v>
      </c>
      <c r="H4" s="6" t="s">
        <v>12</v>
      </c>
      <c r="I4" s="6">
        <f>2.7/100</f>
        <v>2.7000000000000003E-2</v>
      </c>
      <c r="J4" s="8">
        <f>G4*I4</f>
        <v>2.2065412500000003E-2</v>
      </c>
      <c r="K4" s="2" t="s">
        <v>33</v>
      </c>
      <c r="L4" s="2">
        <f>5.6/100</f>
        <v>5.5999999999999994E-2</v>
      </c>
      <c r="M4" s="2">
        <f t="shared" ref="M4:M10" si="2">L4*G4</f>
        <v>4.5765299999999995E-2</v>
      </c>
    </row>
    <row r="5" spans="1:13" ht="31.2" customHeight="1" x14ac:dyDescent="0.25">
      <c r="A5" s="4">
        <v>27.75</v>
      </c>
      <c r="B5" s="4" t="s">
        <v>2</v>
      </c>
      <c r="C5" s="11">
        <f t="shared" si="0"/>
        <v>0.155</v>
      </c>
      <c r="D5" s="6">
        <f t="shared" ref="D5:D91" si="3">C5*A5</f>
        <v>4.3012499999999996</v>
      </c>
      <c r="E5" s="6" t="s">
        <v>14</v>
      </c>
      <c r="F5" s="5">
        <f t="shared" si="1"/>
        <v>0.19</v>
      </c>
      <c r="G5" s="5">
        <f t="shared" ref="G5:G10" si="4">D5*F5</f>
        <v>0.81723749999999995</v>
      </c>
      <c r="H5" s="6" t="s">
        <v>7</v>
      </c>
      <c r="I5" s="6">
        <f>5.4/100</f>
        <v>5.4000000000000006E-2</v>
      </c>
      <c r="J5" s="8">
        <f>G5*I5</f>
        <v>4.4130825000000005E-2</v>
      </c>
      <c r="K5" s="2" t="s">
        <v>34</v>
      </c>
      <c r="L5" s="2">
        <f>9.5/100</f>
        <v>9.5000000000000001E-2</v>
      </c>
      <c r="M5" s="2">
        <f t="shared" si="2"/>
        <v>7.7637562499999993E-2</v>
      </c>
    </row>
    <row r="6" spans="1:13" ht="31.2" customHeight="1" x14ac:dyDescent="0.25">
      <c r="A6" s="4">
        <v>27.75</v>
      </c>
      <c r="B6" s="4" t="s">
        <v>2</v>
      </c>
      <c r="C6" s="11">
        <f t="shared" si="0"/>
        <v>0.155</v>
      </c>
      <c r="D6" s="6">
        <f t="shared" si="3"/>
        <v>4.3012499999999996</v>
      </c>
      <c r="E6" s="6" t="s">
        <v>14</v>
      </c>
      <c r="F6" s="5">
        <f t="shared" si="1"/>
        <v>0.19</v>
      </c>
      <c r="G6" s="5">
        <f t="shared" si="4"/>
        <v>0.81723749999999995</v>
      </c>
      <c r="H6" s="6" t="s">
        <v>8</v>
      </c>
      <c r="I6" s="6">
        <f>28.4/100</f>
        <v>0.28399999999999997</v>
      </c>
      <c r="J6" s="8">
        <f>G6*I6</f>
        <v>0.23209544999999995</v>
      </c>
      <c r="K6" s="2" t="s">
        <v>35</v>
      </c>
      <c r="L6" s="2">
        <f>27.2/100</f>
        <v>0.27200000000000002</v>
      </c>
      <c r="M6" s="2">
        <f t="shared" si="2"/>
        <v>0.2222886</v>
      </c>
    </row>
    <row r="7" spans="1:13" ht="31.2" customHeight="1" x14ac:dyDescent="0.25">
      <c r="A7" s="4">
        <v>27.75</v>
      </c>
      <c r="B7" s="4" t="s">
        <v>2</v>
      </c>
      <c r="C7" s="11">
        <f t="shared" si="0"/>
        <v>0.155</v>
      </c>
      <c r="D7" s="6">
        <f t="shared" si="3"/>
        <v>4.3012499999999996</v>
      </c>
      <c r="E7" s="6" t="s">
        <v>14</v>
      </c>
      <c r="F7" s="5">
        <f t="shared" si="1"/>
        <v>0.19</v>
      </c>
      <c r="G7" s="5">
        <f t="shared" si="4"/>
        <v>0.81723749999999995</v>
      </c>
      <c r="H7" s="6" t="s">
        <v>10</v>
      </c>
      <c r="I7" s="6">
        <f>5.7/100</f>
        <v>5.7000000000000002E-2</v>
      </c>
      <c r="J7" s="8">
        <f>G7*I7</f>
        <v>4.65825375E-2</v>
      </c>
      <c r="K7" s="2" t="s">
        <v>36</v>
      </c>
      <c r="L7" s="2">
        <f>27.2/100</f>
        <v>0.27200000000000002</v>
      </c>
      <c r="M7" s="2">
        <f t="shared" si="2"/>
        <v>0.2222886</v>
      </c>
    </row>
    <row r="8" spans="1:13" ht="31.2" customHeight="1" x14ac:dyDescent="0.25">
      <c r="A8" s="4">
        <v>27.75</v>
      </c>
      <c r="B8" s="4" t="s">
        <v>2</v>
      </c>
      <c r="C8" s="11">
        <f t="shared" si="0"/>
        <v>0.155</v>
      </c>
      <c r="D8" s="6">
        <f>C8*A8</f>
        <v>4.3012499999999996</v>
      </c>
      <c r="E8" s="6" t="s">
        <v>14</v>
      </c>
      <c r="F8" s="5">
        <f t="shared" si="1"/>
        <v>0.19</v>
      </c>
      <c r="G8" s="5">
        <f t="shared" si="4"/>
        <v>0.81723749999999995</v>
      </c>
      <c r="H8" s="6" t="s">
        <v>9</v>
      </c>
      <c r="I8" s="6">
        <f>48.4/100</f>
        <v>0.48399999999999999</v>
      </c>
      <c r="J8" s="8">
        <f>G8*I8</f>
        <v>0.39554294999999995</v>
      </c>
      <c r="K8" s="2" t="s">
        <v>37</v>
      </c>
      <c r="L8" s="2">
        <f>27.3/100</f>
        <v>0.27300000000000002</v>
      </c>
      <c r="M8" s="2">
        <f t="shared" si="2"/>
        <v>0.22310583750000001</v>
      </c>
    </row>
    <row r="9" spans="1:13" ht="31.2" customHeight="1" x14ac:dyDescent="0.25">
      <c r="A9" s="4">
        <v>27.75</v>
      </c>
      <c r="B9" s="4" t="s">
        <v>2</v>
      </c>
      <c r="C9" s="11">
        <f t="shared" si="0"/>
        <v>0.155</v>
      </c>
      <c r="D9" s="6">
        <f t="shared" si="3"/>
        <v>4.3012499999999996</v>
      </c>
      <c r="E9" s="6" t="s">
        <v>14</v>
      </c>
      <c r="F9" s="5">
        <f t="shared" si="1"/>
        <v>0.19</v>
      </c>
      <c r="G9" s="5">
        <f t="shared" si="4"/>
        <v>0.81723749999999995</v>
      </c>
      <c r="H9" s="6" t="s">
        <v>58</v>
      </c>
      <c r="I9" s="6">
        <f>1/100</f>
        <v>0.01</v>
      </c>
      <c r="J9" s="8">
        <f t="shared" ref="J9" si="5">I9*G9</f>
        <v>8.1723749999999991E-3</v>
      </c>
      <c r="K9" s="2" t="s">
        <v>38</v>
      </c>
      <c r="L9" s="2">
        <f>1.5/100</f>
        <v>1.4999999999999999E-2</v>
      </c>
      <c r="M9" s="2">
        <f t="shared" si="2"/>
        <v>1.2258562499999999E-2</v>
      </c>
    </row>
    <row r="10" spans="1:13" ht="31.2" customHeight="1" x14ac:dyDescent="0.25">
      <c r="A10" s="4">
        <v>27.75</v>
      </c>
      <c r="B10" s="4" t="s">
        <v>2</v>
      </c>
      <c r="C10" s="11">
        <f t="shared" si="0"/>
        <v>0.155</v>
      </c>
      <c r="D10" s="6">
        <f t="shared" si="3"/>
        <v>4.3012499999999996</v>
      </c>
      <c r="E10" s="6" t="s">
        <v>14</v>
      </c>
      <c r="F10" s="5">
        <f t="shared" si="1"/>
        <v>0.19</v>
      </c>
      <c r="G10" s="5">
        <f t="shared" si="4"/>
        <v>0.81723749999999995</v>
      </c>
      <c r="H10" s="6"/>
      <c r="I10" s="6"/>
      <c r="J10" s="8"/>
      <c r="K10" s="2" t="s">
        <v>39</v>
      </c>
      <c r="L10" s="2">
        <f>0.8/100</f>
        <v>8.0000000000000002E-3</v>
      </c>
      <c r="M10" s="2">
        <f t="shared" si="2"/>
        <v>6.5379000000000001E-3</v>
      </c>
    </row>
    <row r="11" spans="1:13" ht="31.2" customHeight="1" x14ac:dyDescent="0.25">
      <c r="A11" s="4">
        <v>27.75</v>
      </c>
      <c r="B11" s="4" t="s">
        <v>2</v>
      </c>
      <c r="C11" s="11">
        <f t="shared" si="0"/>
        <v>0.155</v>
      </c>
      <c r="D11" s="6">
        <f t="shared" si="3"/>
        <v>4.3012499999999996</v>
      </c>
      <c r="E11" s="6" t="s">
        <v>44</v>
      </c>
      <c r="F11" s="5">
        <f>16.8/100</f>
        <v>0.16800000000000001</v>
      </c>
      <c r="G11" s="6">
        <f>F11*D11</f>
        <v>0.72260999999999997</v>
      </c>
      <c r="H11" s="6" t="s">
        <v>11</v>
      </c>
      <c r="I11" s="6">
        <f>1.4/100</f>
        <v>1.3999999999999999E-2</v>
      </c>
      <c r="J11" s="8">
        <f>I11*G11</f>
        <v>1.0116539999999999E-2</v>
      </c>
      <c r="K11" s="2" t="s">
        <v>32</v>
      </c>
      <c r="L11" s="2">
        <f>0/100</f>
        <v>0</v>
      </c>
      <c r="M11" s="2">
        <f>L11*G11</f>
        <v>0</v>
      </c>
    </row>
    <row r="12" spans="1:13" ht="31.2" customHeight="1" x14ac:dyDescent="0.25">
      <c r="A12" s="4">
        <v>27.75</v>
      </c>
      <c r="B12" s="4" t="s">
        <v>2</v>
      </c>
      <c r="C12" s="11">
        <f t="shared" si="0"/>
        <v>0.155</v>
      </c>
      <c r="D12" s="6">
        <f t="shared" si="3"/>
        <v>4.3012499999999996</v>
      </c>
      <c r="E12" s="6" t="s">
        <v>15</v>
      </c>
      <c r="F12" s="5">
        <f t="shared" ref="F12:F26" si="6">16.8/100</f>
        <v>0.16800000000000001</v>
      </c>
      <c r="G12" s="6">
        <f t="shared" ref="G12:G18" si="7">F12*D12</f>
        <v>0.72260999999999997</v>
      </c>
      <c r="H12" s="6" t="s">
        <v>12</v>
      </c>
      <c r="I12" s="6">
        <f>1.5/100</f>
        <v>1.4999999999999999E-2</v>
      </c>
      <c r="J12" s="8">
        <f t="shared" ref="J12:J17" si="8">I12*G12</f>
        <v>1.0839149999999999E-2</v>
      </c>
      <c r="K12" s="2" t="s">
        <v>33</v>
      </c>
      <c r="L12" s="2">
        <f>4.7/100</f>
        <v>4.7E-2</v>
      </c>
      <c r="M12" s="2">
        <f t="shared" ref="M12:M18" si="9">L12*G12</f>
        <v>3.396267E-2</v>
      </c>
    </row>
    <row r="13" spans="1:13" ht="31.2" customHeight="1" x14ac:dyDescent="0.25">
      <c r="A13" s="4">
        <v>27.75</v>
      </c>
      <c r="B13" s="4" t="s">
        <v>2</v>
      </c>
      <c r="C13" s="11">
        <f t="shared" si="0"/>
        <v>0.155</v>
      </c>
      <c r="D13" s="6">
        <f t="shared" si="3"/>
        <v>4.3012499999999996</v>
      </c>
      <c r="E13" s="6" t="s">
        <v>15</v>
      </c>
      <c r="F13" s="5">
        <f t="shared" si="6"/>
        <v>0.16800000000000001</v>
      </c>
      <c r="G13" s="6">
        <f t="shared" si="7"/>
        <v>0.72260999999999997</v>
      </c>
      <c r="H13" s="6" t="s">
        <v>7</v>
      </c>
      <c r="I13" s="6">
        <f>0/100</f>
        <v>0</v>
      </c>
      <c r="J13" s="8">
        <f t="shared" si="8"/>
        <v>0</v>
      </c>
      <c r="K13" s="2" t="s">
        <v>34</v>
      </c>
      <c r="L13" s="2">
        <f>13.3/100</f>
        <v>0.13300000000000001</v>
      </c>
      <c r="M13" s="2">
        <f t="shared" si="9"/>
        <v>9.6107129999999999E-2</v>
      </c>
    </row>
    <row r="14" spans="1:13" ht="31.2" customHeight="1" x14ac:dyDescent="0.25">
      <c r="A14" s="4">
        <v>27.75</v>
      </c>
      <c r="B14" s="4" t="s">
        <v>2</v>
      </c>
      <c r="C14" s="11">
        <f t="shared" si="0"/>
        <v>0.155</v>
      </c>
      <c r="D14" s="6">
        <f t="shared" si="3"/>
        <v>4.3012499999999996</v>
      </c>
      <c r="E14" s="6" t="s">
        <v>15</v>
      </c>
      <c r="F14" s="5">
        <f t="shared" si="6"/>
        <v>0.16800000000000001</v>
      </c>
      <c r="G14" s="6">
        <f t="shared" si="7"/>
        <v>0.72260999999999997</v>
      </c>
      <c r="H14" s="6" t="s">
        <v>8</v>
      </c>
      <c r="I14" s="6">
        <f>26/100</f>
        <v>0.26</v>
      </c>
      <c r="J14" s="8">
        <f>I14*G14</f>
        <v>0.18787860000000001</v>
      </c>
      <c r="K14" s="2" t="s">
        <v>35</v>
      </c>
      <c r="L14" s="2">
        <f>30.9/100</f>
        <v>0.309</v>
      </c>
      <c r="M14" s="2">
        <f t="shared" si="9"/>
        <v>0.22328648999999998</v>
      </c>
    </row>
    <row r="15" spans="1:13" ht="31.2" customHeight="1" x14ac:dyDescent="0.25">
      <c r="A15" s="4">
        <v>27.75</v>
      </c>
      <c r="B15" s="4" t="s">
        <v>2</v>
      </c>
      <c r="C15" s="11">
        <f t="shared" si="0"/>
        <v>0.155</v>
      </c>
      <c r="D15" s="6">
        <f t="shared" si="3"/>
        <v>4.3012499999999996</v>
      </c>
      <c r="E15" s="6" t="s">
        <v>15</v>
      </c>
      <c r="F15" s="5">
        <f t="shared" si="6"/>
        <v>0.16800000000000001</v>
      </c>
      <c r="G15" s="6">
        <f t="shared" si="7"/>
        <v>0.72260999999999997</v>
      </c>
      <c r="H15" s="6" t="s">
        <v>10</v>
      </c>
      <c r="I15" s="6">
        <f>13.4/100</f>
        <v>0.13400000000000001</v>
      </c>
      <c r="J15" s="8">
        <f t="shared" si="8"/>
        <v>9.6829739999999997E-2</v>
      </c>
      <c r="K15" s="2" t="s">
        <v>36</v>
      </c>
      <c r="L15" s="2">
        <f>23.9/100</f>
        <v>0.23899999999999999</v>
      </c>
      <c r="M15" s="2">
        <f t="shared" si="9"/>
        <v>0.17270379</v>
      </c>
    </row>
    <row r="16" spans="1:13" ht="31.2" customHeight="1" x14ac:dyDescent="0.25">
      <c r="A16" s="4">
        <v>27.75</v>
      </c>
      <c r="B16" s="4" t="s">
        <v>2</v>
      </c>
      <c r="C16" s="11">
        <f t="shared" si="0"/>
        <v>0.155</v>
      </c>
      <c r="D16" s="6">
        <f t="shared" si="3"/>
        <v>4.3012499999999996</v>
      </c>
      <c r="E16" s="6" t="s">
        <v>15</v>
      </c>
      <c r="F16" s="5">
        <f t="shared" si="6"/>
        <v>0.16800000000000001</v>
      </c>
      <c r="G16" s="6">
        <f t="shared" si="7"/>
        <v>0.72260999999999997</v>
      </c>
      <c r="H16" s="6" t="s">
        <v>9</v>
      </c>
      <c r="I16" s="6">
        <f>56.4/100</f>
        <v>0.56399999999999995</v>
      </c>
      <c r="J16" s="8">
        <f t="shared" si="8"/>
        <v>0.40755203999999995</v>
      </c>
      <c r="K16" s="2" t="s">
        <v>37</v>
      </c>
      <c r="L16" s="2">
        <f>27.1/100</f>
        <v>0.27100000000000002</v>
      </c>
      <c r="M16" s="2">
        <f t="shared" si="9"/>
        <v>0.19582731</v>
      </c>
    </row>
    <row r="17" spans="1:13" ht="31.2" customHeight="1" x14ac:dyDescent="0.25">
      <c r="A17" s="4">
        <v>27.75</v>
      </c>
      <c r="B17" s="4" t="s">
        <v>2</v>
      </c>
      <c r="C17" s="11">
        <f t="shared" si="0"/>
        <v>0.155</v>
      </c>
      <c r="D17" s="6">
        <f t="shared" si="3"/>
        <v>4.3012499999999996</v>
      </c>
      <c r="E17" s="6" t="s">
        <v>15</v>
      </c>
      <c r="F17" s="5">
        <f t="shared" si="6"/>
        <v>0.16800000000000001</v>
      </c>
      <c r="G17" s="6">
        <f t="shared" si="7"/>
        <v>0.72260999999999997</v>
      </c>
      <c r="H17" s="6" t="s">
        <v>58</v>
      </c>
      <c r="I17" s="6">
        <f>1.4/100</f>
        <v>1.3999999999999999E-2</v>
      </c>
      <c r="J17" s="8">
        <f t="shared" si="8"/>
        <v>1.0116539999999999E-2</v>
      </c>
      <c r="K17" s="2" t="s">
        <v>38</v>
      </c>
      <c r="L17" s="2">
        <f>0/100</f>
        <v>0</v>
      </c>
      <c r="M17" s="2">
        <f t="shared" si="9"/>
        <v>0</v>
      </c>
    </row>
    <row r="18" spans="1:13" ht="31.2" customHeight="1" x14ac:dyDescent="0.25">
      <c r="A18" s="4">
        <v>27.75</v>
      </c>
      <c r="B18" s="4" t="s">
        <v>2</v>
      </c>
      <c r="C18" s="11">
        <f t="shared" si="0"/>
        <v>0.155</v>
      </c>
      <c r="D18" s="6">
        <f t="shared" si="3"/>
        <v>4.3012499999999996</v>
      </c>
      <c r="E18" s="6" t="s">
        <v>15</v>
      </c>
      <c r="F18" s="5">
        <f t="shared" si="6"/>
        <v>0.16800000000000001</v>
      </c>
      <c r="G18" s="6">
        <f t="shared" si="7"/>
        <v>0.72260999999999997</v>
      </c>
      <c r="H18" s="6"/>
      <c r="I18" s="6"/>
      <c r="J18" s="8"/>
      <c r="K18" s="2" t="s">
        <v>39</v>
      </c>
      <c r="L18" s="2">
        <f>0/100</f>
        <v>0</v>
      </c>
      <c r="M18" s="2">
        <f t="shared" si="9"/>
        <v>0</v>
      </c>
    </row>
    <row r="19" spans="1:13" ht="31.2" customHeight="1" x14ac:dyDescent="0.25">
      <c r="A19" s="4">
        <v>27.75</v>
      </c>
      <c r="B19" s="4" t="s">
        <v>2</v>
      </c>
      <c r="C19" s="11">
        <f t="shared" si="0"/>
        <v>0.155</v>
      </c>
      <c r="D19" s="6">
        <f t="shared" si="3"/>
        <v>4.3012499999999996</v>
      </c>
      <c r="E19" s="6" t="s">
        <v>45</v>
      </c>
      <c r="F19" s="5">
        <f t="shared" si="6"/>
        <v>0.16800000000000001</v>
      </c>
      <c r="G19" s="6">
        <f>F19*D19</f>
        <v>0.72260999999999997</v>
      </c>
      <c r="H19" s="6" t="s">
        <v>11</v>
      </c>
      <c r="I19" s="6">
        <f>12.4/100</f>
        <v>0.124</v>
      </c>
      <c r="J19" s="6">
        <f>I19*G19</f>
        <v>8.9603639999999998E-2</v>
      </c>
      <c r="K19" s="2" t="s">
        <v>32</v>
      </c>
      <c r="L19" s="2">
        <f>2.5/100</f>
        <v>2.5000000000000001E-2</v>
      </c>
      <c r="M19" s="2">
        <f>L19*G19</f>
        <v>1.8065250000000001E-2</v>
      </c>
    </row>
    <row r="20" spans="1:13" ht="31.2" customHeight="1" x14ac:dyDescent="0.25">
      <c r="A20" s="4">
        <v>27.75</v>
      </c>
      <c r="B20" s="4" t="s">
        <v>2</v>
      </c>
      <c r="C20" s="11">
        <f t="shared" si="0"/>
        <v>0.155</v>
      </c>
      <c r="D20" s="6">
        <f t="shared" si="3"/>
        <v>4.3012499999999996</v>
      </c>
      <c r="E20" s="6" t="s">
        <v>16</v>
      </c>
      <c r="F20" s="5">
        <f t="shared" si="6"/>
        <v>0.16800000000000001</v>
      </c>
      <c r="G20" s="6">
        <f t="shared" ref="G20:G97" si="10">F20*D20</f>
        <v>0.72260999999999997</v>
      </c>
      <c r="H20" s="6" t="s">
        <v>12</v>
      </c>
      <c r="I20" s="6">
        <f>3.2/100</f>
        <v>3.2000000000000001E-2</v>
      </c>
      <c r="J20" s="6">
        <f t="shared" ref="J20:J25" si="11">I20*G20</f>
        <v>2.3123519999999998E-2</v>
      </c>
      <c r="K20" s="2" t="s">
        <v>33</v>
      </c>
      <c r="L20" s="2">
        <f>6.2/100</f>
        <v>6.2E-2</v>
      </c>
      <c r="M20" s="2">
        <f t="shared" ref="M20:M26" si="12">L20*G20</f>
        <v>4.4801819999999999E-2</v>
      </c>
    </row>
    <row r="21" spans="1:13" ht="31.2" customHeight="1" x14ac:dyDescent="0.25">
      <c r="A21" s="4">
        <v>27.75</v>
      </c>
      <c r="B21" s="4" t="s">
        <v>2</v>
      </c>
      <c r="C21" s="11">
        <f t="shared" si="0"/>
        <v>0.155</v>
      </c>
      <c r="D21" s="6">
        <f t="shared" si="3"/>
        <v>4.3012499999999996</v>
      </c>
      <c r="E21" s="6" t="s">
        <v>16</v>
      </c>
      <c r="F21" s="5">
        <f t="shared" si="6"/>
        <v>0.16800000000000001</v>
      </c>
      <c r="G21" s="6">
        <f t="shared" si="10"/>
        <v>0.72260999999999997</v>
      </c>
      <c r="H21" s="6" t="s">
        <v>7</v>
      </c>
      <c r="I21" s="6">
        <f>5/100</f>
        <v>0.05</v>
      </c>
      <c r="J21" s="6">
        <f t="shared" si="11"/>
        <v>3.6130500000000003E-2</v>
      </c>
      <c r="K21" s="2" t="s">
        <v>34</v>
      </c>
      <c r="L21" s="2">
        <f>11.4/100</f>
        <v>0.114</v>
      </c>
      <c r="M21" s="2">
        <f t="shared" si="12"/>
        <v>8.2377539999999999E-2</v>
      </c>
    </row>
    <row r="22" spans="1:13" ht="31.2" customHeight="1" x14ac:dyDescent="0.25">
      <c r="A22" s="4">
        <v>27.75</v>
      </c>
      <c r="B22" s="4" t="s">
        <v>2</v>
      </c>
      <c r="C22" s="11">
        <f t="shared" si="0"/>
        <v>0.155</v>
      </c>
      <c r="D22" s="6">
        <f t="shared" si="3"/>
        <v>4.3012499999999996</v>
      </c>
      <c r="E22" s="6" t="s">
        <v>16</v>
      </c>
      <c r="F22" s="5">
        <f t="shared" si="6"/>
        <v>0.16800000000000001</v>
      </c>
      <c r="G22" s="6">
        <f t="shared" si="10"/>
        <v>0.72260999999999997</v>
      </c>
      <c r="H22" s="6" t="s">
        <v>8</v>
      </c>
      <c r="I22" s="6">
        <f>24.5/100</f>
        <v>0.245</v>
      </c>
      <c r="J22" s="6">
        <f t="shared" si="11"/>
        <v>0.17703944999999999</v>
      </c>
      <c r="K22" s="2" t="s">
        <v>35</v>
      </c>
      <c r="L22" s="2">
        <f>30.4/100</f>
        <v>0.30399999999999999</v>
      </c>
      <c r="M22" s="2">
        <f t="shared" si="12"/>
        <v>0.21967344</v>
      </c>
    </row>
    <row r="23" spans="1:13" ht="31.2" customHeight="1" x14ac:dyDescent="0.25">
      <c r="A23" s="4">
        <v>27.75</v>
      </c>
      <c r="B23" s="4" t="s">
        <v>2</v>
      </c>
      <c r="C23" s="11">
        <f t="shared" si="0"/>
        <v>0.155</v>
      </c>
      <c r="D23" s="6">
        <f t="shared" si="3"/>
        <v>4.3012499999999996</v>
      </c>
      <c r="E23" s="6" t="s">
        <v>16</v>
      </c>
      <c r="F23" s="5">
        <f t="shared" si="6"/>
        <v>0.16800000000000001</v>
      </c>
      <c r="G23" s="6">
        <f t="shared" si="10"/>
        <v>0.72260999999999997</v>
      </c>
      <c r="H23" s="6" t="s">
        <v>10</v>
      </c>
      <c r="I23" s="6">
        <f>4.3/100</f>
        <v>4.2999999999999997E-2</v>
      </c>
      <c r="J23" s="6">
        <f t="shared" si="11"/>
        <v>3.1072229999999996E-2</v>
      </c>
      <c r="K23" s="2" t="s">
        <v>36</v>
      </c>
      <c r="L23" s="2">
        <f>27.5/100</f>
        <v>0.27500000000000002</v>
      </c>
      <c r="M23" s="2">
        <f t="shared" si="12"/>
        <v>0.19871775</v>
      </c>
    </row>
    <row r="24" spans="1:13" ht="31.2" customHeight="1" x14ac:dyDescent="0.25">
      <c r="A24" s="4">
        <v>27.75</v>
      </c>
      <c r="B24" s="4" t="s">
        <v>2</v>
      </c>
      <c r="C24" s="11">
        <f t="shared" si="0"/>
        <v>0.155</v>
      </c>
      <c r="D24" s="6">
        <f t="shared" si="3"/>
        <v>4.3012499999999996</v>
      </c>
      <c r="E24" s="6" t="s">
        <v>16</v>
      </c>
      <c r="F24" s="5">
        <f t="shared" si="6"/>
        <v>0.16800000000000001</v>
      </c>
      <c r="G24" s="6">
        <f t="shared" si="10"/>
        <v>0.72260999999999997</v>
      </c>
      <c r="H24" s="6" t="s">
        <v>9</v>
      </c>
      <c r="I24" s="6">
        <f>48.3/100</f>
        <v>0.48299999999999998</v>
      </c>
      <c r="J24" s="6">
        <f t="shared" si="11"/>
        <v>0.34902063</v>
      </c>
      <c r="K24" s="2" t="s">
        <v>37</v>
      </c>
      <c r="L24" s="2">
        <f>20.4/100</f>
        <v>0.20399999999999999</v>
      </c>
      <c r="M24" s="2">
        <f t="shared" si="12"/>
        <v>0.14741243999999998</v>
      </c>
    </row>
    <row r="25" spans="1:13" ht="31.2" customHeight="1" x14ac:dyDescent="0.25">
      <c r="A25" s="4">
        <v>27.75</v>
      </c>
      <c r="B25" s="4" t="s">
        <v>2</v>
      </c>
      <c r="C25" s="11">
        <f t="shared" si="0"/>
        <v>0.155</v>
      </c>
      <c r="D25" s="6">
        <f t="shared" si="3"/>
        <v>4.3012499999999996</v>
      </c>
      <c r="E25" s="6" t="s">
        <v>16</v>
      </c>
      <c r="F25" s="5">
        <f t="shared" si="6"/>
        <v>0.16800000000000001</v>
      </c>
      <c r="G25" s="6">
        <f t="shared" si="10"/>
        <v>0.72260999999999997</v>
      </c>
      <c r="H25" s="6" t="s">
        <v>58</v>
      </c>
      <c r="I25" s="6">
        <f>2.3/100</f>
        <v>2.3E-2</v>
      </c>
      <c r="J25" s="8">
        <f t="shared" si="11"/>
        <v>1.6620029999999997E-2</v>
      </c>
      <c r="K25" s="2" t="s">
        <v>38</v>
      </c>
      <c r="L25" s="2">
        <f>0.8/100</f>
        <v>8.0000000000000002E-3</v>
      </c>
      <c r="M25" s="2">
        <f t="shared" si="12"/>
        <v>5.7808799999999995E-3</v>
      </c>
    </row>
    <row r="26" spans="1:13" ht="31.2" customHeight="1" x14ac:dyDescent="0.25">
      <c r="A26" s="4">
        <v>27.75</v>
      </c>
      <c r="B26" s="4" t="s">
        <v>2</v>
      </c>
      <c r="C26" s="11">
        <f t="shared" si="0"/>
        <v>0.155</v>
      </c>
      <c r="D26" s="6">
        <f t="shared" si="3"/>
        <v>4.3012499999999996</v>
      </c>
      <c r="E26" s="6" t="s">
        <v>16</v>
      </c>
      <c r="F26" s="5">
        <f t="shared" si="6"/>
        <v>0.16800000000000001</v>
      </c>
      <c r="G26" s="6">
        <f t="shared" si="10"/>
        <v>0.72260999999999997</v>
      </c>
      <c r="H26" s="6"/>
      <c r="I26" s="6"/>
      <c r="J26" s="6"/>
      <c r="K26" s="2" t="s">
        <v>39</v>
      </c>
      <c r="L26" s="2">
        <f>0.7/100</f>
        <v>6.9999999999999993E-3</v>
      </c>
      <c r="M26" s="2">
        <f t="shared" si="12"/>
        <v>5.0582699999999993E-3</v>
      </c>
    </row>
    <row r="27" spans="1:13" ht="31.2" customHeight="1" x14ac:dyDescent="0.25">
      <c r="A27" s="4">
        <v>27.75</v>
      </c>
      <c r="B27" s="4" t="s">
        <v>2</v>
      </c>
      <c r="C27" s="11">
        <f t="shared" si="0"/>
        <v>0.155</v>
      </c>
      <c r="D27" s="6">
        <f t="shared" si="3"/>
        <v>4.3012499999999996</v>
      </c>
      <c r="E27" s="6" t="s">
        <v>46</v>
      </c>
      <c r="F27" s="5">
        <f>17.4/100</f>
        <v>0.17399999999999999</v>
      </c>
      <c r="G27" s="6">
        <f t="shared" si="10"/>
        <v>0.74841749999999985</v>
      </c>
      <c r="H27" s="6" t="s">
        <v>11</v>
      </c>
      <c r="I27" s="8">
        <f>25.3/100</f>
        <v>0.253</v>
      </c>
      <c r="J27" s="8">
        <f>I27*G27</f>
        <v>0.18934962749999995</v>
      </c>
      <c r="K27" s="2" t="s">
        <v>32</v>
      </c>
      <c r="L27" s="2">
        <f>2.3/100</f>
        <v>2.3E-2</v>
      </c>
      <c r="M27" s="2">
        <f>L27*G27</f>
        <v>1.7213602499999998E-2</v>
      </c>
    </row>
    <row r="28" spans="1:13" ht="31.2" customHeight="1" x14ac:dyDescent="0.25">
      <c r="A28" s="4">
        <v>27.75</v>
      </c>
      <c r="B28" s="4" t="s">
        <v>2</v>
      </c>
      <c r="C28" s="11">
        <f t="shared" si="0"/>
        <v>0.155</v>
      </c>
      <c r="D28" s="6">
        <f t="shared" si="3"/>
        <v>4.3012499999999996</v>
      </c>
      <c r="E28" s="6" t="s">
        <v>13</v>
      </c>
      <c r="F28" s="5">
        <f t="shared" ref="F28:F34" si="13">17.4/100</f>
        <v>0.17399999999999999</v>
      </c>
      <c r="G28" s="6">
        <f t="shared" si="10"/>
        <v>0.74841749999999985</v>
      </c>
      <c r="H28" s="6" t="s">
        <v>12</v>
      </c>
      <c r="I28" s="8">
        <f>5.6/100</f>
        <v>5.5999999999999994E-2</v>
      </c>
      <c r="J28" s="8">
        <f t="shared" ref="J28:J33" si="14">I28*G28</f>
        <v>4.1911379999999984E-2</v>
      </c>
      <c r="K28" s="2" t="s">
        <v>33</v>
      </c>
      <c r="L28" s="2">
        <f>5.8/100</f>
        <v>5.7999999999999996E-2</v>
      </c>
      <c r="M28" s="2">
        <f t="shared" ref="M28:M34" si="15">L28*G28</f>
        <v>4.3408214999999986E-2</v>
      </c>
    </row>
    <row r="29" spans="1:13" ht="31.2" customHeight="1" x14ac:dyDescent="0.25">
      <c r="A29" s="4">
        <v>27.75</v>
      </c>
      <c r="B29" s="4" t="s">
        <v>2</v>
      </c>
      <c r="C29" s="11">
        <f t="shared" si="0"/>
        <v>0.155</v>
      </c>
      <c r="D29" s="6">
        <f t="shared" si="3"/>
        <v>4.3012499999999996</v>
      </c>
      <c r="E29" s="6" t="s">
        <v>13</v>
      </c>
      <c r="F29" s="5">
        <f t="shared" si="13"/>
        <v>0.17399999999999999</v>
      </c>
      <c r="G29" s="6">
        <f t="shared" si="10"/>
        <v>0.74841749999999985</v>
      </c>
      <c r="H29" s="6" t="s">
        <v>7</v>
      </c>
      <c r="I29" s="8">
        <f>8.9/100</f>
        <v>8.900000000000001E-2</v>
      </c>
      <c r="J29" s="8">
        <f t="shared" si="14"/>
        <v>6.6609157499999988E-2</v>
      </c>
      <c r="K29" s="2" t="s">
        <v>34</v>
      </c>
      <c r="L29" s="2">
        <f>10/100</f>
        <v>0.1</v>
      </c>
      <c r="M29" s="2">
        <f t="shared" si="15"/>
        <v>7.4841749999999985E-2</v>
      </c>
    </row>
    <row r="30" spans="1:13" ht="31.2" customHeight="1" x14ac:dyDescent="0.25">
      <c r="A30" s="4">
        <v>27.75</v>
      </c>
      <c r="B30" s="4" t="s">
        <v>2</v>
      </c>
      <c r="C30" s="11">
        <f t="shared" si="0"/>
        <v>0.155</v>
      </c>
      <c r="D30" s="6">
        <f t="shared" si="3"/>
        <v>4.3012499999999996</v>
      </c>
      <c r="E30" s="6" t="s">
        <v>13</v>
      </c>
      <c r="F30" s="5">
        <f t="shared" si="13"/>
        <v>0.17399999999999999</v>
      </c>
      <c r="G30" s="6">
        <f t="shared" si="10"/>
        <v>0.74841749999999985</v>
      </c>
      <c r="H30" s="6" t="s">
        <v>8</v>
      </c>
      <c r="I30" s="8">
        <f>29/100</f>
        <v>0.28999999999999998</v>
      </c>
      <c r="J30" s="8">
        <f t="shared" si="14"/>
        <v>0.21704107499999994</v>
      </c>
      <c r="K30" s="2" t="s">
        <v>35</v>
      </c>
      <c r="L30" s="2">
        <f>28.9/100</f>
        <v>0.28899999999999998</v>
      </c>
      <c r="M30" s="2">
        <f t="shared" si="15"/>
        <v>0.21629265749999993</v>
      </c>
    </row>
    <row r="31" spans="1:13" ht="31.2" customHeight="1" x14ac:dyDescent="0.25">
      <c r="A31" s="4">
        <v>27.75</v>
      </c>
      <c r="B31" s="4" t="s">
        <v>2</v>
      </c>
      <c r="C31" s="11">
        <f t="shared" si="0"/>
        <v>0.155</v>
      </c>
      <c r="D31" s="6">
        <f t="shared" si="3"/>
        <v>4.3012499999999996</v>
      </c>
      <c r="E31" s="6" t="s">
        <v>13</v>
      </c>
      <c r="F31" s="5">
        <f t="shared" si="13"/>
        <v>0.17399999999999999</v>
      </c>
      <c r="G31" s="6">
        <f t="shared" si="10"/>
        <v>0.74841749999999985</v>
      </c>
      <c r="H31" s="6" t="s">
        <v>10</v>
      </c>
      <c r="I31" s="8">
        <f>6.6/100</f>
        <v>6.6000000000000003E-2</v>
      </c>
      <c r="J31" s="8">
        <f t="shared" si="14"/>
        <v>4.9395554999999994E-2</v>
      </c>
      <c r="K31" s="2" t="s">
        <v>36</v>
      </c>
      <c r="L31" s="2">
        <f>28.6/100</f>
        <v>0.28600000000000003</v>
      </c>
      <c r="M31" s="2">
        <f t="shared" si="15"/>
        <v>0.21404740499999997</v>
      </c>
    </row>
    <row r="32" spans="1:13" ht="31.2" customHeight="1" x14ac:dyDescent="0.25">
      <c r="A32" s="4">
        <v>27.75</v>
      </c>
      <c r="B32" s="4" t="s">
        <v>2</v>
      </c>
      <c r="C32" s="11">
        <f t="shared" si="0"/>
        <v>0.155</v>
      </c>
      <c r="D32" s="6">
        <f t="shared" si="3"/>
        <v>4.3012499999999996</v>
      </c>
      <c r="E32" s="6" t="s">
        <v>13</v>
      </c>
      <c r="F32" s="5">
        <f t="shared" si="13"/>
        <v>0.17399999999999999</v>
      </c>
      <c r="G32" s="6">
        <f t="shared" si="10"/>
        <v>0.74841749999999985</v>
      </c>
      <c r="H32" s="6" t="s">
        <v>9</v>
      </c>
      <c r="I32" s="8">
        <f>23.6/100</f>
        <v>0.23600000000000002</v>
      </c>
      <c r="J32" s="8">
        <f t="shared" si="14"/>
        <v>0.17662652999999998</v>
      </c>
      <c r="K32" s="2" t="s">
        <v>37</v>
      </c>
      <c r="L32" s="2">
        <f>21.1/100</f>
        <v>0.21100000000000002</v>
      </c>
      <c r="M32" s="2">
        <f t="shared" si="15"/>
        <v>0.15791609249999999</v>
      </c>
    </row>
    <row r="33" spans="1:13" ht="31.2" customHeight="1" x14ac:dyDescent="0.25">
      <c r="A33" s="4">
        <v>27.75</v>
      </c>
      <c r="B33" s="4" t="s">
        <v>2</v>
      </c>
      <c r="C33" s="11">
        <f t="shared" si="0"/>
        <v>0.155</v>
      </c>
      <c r="D33" s="6">
        <f t="shared" si="3"/>
        <v>4.3012499999999996</v>
      </c>
      <c r="E33" s="6" t="s">
        <v>13</v>
      </c>
      <c r="F33" s="5">
        <f t="shared" si="13"/>
        <v>0.17399999999999999</v>
      </c>
      <c r="G33" s="6">
        <f t="shared" si="10"/>
        <v>0.74841749999999985</v>
      </c>
      <c r="H33" s="6" t="s">
        <v>58</v>
      </c>
      <c r="I33" s="6">
        <f>1/100</f>
        <v>0.01</v>
      </c>
      <c r="J33" s="8">
        <f t="shared" si="14"/>
        <v>7.4841749999999983E-3</v>
      </c>
      <c r="K33" s="2" t="s">
        <v>38</v>
      </c>
      <c r="L33" s="2">
        <f>2.6/100</f>
        <v>2.6000000000000002E-2</v>
      </c>
      <c r="M33" s="2">
        <f t="shared" si="15"/>
        <v>1.9458854999999997E-2</v>
      </c>
    </row>
    <row r="34" spans="1:13" ht="31.2" customHeight="1" x14ac:dyDescent="0.25">
      <c r="A34" s="4">
        <v>27.75</v>
      </c>
      <c r="B34" s="4" t="s">
        <v>2</v>
      </c>
      <c r="C34" s="11">
        <f t="shared" si="0"/>
        <v>0.155</v>
      </c>
      <c r="D34" s="6">
        <f t="shared" si="3"/>
        <v>4.3012499999999996</v>
      </c>
      <c r="E34" s="6" t="s">
        <v>13</v>
      </c>
      <c r="F34" s="5">
        <f t="shared" si="13"/>
        <v>0.17399999999999999</v>
      </c>
      <c r="G34" s="6">
        <f t="shared" si="10"/>
        <v>0.74841749999999985</v>
      </c>
      <c r="H34" s="6"/>
      <c r="I34" s="8"/>
      <c r="J34" s="8"/>
      <c r="K34" s="2" t="s">
        <v>39</v>
      </c>
      <c r="L34" s="2">
        <f>0.7/100</f>
        <v>6.9999999999999993E-3</v>
      </c>
      <c r="M34" s="2">
        <f t="shared" si="15"/>
        <v>5.238922499999998E-3</v>
      </c>
    </row>
    <row r="35" spans="1:13" ht="31.2" customHeight="1" x14ac:dyDescent="0.25">
      <c r="A35" s="4">
        <v>27.75</v>
      </c>
      <c r="B35" s="4" t="s">
        <v>2</v>
      </c>
      <c r="C35" s="11">
        <f t="shared" si="0"/>
        <v>0.155</v>
      </c>
      <c r="D35" s="6">
        <f t="shared" si="3"/>
        <v>4.3012499999999996</v>
      </c>
      <c r="E35" s="8" t="s">
        <v>47</v>
      </c>
      <c r="F35" s="5">
        <f>9/100</f>
        <v>0.09</v>
      </c>
      <c r="G35" s="6">
        <f t="shared" si="10"/>
        <v>0.38711249999999997</v>
      </c>
      <c r="H35" s="6" t="s">
        <v>11</v>
      </c>
      <c r="I35" s="6">
        <f>0/100</f>
        <v>0</v>
      </c>
      <c r="J35" s="6">
        <f>I35*G35</f>
        <v>0</v>
      </c>
      <c r="K35" s="2" t="s">
        <v>32</v>
      </c>
      <c r="L35" s="2">
        <f>0/100</f>
        <v>0</v>
      </c>
      <c r="M35" s="2">
        <f>L35*G35</f>
        <v>0</v>
      </c>
    </row>
    <row r="36" spans="1:13" ht="31.2" customHeight="1" x14ac:dyDescent="0.25">
      <c r="A36" s="4">
        <v>27.75</v>
      </c>
      <c r="B36" s="4" t="s">
        <v>2</v>
      </c>
      <c r="C36" s="11">
        <f t="shared" si="0"/>
        <v>0.155</v>
      </c>
      <c r="D36" s="6">
        <f t="shared" si="3"/>
        <v>4.3012499999999996</v>
      </c>
      <c r="E36" s="8" t="s">
        <v>17</v>
      </c>
      <c r="F36" s="5">
        <f t="shared" ref="F36:F42" si="16">9/100</f>
        <v>0.09</v>
      </c>
      <c r="G36" s="6">
        <f t="shared" si="10"/>
        <v>0.38711249999999997</v>
      </c>
      <c r="H36" s="6" t="s">
        <v>12</v>
      </c>
      <c r="I36" s="6">
        <f>0/100</f>
        <v>0</v>
      </c>
      <c r="J36" s="6">
        <f t="shared" ref="J36:J41" si="17">I36*G36</f>
        <v>0</v>
      </c>
      <c r="K36" s="2" t="s">
        <v>33</v>
      </c>
      <c r="L36" s="2">
        <f>5.9/100</f>
        <v>5.9000000000000004E-2</v>
      </c>
      <c r="M36" s="2">
        <f t="shared" ref="M36:M42" si="18">L36*G36</f>
        <v>2.2839637499999999E-2</v>
      </c>
    </row>
    <row r="37" spans="1:13" ht="31.2" customHeight="1" x14ac:dyDescent="0.25">
      <c r="A37" s="4">
        <v>27.75</v>
      </c>
      <c r="B37" s="4" t="s">
        <v>2</v>
      </c>
      <c r="C37" s="11">
        <f t="shared" si="0"/>
        <v>0.155</v>
      </c>
      <c r="D37" s="6">
        <f t="shared" si="3"/>
        <v>4.3012499999999996</v>
      </c>
      <c r="E37" s="8" t="s">
        <v>17</v>
      </c>
      <c r="F37" s="5">
        <f t="shared" si="16"/>
        <v>0.09</v>
      </c>
      <c r="G37" s="6">
        <f t="shared" si="10"/>
        <v>0.38711249999999997</v>
      </c>
      <c r="H37" s="6" t="s">
        <v>7</v>
      </c>
      <c r="I37" s="6">
        <f>0/100</f>
        <v>0</v>
      </c>
      <c r="J37" s="6">
        <f t="shared" si="17"/>
        <v>0</v>
      </c>
      <c r="K37" s="2" t="s">
        <v>34</v>
      </c>
      <c r="L37" s="2">
        <f>5.9/100</f>
        <v>5.9000000000000004E-2</v>
      </c>
      <c r="M37" s="2">
        <f t="shared" si="18"/>
        <v>2.2839637499999999E-2</v>
      </c>
    </row>
    <row r="38" spans="1:13" ht="31.2" customHeight="1" x14ac:dyDescent="0.25">
      <c r="A38" s="4">
        <v>27.75</v>
      </c>
      <c r="B38" s="4" t="s">
        <v>2</v>
      </c>
      <c r="C38" s="11">
        <f t="shared" si="0"/>
        <v>0.155</v>
      </c>
      <c r="D38" s="6">
        <f t="shared" si="3"/>
        <v>4.3012499999999996</v>
      </c>
      <c r="E38" s="8" t="s">
        <v>17</v>
      </c>
      <c r="F38" s="5">
        <f t="shared" si="16"/>
        <v>0.09</v>
      </c>
      <c r="G38" s="6">
        <f t="shared" si="10"/>
        <v>0.38711249999999997</v>
      </c>
      <c r="H38" s="6" t="s">
        <v>8</v>
      </c>
      <c r="I38" s="6">
        <f>43.2/100</f>
        <v>0.43200000000000005</v>
      </c>
      <c r="J38" s="6">
        <f t="shared" si="17"/>
        <v>0.16723260000000001</v>
      </c>
      <c r="K38" s="2" t="s">
        <v>35</v>
      </c>
      <c r="L38" s="2">
        <f>50.8/100</f>
        <v>0.50800000000000001</v>
      </c>
      <c r="M38" s="2">
        <f t="shared" si="18"/>
        <v>0.19665315</v>
      </c>
    </row>
    <row r="39" spans="1:13" ht="31.2" customHeight="1" x14ac:dyDescent="0.25">
      <c r="A39" s="4">
        <v>27.75</v>
      </c>
      <c r="B39" s="4" t="s">
        <v>2</v>
      </c>
      <c r="C39" s="11">
        <f t="shared" si="0"/>
        <v>0.155</v>
      </c>
      <c r="D39" s="6">
        <f t="shared" si="3"/>
        <v>4.3012499999999996</v>
      </c>
      <c r="E39" s="8" t="s">
        <v>17</v>
      </c>
      <c r="F39" s="5">
        <f t="shared" si="16"/>
        <v>0.09</v>
      </c>
      <c r="G39" s="6">
        <f t="shared" si="10"/>
        <v>0.38711249999999997</v>
      </c>
      <c r="H39" s="6" t="s">
        <v>10</v>
      </c>
      <c r="I39" s="6">
        <f>5.9/100</f>
        <v>5.9000000000000004E-2</v>
      </c>
      <c r="J39" s="6">
        <f t="shared" si="17"/>
        <v>2.2839637499999999E-2</v>
      </c>
      <c r="K39" s="2" t="s">
        <v>36</v>
      </c>
      <c r="L39" s="2">
        <f>25.4/100</f>
        <v>0.254</v>
      </c>
      <c r="M39" s="2">
        <f t="shared" si="18"/>
        <v>9.8326574999999999E-2</v>
      </c>
    </row>
    <row r="40" spans="1:13" ht="31.2" customHeight="1" x14ac:dyDescent="0.25">
      <c r="A40" s="4">
        <v>27.75</v>
      </c>
      <c r="B40" s="4" t="s">
        <v>2</v>
      </c>
      <c r="C40" s="11">
        <f t="shared" si="0"/>
        <v>0.155</v>
      </c>
      <c r="D40" s="6">
        <f t="shared" si="3"/>
        <v>4.3012499999999996</v>
      </c>
      <c r="E40" s="8" t="s">
        <v>17</v>
      </c>
      <c r="F40" s="5">
        <f t="shared" si="16"/>
        <v>0.09</v>
      </c>
      <c r="G40" s="6">
        <f t="shared" si="10"/>
        <v>0.38711249999999997</v>
      </c>
      <c r="H40" s="6" t="s">
        <v>9</v>
      </c>
      <c r="I40" s="6">
        <f>50.8/100</f>
        <v>0.50800000000000001</v>
      </c>
      <c r="J40" s="6">
        <f t="shared" si="17"/>
        <v>0.19665315</v>
      </c>
      <c r="K40" s="2" t="s">
        <v>37</v>
      </c>
      <c r="L40" s="2">
        <f>11.9/100</f>
        <v>0.11900000000000001</v>
      </c>
      <c r="M40" s="2">
        <f t="shared" si="18"/>
        <v>4.60663875E-2</v>
      </c>
    </row>
    <row r="41" spans="1:13" ht="31.2" customHeight="1" x14ac:dyDescent="0.25">
      <c r="A41" s="4">
        <v>27.75</v>
      </c>
      <c r="B41" s="4" t="s">
        <v>2</v>
      </c>
      <c r="C41" s="11">
        <f t="shared" si="0"/>
        <v>0.155</v>
      </c>
      <c r="D41" s="6">
        <f t="shared" si="3"/>
        <v>4.3012499999999996</v>
      </c>
      <c r="E41" s="8" t="s">
        <v>17</v>
      </c>
      <c r="F41" s="5">
        <f t="shared" si="16"/>
        <v>0.09</v>
      </c>
      <c r="G41" s="6">
        <f t="shared" si="10"/>
        <v>0.38711249999999997</v>
      </c>
      <c r="H41" s="6" t="s">
        <v>58</v>
      </c>
      <c r="I41" s="6">
        <f>0/100</f>
        <v>0</v>
      </c>
      <c r="J41" s="6">
        <f t="shared" si="17"/>
        <v>0</v>
      </c>
      <c r="K41" s="2" t="s">
        <v>38</v>
      </c>
      <c r="L41" s="2">
        <f>0/100</f>
        <v>0</v>
      </c>
      <c r="M41" s="2">
        <f t="shared" si="18"/>
        <v>0</v>
      </c>
    </row>
    <row r="42" spans="1:13" ht="31.2" customHeight="1" x14ac:dyDescent="0.25">
      <c r="A42" s="4">
        <v>27.75</v>
      </c>
      <c r="B42" s="4" t="s">
        <v>2</v>
      </c>
      <c r="C42" s="11">
        <f t="shared" si="0"/>
        <v>0.155</v>
      </c>
      <c r="D42" s="6">
        <f t="shared" si="3"/>
        <v>4.3012499999999996</v>
      </c>
      <c r="E42" s="8" t="s">
        <v>17</v>
      </c>
      <c r="F42" s="5">
        <f t="shared" si="16"/>
        <v>0.09</v>
      </c>
      <c r="G42" s="6">
        <f t="shared" si="10"/>
        <v>0.38711249999999997</v>
      </c>
      <c r="H42" s="6"/>
      <c r="I42" s="6"/>
      <c r="J42" s="6"/>
      <c r="K42" s="2" t="s">
        <v>39</v>
      </c>
      <c r="L42" s="2">
        <f>0/100</f>
        <v>0</v>
      </c>
      <c r="M42" s="2">
        <f t="shared" si="18"/>
        <v>0</v>
      </c>
    </row>
    <row r="43" spans="1:13" ht="31.2" customHeight="1" x14ac:dyDescent="0.25">
      <c r="A43" s="4">
        <v>27.75</v>
      </c>
      <c r="B43" s="4" t="s">
        <v>2</v>
      </c>
      <c r="C43" s="11">
        <f t="shared" si="0"/>
        <v>0.155</v>
      </c>
      <c r="D43" s="6">
        <f t="shared" si="3"/>
        <v>4.3012499999999996</v>
      </c>
      <c r="E43" s="2" t="s">
        <v>18</v>
      </c>
      <c r="F43" s="5">
        <f>9.5/100</f>
        <v>9.5000000000000001E-2</v>
      </c>
      <c r="G43" s="6">
        <f t="shared" si="10"/>
        <v>0.40861874999999998</v>
      </c>
      <c r="H43" s="6" t="s">
        <v>11</v>
      </c>
      <c r="I43" s="6">
        <f>37.3/100</f>
        <v>0.373</v>
      </c>
      <c r="J43" s="6">
        <f>I43*G43</f>
        <v>0.15241479375</v>
      </c>
      <c r="K43" s="2" t="s">
        <v>32</v>
      </c>
      <c r="L43" s="2">
        <f>1.9/100</f>
        <v>1.9E-2</v>
      </c>
      <c r="M43" s="2">
        <f>L43*G43</f>
        <v>7.7637562499999991E-3</v>
      </c>
    </row>
    <row r="44" spans="1:13" ht="31.2" customHeight="1" x14ac:dyDescent="0.25">
      <c r="A44" s="4">
        <v>27.75</v>
      </c>
      <c r="B44" s="4" t="s">
        <v>2</v>
      </c>
      <c r="C44" s="11">
        <f t="shared" si="0"/>
        <v>0.155</v>
      </c>
      <c r="D44" s="6">
        <f t="shared" si="3"/>
        <v>4.3012499999999996</v>
      </c>
      <c r="E44" s="2" t="s">
        <v>18</v>
      </c>
      <c r="F44" s="5">
        <f t="shared" ref="F44:F50" si="19">9.5/100</f>
        <v>9.5000000000000001E-2</v>
      </c>
      <c r="G44" s="6">
        <f t="shared" si="10"/>
        <v>0.40861874999999998</v>
      </c>
      <c r="H44" s="6" t="s">
        <v>12</v>
      </c>
      <c r="I44" s="6">
        <f>3.4/100</f>
        <v>3.4000000000000002E-2</v>
      </c>
      <c r="J44" s="6">
        <f t="shared" ref="J44:J49" si="20">I44*G44</f>
        <v>1.38930375E-2</v>
      </c>
      <c r="K44" s="2" t="s">
        <v>33</v>
      </c>
      <c r="L44" s="2">
        <f>6/100</f>
        <v>0.06</v>
      </c>
      <c r="M44" s="2">
        <f t="shared" ref="M44:M50" si="21">L44*G44</f>
        <v>2.4517124999999997E-2</v>
      </c>
    </row>
    <row r="45" spans="1:13" ht="31.2" customHeight="1" x14ac:dyDescent="0.25">
      <c r="A45" s="4">
        <v>27.75</v>
      </c>
      <c r="B45" s="4" t="s">
        <v>2</v>
      </c>
      <c r="C45" s="11">
        <f t="shared" si="0"/>
        <v>0.155</v>
      </c>
      <c r="D45" s="6">
        <f t="shared" si="3"/>
        <v>4.3012499999999996</v>
      </c>
      <c r="E45" s="2" t="s">
        <v>18</v>
      </c>
      <c r="F45" s="5">
        <f t="shared" si="19"/>
        <v>9.5000000000000001E-2</v>
      </c>
      <c r="G45" s="6">
        <f t="shared" si="10"/>
        <v>0.40861874999999998</v>
      </c>
      <c r="H45" s="6" t="s">
        <v>7</v>
      </c>
      <c r="I45" s="6">
        <f>7.5/100</f>
        <v>7.4999999999999997E-2</v>
      </c>
      <c r="J45" s="6">
        <f t="shared" si="20"/>
        <v>3.0646406249999997E-2</v>
      </c>
      <c r="K45" s="2" t="s">
        <v>34</v>
      </c>
      <c r="L45" s="2">
        <f>11.2/100</f>
        <v>0.11199999999999999</v>
      </c>
      <c r="M45" s="2">
        <f t="shared" si="21"/>
        <v>4.5765299999999995E-2</v>
      </c>
    </row>
    <row r="46" spans="1:13" ht="31.2" customHeight="1" x14ac:dyDescent="0.25">
      <c r="A46" s="4">
        <v>27.75</v>
      </c>
      <c r="B46" s="4" t="s">
        <v>2</v>
      </c>
      <c r="C46" s="11">
        <f t="shared" si="0"/>
        <v>0.155</v>
      </c>
      <c r="D46" s="6">
        <f t="shared" si="3"/>
        <v>4.3012499999999996</v>
      </c>
      <c r="E46" s="2" t="s">
        <v>18</v>
      </c>
      <c r="F46" s="5">
        <f t="shared" si="19"/>
        <v>9.5000000000000001E-2</v>
      </c>
      <c r="G46" s="6">
        <f t="shared" si="10"/>
        <v>0.40861874999999998</v>
      </c>
      <c r="H46" s="6" t="s">
        <v>8</v>
      </c>
      <c r="I46" s="6">
        <f>24.2/100</f>
        <v>0.24199999999999999</v>
      </c>
      <c r="J46" s="6">
        <f t="shared" si="20"/>
        <v>9.8885737499999987E-2</v>
      </c>
      <c r="K46" s="2" t="s">
        <v>35</v>
      </c>
      <c r="L46" s="2">
        <f>32.9/100</f>
        <v>0.32899999999999996</v>
      </c>
      <c r="M46" s="2">
        <f t="shared" si="21"/>
        <v>0.13443556874999998</v>
      </c>
    </row>
    <row r="47" spans="1:13" ht="31.2" customHeight="1" x14ac:dyDescent="0.25">
      <c r="A47" s="4">
        <v>27.75</v>
      </c>
      <c r="B47" s="4" t="s">
        <v>2</v>
      </c>
      <c r="C47" s="11">
        <f t="shared" si="0"/>
        <v>0.155</v>
      </c>
      <c r="D47" s="6">
        <f t="shared" si="3"/>
        <v>4.3012499999999996</v>
      </c>
      <c r="E47" s="2" t="s">
        <v>18</v>
      </c>
      <c r="F47" s="5">
        <f t="shared" si="19"/>
        <v>9.5000000000000001E-2</v>
      </c>
      <c r="G47" s="6">
        <f t="shared" si="10"/>
        <v>0.40861874999999998</v>
      </c>
      <c r="H47" s="6" t="s">
        <v>10</v>
      </c>
      <c r="I47" s="6">
        <f>4.1/100</f>
        <v>4.0999999999999995E-2</v>
      </c>
      <c r="J47" s="6">
        <f t="shared" si="20"/>
        <v>1.6753368749999997E-2</v>
      </c>
      <c r="K47" s="2" t="s">
        <v>36</v>
      </c>
      <c r="L47" s="2">
        <f>25.9/100</f>
        <v>0.25900000000000001</v>
      </c>
      <c r="M47" s="2">
        <f t="shared" si="21"/>
        <v>0.10583225624999999</v>
      </c>
    </row>
    <row r="48" spans="1:13" ht="31.2" customHeight="1" x14ac:dyDescent="0.25">
      <c r="A48" s="4">
        <v>27.75</v>
      </c>
      <c r="B48" s="4" t="s">
        <v>2</v>
      </c>
      <c r="C48" s="11">
        <f t="shared" si="0"/>
        <v>0.155</v>
      </c>
      <c r="D48" s="6">
        <f t="shared" si="3"/>
        <v>4.3012499999999996</v>
      </c>
      <c r="E48" s="2" t="s">
        <v>48</v>
      </c>
      <c r="F48" s="5">
        <f t="shared" si="19"/>
        <v>9.5000000000000001E-2</v>
      </c>
      <c r="G48" s="6">
        <f t="shared" si="10"/>
        <v>0.40861874999999998</v>
      </c>
      <c r="H48" s="6" t="s">
        <v>9</v>
      </c>
      <c r="I48" s="6">
        <f>23/100</f>
        <v>0.23</v>
      </c>
      <c r="J48" s="6">
        <f t="shared" si="20"/>
        <v>9.3982312499999998E-2</v>
      </c>
      <c r="K48" s="2" t="s">
        <v>37</v>
      </c>
      <c r="L48" s="2">
        <f>16.8/100</f>
        <v>0.16800000000000001</v>
      </c>
      <c r="M48" s="2">
        <f t="shared" si="21"/>
        <v>6.8647949999999999E-2</v>
      </c>
    </row>
    <row r="49" spans="1:13" ht="31.2" customHeight="1" x14ac:dyDescent="0.25">
      <c r="A49" s="4">
        <v>27.75</v>
      </c>
      <c r="B49" s="4" t="s">
        <v>2</v>
      </c>
      <c r="C49" s="11">
        <f t="shared" si="0"/>
        <v>0.155</v>
      </c>
      <c r="D49" s="6">
        <f t="shared" si="3"/>
        <v>4.3012499999999996</v>
      </c>
      <c r="E49" s="2" t="s">
        <v>18</v>
      </c>
      <c r="F49" s="5">
        <f t="shared" si="19"/>
        <v>9.5000000000000001E-2</v>
      </c>
      <c r="G49" s="6">
        <f t="shared" si="10"/>
        <v>0.40861874999999998</v>
      </c>
      <c r="H49" s="6" t="s">
        <v>58</v>
      </c>
      <c r="I49" s="6">
        <f>0.4/100</f>
        <v>4.0000000000000001E-3</v>
      </c>
      <c r="J49" s="6">
        <f t="shared" si="20"/>
        <v>1.634475E-3</v>
      </c>
      <c r="K49" s="2" t="s">
        <v>38</v>
      </c>
      <c r="L49" s="2">
        <f>2.8/100</f>
        <v>2.7999999999999997E-2</v>
      </c>
      <c r="M49" s="2">
        <f t="shared" si="21"/>
        <v>1.1441324999999999E-2</v>
      </c>
    </row>
    <row r="50" spans="1:13" ht="31.2" customHeight="1" x14ac:dyDescent="0.25">
      <c r="A50" s="4">
        <v>27.75</v>
      </c>
      <c r="B50" s="4" t="s">
        <v>2</v>
      </c>
      <c r="C50" s="11">
        <f t="shared" si="0"/>
        <v>0.155</v>
      </c>
      <c r="D50" s="6">
        <f t="shared" si="3"/>
        <v>4.3012499999999996</v>
      </c>
      <c r="E50" s="2" t="s">
        <v>18</v>
      </c>
      <c r="F50" s="5">
        <f t="shared" si="19"/>
        <v>9.5000000000000001E-2</v>
      </c>
      <c r="G50" s="6">
        <f t="shared" si="10"/>
        <v>0.40861874999999998</v>
      </c>
      <c r="H50" s="6"/>
      <c r="I50" s="6"/>
      <c r="J50" s="6"/>
      <c r="K50" s="2" t="s">
        <v>39</v>
      </c>
      <c r="L50" s="2">
        <f>2.5/100</f>
        <v>2.5000000000000001E-2</v>
      </c>
      <c r="M50" s="2">
        <f t="shared" si="21"/>
        <v>1.021546875E-2</v>
      </c>
    </row>
    <row r="51" spans="1:13" ht="31.2" customHeight="1" x14ac:dyDescent="0.25">
      <c r="A51" s="4">
        <v>27.75</v>
      </c>
      <c r="B51" s="2" t="s">
        <v>19</v>
      </c>
      <c r="C51" s="12">
        <f>84.5/100</f>
        <v>0.84499999999999997</v>
      </c>
      <c r="D51" s="6">
        <f t="shared" si="3"/>
        <v>23.44875</v>
      </c>
      <c r="E51" s="6" t="s">
        <v>14</v>
      </c>
      <c r="F51" s="5">
        <f>81/100</f>
        <v>0.81</v>
      </c>
      <c r="G51" s="6">
        <f t="shared" si="10"/>
        <v>18.993487500000001</v>
      </c>
      <c r="H51" s="6" t="s">
        <v>11</v>
      </c>
      <c r="I51" s="6">
        <f>11.4/100</f>
        <v>0.114</v>
      </c>
      <c r="J51" s="6">
        <f>I51*G51</f>
        <v>2.165257575</v>
      </c>
      <c r="K51" s="2" t="s">
        <v>32</v>
      </c>
      <c r="L51" s="2">
        <f>3.1/100</f>
        <v>3.1E-2</v>
      </c>
      <c r="M51" s="2">
        <f>L51*G51</f>
        <v>0.58879811250000003</v>
      </c>
    </row>
    <row r="52" spans="1:13" ht="31.2" customHeight="1" x14ac:dyDescent="0.25">
      <c r="A52" s="4">
        <v>27.75</v>
      </c>
      <c r="B52" s="2" t="s">
        <v>19</v>
      </c>
      <c r="C52" s="12">
        <f>84.5/100</f>
        <v>0.84499999999999997</v>
      </c>
      <c r="D52" s="6">
        <f t="shared" si="3"/>
        <v>23.44875</v>
      </c>
      <c r="E52" s="6" t="s">
        <v>14</v>
      </c>
      <c r="F52" s="5">
        <f t="shared" ref="F52:F58" si="22">81/100</f>
        <v>0.81</v>
      </c>
      <c r="G52" s="6">
        <f t="shared" si="10"/>
        <v>18.993487500000001</v>
      </c>
      <c r="H52" s="6" t="s">
        <v>12</v>
      </c>
      <c r="I52" s="6">
        <f>10.5/100</f>
        <v>0.105</v>
      </c>
      <c r="J52" s="6">
        <f t="shared" ref="J52:J57" si="23">I52*G52</f>
        <v>1.9943161874999999</v>
      </c>
      <c r="K52" s="2" t="s">
        <v>33</v>
      </c>
      <c r="L52" s="2">
        <f>7.5/100</f>
        <v>7.4999999999999997E-2</v>
      </c>
      <c r="M52" s="2">
        <f t="shared" ref="M52:M58" si="24">L52*G52</f>
        <v>1.4245115625</v>
      </c>
    </row>
    <row r="53" spans="1:13" ht="31.2" customHeight="1" x14ac:dyDescent="0.25">
      <c r="A53" s="4">
        <v>27.75</v>
      </c>
      <c r="B53" s="2" t="s">
        <v>19</v>
      </c>
      <c r="C53" s="12">
        <f t="shared" ref="C53:C98" si="25">84.5/100</f>
        <v>0.84499999999999997</v>
      </c>
      <c r="D53" s="6">
        <f t="shared" si="3"/>
        <v>23.44875</v>
      </c>
      <c r="E53" s="6" t="s">
        <v>14</v>
      </c>
      <c r="F53" s="5">
        <f t="shared" si="22"/>
        <v>0.81</v>
      </c>
      <c r="G53" s="6">
        <f t="shared" si="10"/>
        <v>18.993487500000001</v>
      </c>
      <c r="H53" s="6" t="s">
        <v>7</v>
      </c>
      <c r="I53" s="6">
        <f>12/100</f>
        <v>0.12</v>
      </c>
      <c r="J53" s="6">
        <f t="shared" si="23"/>
        <v>2.2792184999999998</v>
      </c>
      <c r="K53" s="2" t="s">
        <v>34</v>
      </c>
      <c r="L53" s="2">
        <f>11.8/100</f>
        <v>0.11800000000000001</v>
      </c>
      <c r="M53" s="2">
        <f t="shared" si="24"/>
        <v>2.2412315250000003</v>
      </c>
    </row>
    <row r="54" spans="1:13" ht="31.2" customHeight="1" x14ac:dyDescent="0.25">
      <c r="A54" s="4">
        <v>27.75</v>
      </c>
      <c r="B54" s="2" t="s">
        <v>19</v>
      </c>
      <c r="C54" s="12">
        <f t="shared" si="25"/>
        <v>0.84499999999999997</v>
      </c>
      <c r="D54" s="6">
        <f t="shared" si="3"/>
        <v>23.44875</v>
      </c>
      <c r="E54" s="6" t="s">
        <v>14</v>
      </c>
      <c r="F54" s="5">
        <f t="shared" si="22"/>
        <v>0.81</v>
      </c>
      <c r="G54" s="6">
        <f t="shared" si="10"/>
        <v>18.993487500000001</v>
      </c>
      <c r="H54" s="6" t="s">
        <v>8</v>
      </c>
      <c r="I54" s="6">
        <f>34.1/100</f>
        <v>0.34100000000000003</v>
      </c>
      <c r="J54" s="6">
        <f t="shared" si="23"/>
        <v>6.4767792375000006</v>
      </c>
      <c r="K54" s="2" t="s">
        <v>35</v>
      </c>
      <c r="L54" s="2">
        <f>28.8/100</f>
        <v>0.28800000000000003</v>
      </c>
      <c r="M54" s="2">
        <f t="shared" si="24"/>
        <v>5.4701244000000004</v>
      </c>
    </row>
    <row r="55" spans="1:13" ht="31.2" customHeight="1" x14ac:dyDescent="0.25">
      <c r="A55" s="4">
        <v>27.75</v>
      </c>
      <c r="B55" s="2" t="s">
        <v>19</v>
      </c>
      <c r="C55" s="12">
        <f t="shared" si="25"/>
        <v>0.84499999999999997</v>
      </c>
      <c r="D55" s="6">
        <f t="shared" si="3"/>
        <v>23.44875</v>
      </c>
      <c r="E55" s="6" t="s">
        <v>14</v>
      </c>
      <c r="F55" s="5">
        <f t="shared" si="22"/>
        <v>0.81</v>
      </c>
      <c r="G55" s="6">
        <f t="shared" si="10"/>
        <v>18.993487500000001</v>
      </c>
      <c r="H55" s="6" t="s">
        <v>10</v>
      </c>
      <c r="I55" s="6">
        <f>5.3/100</f>
        <v>5.2999999999999999E-2</v>
      </c>
      <c r="J55" s="6">
        <f t="shared" si="23"/>
        <v>1.0066548375</v>
      </c>
      <c r="K55" s="2" t="s">
        <v>36</v>
      </c>
      <c r="L55" s="2">
        <f>25.2/100</f>
        <v>0.252</v>
      </c>
      <c r="M55" s="2">
        <f t="shared" si="24"/>
        <v>4.7863588500000001</v>
      </c>
    </row>
    <row r="56" spans="1:13" ht="31.2" customHeight="1" x14ac:dyDescent="0.25">
      <c r="A56" s="4">
        <v>27.75</v>
      </c>
      <c r="B56" s="2" t="s">
        <v>19</v>
      </c>
      <c r="C56" s="12">
        <f t="shared" si="25"/>
        <v>0.84499999999999997</v>
      </c>
      <c r="D56" s="6">
        <f t="shared" si="3"/>
        <v>23.44875</v>
      </c>
      <c r="E56" s="6" t="s">
        <v>14</v>
      </c>
      <c r="F56" s="5">
        <f t="shared" si="22"/>
        <v>0.81</v>
      </c>
      <c r="G56" s="6">
        <f t="shared" si="10"/>
        <v>18.993487500000001</v>
      </c>
      <c r="H56" s="6" t="s">
        <v>9</v>
      </c>
      <c r="I56" s="6">
        <f>25.3/100</f>
        <v>0.253</v>
      </c>
      <c r="J56" s="6">
        <f t="shared" si="23"/>
        <v>4.8053523375000005</v>
      </c>
      <c r="K56" s="2" t="s">
        <v>37</v>
      </c>
      <c r="L56" s="2">
        <f>19.1/100</f>
        <v>0.191</v>
      </c>
      <c r="M56" s="2">
        <f t="shared" si="24"/>
        <v>3.6277561125000002</v>
      </c>
    </row>
    <row r="57" spans="1:13" ht="31.2" customHeight="1" x14ac:dyDescent="0.25">
      <c r="A57" s="4">
        <v>27.75</v>
      </c>
      <c r="B57" s="2" t="s">
        <v>19</v>
      </c>
      <c r="C57" s="12">
        <f t="shared" si="25"/>
        <v>0.84499999999999997</v>
      </c>
      <c r="D57" s="6">
        <f t="shared" si="3"/>
        <v>23.44875</v>
      </c>
      <c r="E57" s="6" t="s">
        <v>14</v>
      </c>
      <c r="F57" s="5">
        <f t="shared" si="22"/>
        <v>0.81</v>
      </c>
      <c r="G57" s="6">
        <f t="shared" si="10"/>
        <v>18.993487500000001</v>
      </c>
      <c r="H57" s="6" t="s">
        <v>58</v>
      </c>
      <c r="I57" s="6">
        <f>1.5/100</f>
        <v>1.4999999999999999E-2</v>
      </c>
      <c r="J57" s="6">
        <f t="shared" si="23"/>
        <v>0.28490231249999998</v>
      </c>
      <c r="K57" s="2" t="s">
        <v>38</v>
      </c>
      <c r="L57" s="2">
        <f>3.3/100</f>
        <v>3.3000000000000002E-2</v>
      </c>
      <c r="M57" s="2">
        <f t="shared" si="24"/>
        <v>0.62678508750000006</v>
      </c>
    </row>
    <row r="58" spans="1:13" ht="31.2" customHeight="1" x14ac:dyDescent="0.25">
      <c r="A58" s="4">
        <v>27.75</v>
      </c>
      <c r="B58" s="2" t="s">
        <v>19</v>
      </c>
      <c r="C58" s="12">
        <f t="shared" si="25"/>
        <v>0.84499999999999997</v>
      </c>
      <c r="D58" s="6">
        <f t="shared" si="3"/>
        <v>23.44875</v>
      </c>
      <c r="E58" s="6" t="s">
        <v>14</v>
      </c>
      <c r="F58" s="5">
        <f t="shared" si="22"/>
        <v>0.81</v>
      </c>
      <c r="G58" s="6">
        <f t="shared" si="10"/>
        <v>18.993487500000001</v>
      </c>
      <c r="H58" s="6"/>
      <c r="I58" s="6"/>
      <c r="J58" s="6"/>
      <c r="K58" s="2" t="s">
        <v>39</v>
      </c>
      <c r="L58" s="2">
        <f>1.2/100</f>
        <v>1.2E-2</v>
      </c>
      <c r="M58" s="2">
        <f t="shared" si="24"/>
        <v>0.22792185000000001</v>
      </c>
    </row>
    <row r="59" spans="1:13" ht="32.25" customHeight="1" x14ac:dyDescent="0.25">
      <c r="A59" s="4">
        <v>27.75</v>
      </c>
      <c r="B59" s="2" t="s">
        <v>19</v>
      </c>
      <c r="C59" s="12">
        <f t="shared" si="25"/>
        <v>0.84499999999999997</v>
      </c>
      <c r="D59" s="6">
        <f t="shared" si="3"/>
        <v>23.44875</v>
      </c>
      <c r="E59" s="6" t="s">
        <v>15</v>
      </c>
      <c r="F59" s="5">
        <f>83.2/100</f>
        <v>0.83200000000000007</v>
      </c>
      <c r="G59" s="6">
        <f t="shared" si="10"/>
        <v>19.509360000000001</v>
      </c>
      <c r="H59" s="6" t="s">
        <v>11</v>
      </c>
      <c r="I59" s="6">
        <f>7.3/100</f>
        <v>7.2999999999999995E-2</v>
      </c>
      <c r="J59" s="6">
        <f>I59*G59</f>
        <v>1.4241832800000001</v>
      </c>
      <c r="K59" s="2" t="s">
        <v>32</v>
      </c>
      <c r="L59" s="2">
        <f>1.2/100</f>
        <v>1.2E-2</v>
      </c>
      <c r="M59" s="2">
        <f>L59*G59</f>
        <v>0.23411232000000001</v>
      </c>
    </row>
    <row r="60" spans="1:13" ht="32.25" customHeight="1" x14ac:dyDescent="0.25">
      <c r="A60" s="4">
        <v>27.75</v>
      </c>
      <c r="B60" s="2" t="s">
        <v>19</v>
      </c>
      <c r="C60" s="12">
        <f t="shared" si="25"/>
        <v>0.84499999999999997</v>
      </c>
      <c r="D60" s="6">
        <f t="shared" si="3"/>
        <v>23.44875</v>
      </c>
      <c r="E60" s="6" t="s">
        <v>15</v>
      </c>
      <c r="F60" s="5">
        <f t="shared" ref="F60:F74" si="26">83.2/100</f>
        <v>0.83200000000000007</v>
      </c>
      <c r="G60" s="6">
        <f t="shared" si="10"/>
        <v>19.509360000000001</v>
      </c>
      <c r="H60" s="6" t="s">
        <v>12</v>
      </c>
      <c r="I60" s="6">
        <f>13/100</f>
        <v>0.13</v>
      </c>
      <c r="J60" s="6">
        <f t="shared" ref="J60:J65" si="27">I60*G60</f>
        <v>2.5362168</v>
      </c>
      <c r="K60" s="2" t="s">
        <v>33</v>
      </c>
      <c r="L60" s="2">
        <f>8.6/100</f>
        <v>8.5999999999999993E-2</v>
      </c>
      <c r="M60" s="2">
        <f t="shared" ref="M60:M66" si="28">L60*G60</f>
        <v>1.67780496</v>
      </c>
    </row>
    <row r="61" spans="1:13" ht="32.25" customHeight="1" x14ac:dyDescent="0.25">
      <c r="A61" s="4">
        <v>27.75</v>
      </c>
      <c r="B61" s="2" t="s">
        <v>19</v>
      </c>
      <c r="C61" s="12">
        <f t="shared" si="25"/>
        <v>0.84499999999999997</v>
      </c>
      <c r="D61" s="6">
        <f t="shared" si="3"/>
        <v>23.44875</v>
      </c>
      <c r="E61" s="6" t="s">
        <v>15</v>
      </c>
      <c r="F61" s="5">
        <f t="shared" si="26"/>
        <v>0.83200000000000007</v>
      </c>
      <c r="G61" s="6">
        <f t="shared" si="10"/>
        <v>19.509360000000001</v>
      </c>
      <c r="H61" s="6" t="s">
        <v>7</v>
      </c>
      <c r="I61" s="6">
        <f>13.7/100</f>
        <v>0.13699999999999998</v>
      </c>
      <c r="J61" s="6">
        <f t="shared" si="27"/>
        <v>2.6727823199999996</v>
      </c>
      <c r="K61" s="2" t="s">
        <v>34</v>
      </c>
      <c r="L61" s="2">
        <f>14.7/100</f>
        <v>0.14699999999999999</v>
      </c>
      <c r="M61" s="2">
        <f t="shared" si="28"/>
        <v>2.8678759199999999</v>
      </c>
    </row>
    <row r="62" spans="1:13" ht="32.25" customHeight="1" x14ac:dyDescent="0.25">
      <c r="A62" s="4">
        <v>27.75</v>
      </c>
      <c r="B62" s="2" t="s">
        <v>19</v>
      </c>
      <c r="C62" s="12">
        <f t="shared" si="25"/>
        <v>0.84499999999999997</v>
      </c>
      <c r="D62" s="6">
        <f t="shared" si="3"/>
        <v>23.44875</v>
      </c>
      <c r="E62" s="6" t="s">
        <v>15</v>
      </c>
      <c r="F62" s="5">
        <f t="shared" si="26"/>
        <v>0.83200000000000007</v>
      </c>
      <c r="G62" s="6">
        <f t="shared" si="10"/>
        <v>19.509360000000001</v>
      </c>
      <c r="H62" s="6" t="s">
        <v>8</v>
      </c>
      <c r="I62" s="6">
        <f>37/100</f>
        <v>0.37</v>
      </c>
      <c r="J62" s="6">
        <f t="shared" si="27"/>
        <v>7.2184632000000004</v>
      </c>
      <c r="K62" s="2" t="s">
        <v>35</v>
      </c>
      <c r="L62" s="2">
        <f>27.9/100</f>
        <v>0.27899999999999997</v>
      </c>
      <c r="M62" s="2">
        <f t="shared" si="28"/>
        <v>5.44311144</v>
      </c>
    </row>
    <row r="63" spans="1:13" ht="32.25" customHeight="1" x14ac:dyDescent="0.25">
      <c r="A63" s="4">
        <v>27.75</v>
      </c>
      <c r="B63" s="2" t="s">
        <v>19</v>
      </c>
      <c r="C63" s="12">
        <f t="shared" si="25"/>
        <v>0.84499999999999997</v>
      </c>
      <c r="D63" s="6">
        <f t="shared" si="3"/>
        <v>23.44875</v>
      </c>
      <c r="E63" s="6" t="s">
        <v>15</v>
      </c>
      <c r="F63" s="5">
        <f t="shared" si="26"/>
        <v>0.83200000000000007</v>
      </c>
      <c r="G63" s="6">
        <f t="shared" si="10"/>
        <v>19.509360000000001</v>
      </c>
      <c r="H63" s="6" t="s">
        <v>10</v>
      </c>
      <c r="I63" s="6">
        <f>6.3/100</f>
        <v>6.3E-2</v>
      </c>
      <c r="J63" s="6">
        <f t="shared" si="27"/>
        <v>1.22908968</v>
      </c>
      <c r="K63" s="2" t="s">
        <v>36</v>
      </c>
      <c r="L63" s="2">
        <f>32.1/100</f>
        <v>0.32100000000000001</v>
      </c>
      <c r="M63" s="2">
        <f t="shared" si="28"/>
        <v>6.2625045600000009</v>
      </c>
    </row>
    <row r="64" spans="1:13" ht="32.25" customHeight="1" x14ac:dyDescent="0.25">
      <c r="A64" s="4">
        <v>27.75</v>
      </c>
      <c r="B64" s="2" t="s">
        <v>19</v>
      </c>
      <c r="C64" s="12">
        <f t="shared" si="25"/>
        <v>0.84499999999999997</v>
      </c>
      <c r="D64" s="6">
        <f t="shared" si="3"/>
        <v>23.44875</v>
      </c>
      <c r="E64" s="6" t="s">
        <v>15</v>
      </c>
      <c r="F64" s="5">
        <f t="shared" si="26"/>
        <v>0.83200000000000007</v>
      </c>
      <c r="G64" s="6">
        <f t="shared" si="10"/>
        <v>19.509360000000001</v>
      </c>
      <c r="H64" s="6" t="s">
        <v>9</v>
      </c>
      <c r="I64" s="6">
        <f>22.4/100</f>
        <v>0.22399999999999998</v>
      </c>
      <c r="J64" s="6">
        <f t="shared" si="27"/>
        <v>4.3700966399999999</v>
      </c>
      <c r="K64" s="2" t="s">
        <v>37</v>
      </c>
      <c r="L64" s="2">
        <f>12.4/100</f>
        <v>0.124</v>
      </c>
      <c r="M64" s="2">
        <f t="shared" si="28"/>
        <v>2.4191606400000003</v>
      </c>
    </row>
    <row r="65" spans="1:13" ht="32.25" customHeight="1" x14ac:dyDescent="0.25">
      <c r="A65" s="4">
        <v>27.75</v>
      </c>
      <c r="B65" s="2" t="s">
        <v>19</v>
      </c>
      <c r="C65" s="12">
        <f t="shared" si="25"/>
        <v>0.84499999999999997</v>
      </c>
      <c r="D65" s="6">
        <f t="shared" si="3"/>
        <v>23.44875</v>
      </c>
      <c r="E65" s="6" t="s">
        <v>15</v>
      </c>
      <c r="F65" s="5">
        <f t="shared" si="26"/>
        <v>0.83200000000000007</v>
      </c>
      <c r="G65" s="6">
        <f t="shared" si="10"/>
        <v>19.509360000000001</v>
      </c>
      <c r="H65" s="6" t="s">
        <v>58</v>
      </c>
      <c r="I65" s="6">
        <f>0.3/100</f>
        <v>3.0000000000000001E-3</v>
      </c>
      <c r="J65" s="6">
        <f t="shared" si="27"/>
        <v>5.8528080000000003E-2</v>
      </c>
      <c r="K65" s="2" t="s">
        <v>38</v>
      </c>
      <c r="L65" s="2">
        <f>2.3/100</f>
        <v>2.3E-2</v>
      </c>
      <c r="M65" s="2">
        <f t="shared" si="28"/>
        <v>0.44871527999999999</v>
      </c>
    </row>
    <row r="66" spans="1:13" ht="32.25" customHeight="1" x14ac:dyDescent="0.25">
      <c r="A66" s="4">
        <v>27.75</v>
      </c>
      <c r="B66" s="2" t="s">
        <v>19</v>
      </c>
      <c r="C66" s="12">
        <f t="shared" si="25"/>
        <v>0.84499999999999997</v>
      </c>
      <c r="D66" s="6">
        <f t="shared" si="3"/>
        <v>23.44875</v>
      </c>
      <c r="E66" s="6" t="s">
        <v>15</v>
      </c>
      <c r="F66" s="5">
        <f t="shared" si="26"/>
        <v>0.83200000000000007</v>
      </c>
      <c r="G66" s="6">
        <f t="shared" si="10"/>
        <v>19.509360000000001</v>
      </c>
      <c r="H66" s="6"/>
      <c r="I66" s="6"/>
      <c r="J66" s="6"/>
      <c r="K66" s="2" t="s">
        <v>39</v>
      </c>
      <c r="L66" s="2">
        <f>0.8/100</f>
        <v>8.0000000000000002E-3</v>
      </c>
      <c r="M66" s="2">
        <f t="shared" si="28"/>
        <v>0.15607488</v>
      </c>
    </row>
    <row r="67" spans="1:13" ht="32.25" customHeight="1" x14ac:dyDescent="0.25">
      <c r="A67" s="4">
        <v>27.75</v>
      </c>
      <c r="B67" s="2" t="s">
        <v>19</v>
      </c>
      <c r="C67" s="12">
        <f t="shared" si="25"/>
        <v>0.84499999999999997</v>
      </c>
      <c r="D67" s="6">
        <f t="shared" si="3"/>
        <v>23.44875</v>
      </c>
      <c r="E67" s="6" t="s">
        <v>16</v>
      </c>
      <c r="F67" s="5">
        <f t="shared" si="26"/>
        <v>0.83200000000000007</v>
      </c>
      <c r="G67" s="6">
        <f t="shared" si="10"/>
        <v>19.509360000000001</v>
      </c>
      <c r="H67" s="6" t="s">
        <v>11</v>
      </c>
      <c r="I67" s="6">
        <f>12.4/100</f>
        <v>0.124</v>
      </c>
      <c r="J67" s="6">
        <f>I67*G67</f>
        <v>2.4191606400000003</v>
      </c>
      <c r="K67" s="2" t="s">
        <v>32</v>
      </c>
      <c r="L67" s="2">
        <f>4.8/100</f>
        <v>4.8000000000000001E-2</v>
      </c>
      <c r="M67" s="2">
        <f>L67*G67</f>
        <v>0.93644928000000005</v>
      </c>
    </row>
    <row r="68" spans="1:13" ht="32.25" customHeight="1" x14ac:dyDescent="0.25">
      <c r="A68" s="4">
        <v>27.75</v>
      </c>
      <c r="B68" s="2" t="s">
        <v>19</v>
      </c>
      <c r="C68" s="12">
        <f t="shared" si="25"/>
        <v>0.84499999999999997</v>
      </c>
      <c r="D68" s="6">
        <f t="shared" si="3"/>
        <v>23.44875</v>
      </c>
      <c r="E68" s="6" t="s">
        <v>16</v>
      </c>
      <c r="F68" s="5">
        <f t="shared" si="26"/>
        <v>0.83200000000000007</v>
      </c>
      <c r="G68" s="6">
        <f t="shared" si="10"/>
        <v>19.509360000000001</v>
      </c>
      <c r="H68" s="6" t="s">
        <v>12</v>
      </c>
      <c r="I68" s="6">
        <f>8.8/100</f>
        <v>8.8000000000000009E-2</v>
      </c>
      <c r="J68" s="6">
        <f t="shared" ref="J68:J73" si="29">I68*G68</f>
        <v>1.7168236800000003</v>
      </c>
      <c r="K68" s="2" t="s">
        <v>33</v>
      </c>
      <c r="L68" s="2">
        <f>9.2/100</f>
        <v>9.1999999999999998E-2</v>
      </c>
      <c r="M68" s="2">
        <f t="shared" ref="M68:M74" si="30">L68*G68</f>
        <v>1.79486112</v>
      </c>
    </row>
    <row r="69" spans="1:13" ht="32.25" customHeight="1" x14ac:dyDescent="0.25">
      <c r="A69" s="4">
        <v>27.75</v>
      </c>
      <c r="B69" s="2" t="s">
        <v>19</v>
      </c>
      <c r="C69" s="12">
        <f t="shared" si="25"/>
        <v>0.84499999999999997</v>
      </c>
      <c r="D69" s="6">
        <f t="shared" si="3"/>
        <v>23.44875</v>
      </c>
      <c r="E69" s="6" t="s">
        <v>16</v>
      </c>
      <c r="F69" s="5">
        <f t="shared" si="26"/>
        <v>0.83200000000000007</v>
      </c>
      <c r="G69" s="6">
        <f t="shared" si="10"/>
        <v>19.509360000000001</v>
      </c>
      <c r="H69" s="6" t="s">
        <v>7</v>
      </c>
      <c r="I69" s="6">
        <f>13.5/100</f>
        <v>0.13500000000000001</v>
      </c>
      <c r="J69" s="6">
        <f t="shared" si="29"/>
        <v>2.6337636000000004</v>
      </c>
      <c r="K69" s="2" t="s">
        <v>34</v>
      </c>
      <c r="L69" s="2">
        <f>11.6/100</f>
        <v>0.11599999999999999</v>
      </c>
      <c r="M69" s="2">
        <f t="shared" si="30"/>
        <v>2.2630857600000001</v>
      </c>
    </row>
    <row r="70" spans="1:13" ht="32.25" customHeight="1" x14ac:dyDescent="0.25">
      <c r="A70" s="4">
        <v>27.75</v>
      </c>
      <c r="B70" s="2" t="s">
        <v>19</v>
      </c>
      <c r="C70" s="12">
        <f t="shared" si="25"/>
        <v>0.84499999999999997</v>
      </c>
      <c r="D70" s="6">
        <f t="shared" si="3"/>
        <v>23.44875</v>
      </c>
      <c r="E70" s="6" t="s">
        <v>16</v>
      </c>
      <c r="F70" s="5">
        <f t="shared" si="26"/>
        <v>0.83200000000000007</v>
      </c>
      <c r="G70" s="6">
        <f t="shared" si="10"/>
        <v>19.509360000000001</v>
      </c>
      <c r="H70" s="6" t="s">
        <v>8</v>
      </c>
      <c r="I70" s="6">
        <f>37.9/100</f>
        <v>0.379</v>
      </c>
      <c r="J70" s="6">
        <f t="shared" si="29"/>
        <v>7.3940474400000005</v>
      </c>
      <c r="K70" s="2" t="s">
        <v>35</v>
      </c>
      <c r="L70" s="2">
        <f>31/100</f>
        <v>0.31</v>
      </c>
      <c r="M70" s="2">
        <f t="shared" si="30"/>
        <v>6.0479016000000003</v>
      </c>
    </row>
    <row r="71" spans="1:13" ht="32.25" customHeight="1" x14ac:dyDescent="0.25">
      <c r="A71" s="4">
        <v>27.75</v>
      </c>
      <c r="B71" s="2" t="s">
        <v>19</v>
      </c>
      <c r="C71" s="12">
        <f t="shared" si="25"/>
        <v>0.84499999999999997</v>
      </c>
      <c r="D71" s="6">
        <f t="shared" si="3"/>
        <v>23.44875</v>
      </c>
      <c r="E71" s="6" t="s">
        <v>16</v>
      </c>
      <c r="F71" s="5">
        <f t="shared" si="26"/>
        <v>0.83200000000000007</v>
      </c>
      <c r="G71" s="6">
        <f t="shared" si="10"/>
        <v>19.509360000000001</v>
      </c>
      <c r="H71" s="6" t="s">
        <v>10</v>
      </c>
      <c r="I71" s="6">
        <f>4.3/100</f>
        <v>4.2999999999999997E-2</v>
      </c>
      <c r="J71" s="6">
        <f t="shared" si="29"/>
        <v>0.83890248000000001</v>
      </c>
      <c r="K71" s="2" t="s">
        <v>36</v>
      </c>
      <c r="L71" s="2">
        <f>23.9/100</f>
        <v>0.23899999999999999</v>
      </c>
      <c r="M71" s="2">
        <f t="shared" si="30"/>
        <v>4.6627370399999997</v>
      </c>
    </row>
    <row r="72" spans="1:13" ht="32.25" customHeight="1" x14ac:dyDescent="0.25">
      <c r="A72" s="4">
        <v>27.75</v>
      </c>
      <c r="B72" s="2" t="s">
        <v>19</v>
      </c>
      <c r="C72" s="12">
        <f t="shared" si="25"/>
        <v>0.84499999999999997</v>
      </c>
      <c r="D72" s="6">
        <f t="shared" si="3"/>
        <v>23.44875</v>
      </c>
      <c r="E72" s="6" t="s">
        <v>16</v>
      </c>
      <c r="F72" s="5">
        <f t="shared" si="26"/>
        <v>0.83200000000000007</v>
      </c>
      <c r="G72" s="6">
        <f t="shared" si="10"/>
        <v>19.509360000000001</v>
      </c>
      <c r="H72" s="6" t="s">
        <v>9</v>
      </c>
      <c r="I72" s="6">
        <f>20.8/100</f>
        <v>0.20800000000000002</v>
      </c>
      <c r="J72" s="6">
        <f t="shared" si="29"/>
        <v>4.0579468800000003</v>
      </c>
      <c r="K72" s="2" t="s">
        <v>37</v>
      </c>
      <c r="L72" s="2">
        <f>16.1/100</f>
        <v>0.161</v>
      </c>
      <c r="M72" s="2">
        <f t="shared" si="30"/>
        <v>3.1410069600000003</v>
      </c>
    </row>
    <row r="73" spans="1:13" ht="32.25" customHeight="1" x14ac:dyDescent="0.25">
      <c r="A73" s="4">
        <v>27.75</v>
      </c>
      <c r="B73" s="2" t="s">
        <v>19</v>
      </c>
      <c r="C73" s="12">
        <f t="shared" si="25"/>
        <v>0.84499999999999997</v>
      </c>
      <c r="D73" s="6">
        <f t="shared" si="3"/>
        <v>23.44875</v>
      </c>
      <c r="E73" s="6" t="s">
        <v>16</v>
      </c>
      <c r="F73" s="5">
        <f t="shared" si="26"/>
        <v>0.83200000000000007</v>
      </c>
      <c r="G73" s="6">
        <f t="shared" si="10"/>
        <v>19.509360000000001</v>
      </c>
      <c r="H73" s="6" t="s">
        <v>58</v>
      </c>
      <c r="I73" s="6">
        <f>2.3/100</f>
        <v>2.3E-2</v>
      </c>
      <c r="J73" s="8">
        <f t="shared" si="29"/>
        <v>0.44871527999999999</v>
      </c>
      <c r="K73" s="2" t="s">
        <v>38</v>
      </c>
      <c r="L73" s="2">
        <f>2.6/100</f>
        <v>2.6000000000000002E-2</v>
      </c>
      <c r="M73" s="2">
        <f t="shared" si="30"/>
        <v>0.50724336000000003</v>
      </c>
    </row>
    <row r="74" spans="1:13" ht="32.25" customHeight="1" x14ac:dyDescent="0.25">
      <c r="A74" s="4">
        <v>27.75</v>
      </c>
      <c r="B74" s="2" t="s">
        <v>19</v>
      </c>
      <c r="C74" s="12">
        <f t="shared" si="25"/>
        <v>0.84499999999999997</v>
      </c>
      <c r="D74" s="6">
        <f t="shared" si="3"/>
        <v>23.44875</v>
      </c>
      <c r="E74" s="6" t="s">
        <v>16</v>
      </c>
      <c r="F74" s="5">
        <f t="shared" si="26"/>
        <v>0.83200000000000007</v>
      </c>
      <c r="G74" s="6">
        <f t="shared" si="10"/>
        <v>19.509360000000001</v>
      </c>
      <c r="H74" s="6"/>
      <c r="I74" s="6"/>
      <c r="J74" s="6"/>
      <c r="K74" s="2" t="s">
        <v>39</v>
      </c>
      <c r="L74" s="2">
        <f>0.8/100</f>
        <v>8.0000000000000002E-3</v>
      </c>
      <c r="M74" s="2">
        <f t="shared" si="30"/>
        <v>0.15607488</v>
      </c>
    </row>
    <row r="75" spans="1:13" ht="32.25" customHeight="1" x14ac:dyDescent="0.25">
      <c r="A75" s="4">
        <v>27.75</v>
      </c>
      <c r="B75" s="2" t="s">
        <v>19</v>
      </c>
      <c r="C75" s="12">
        <f t="shared" si="25"/>
        <v>0.84499999999999997</v>
      </c>
      <c r="D75" s="6">
        <f t="shared" si="3"/>
        <v>23.44875</v>
      </c>
      <c r="E75" s="2" t="s">
        <v>13</v>
      </c>
      <c r="F75" s="5">
        <f>82.6/100</f>
        <v>0.82599999999999996</v>
      </c>
      <c r="G75" s="6">
        <f t="shared" si="10"/>
        <v>19.368667500000001</v>
      </c>
      <c r="H75" s="6" t="s">
        <v>11</v>
      </c>
      <c r="I75" s="6">
        <f>17/100</f>
        <v>0.17</v>
      </c>
      <c r="J75" s="8">
        <f>I75*G75</f>
        <v>3.2926734750000004</v>
      </c>
      <c r="K75" s="2" t="s">
        <v>32</v>
      </c>
      <c r="L75" s="2">
        <f>3.8/100</f>
        <v>3.7999999999999999E-2</v>
      </c>
      <c r="M75" s="2">
        <f>L75*G75</f>
        <v>0.73600936500000003</v>
      </c>
    </row>
    <row r="76" spans="1:13" ht="32.25" customHeight="1" x14ac:dyDescent="0.25">
      <c r="A76" s="4">
        <v>27.75</v>
      </c>
      <c r="B76" s="2" t="s">
        <v>19</v>
      </c>
      <c r="C76" s="12">
        <f t="shared" si="25"/>
        <v>0.84499999999999997</v>
      </c>
      <c r="D76" s="6">
        <f t="shared" si="3"/>
        <v>23.44875</v>
      </c>
      <c r="E76" s="2" t="s">
        <v>13</v>
      </c>
      <c r="F76" s="5">
        <f t="shared" ref="F76:F82" si="31">82.6/100</f>
        <v>0.82599999999999996</v>
      </c>
      <c r="G76" s="6">
        <f t="shared" si="10"/>
        <v>19.368667500000001</v>
      </c>
      <c r="H76" s="6" t="s">
        <v>12</v>
      </c>
      <c r="I76" s="6">
        <f>11.9/100</f>
        <v>0.11900000000000001</v>
      </c>
      <c r="J76" s="8">
        <f t="shared" ref="J76:J81" si="32">I76*G76</f>
        <v>2.3048714325000002</v>
      </c>
      <c r="K76" s="2" t="s">
        <v>33</v>
      </c>
      <c r="L76" s="2">
        <f>8.9/100</f>
        <v>8.900000000000001E-2</v>
      </c>
      <c r="M76" s="2">
        <f t="shared" ref="M76:M82" si="33">L76*G76</f>
        <v>1.7238114075000002</v>
      </c>
    </row>
    <row r="77" spans="1:13" ht="32.25" customHeight="1" x14ac:dyDescent="0.25">
      <c r="A77" s="4">
        <v>27.75</v>
      </c>
      <c r="B77" s="2" t="s">
        <v>19</v>
      </c>
      <c r="C77" s="12">
        <f t="shared" si="25"/>
        <v>0.84499999999999997</v>
      </c>
      <c r="D77" s="6">
        <f t="shared" si="3"/>
        <v>23.44875</v>
      </c>
      <c r="E77" s="2" t="s">
        <v>13</v>
      </c>
      <c r="F77" s="5">
        <f t="shared" si="31"/>
        <v>0.82599999999999996</v>
      </c>
      <c r="G77" s="6">
        <f t="shared" si="10"/>
        <v>19.368667500000001</v>
      </c>
      <c r="H77" s="6" t="s">
        <v>7</v>
      </c>
      <c r="I77" s="6">
        <f>13.3/100</f>
        <v>0.13300000000000001</v>
      </c>
      <c r="J77" s="8">
        <f t="shared" si="32"/>
        <v>2.5760327775</v>
      </c>
      <c r="K77" s="2" t="s">
        <v>34</v>
      </c>
      <c r="L77" s="2">
        <f>12.1/100</f>
        <v>0.121</v>
      </c>
      <c r="M77" s="2">
        <f t="shared" si="33"/>
        <v>2.3436087675000001</v>
      </c>
    </row>
    <row r="78" spans="1:13" ht="32.25" customHeight="1" x14ac:dyDescent="0.25">
      <c r="A78" s="4">
        <v>27.75</v>
      </c>
      <c r="B78" s="2" t="s">
        <v>19</v>
      </c>
      <c r="C78" s="12">
        <f t="shared" si="25"/>
        <v>0.84499999999999997</v>
      </c>
      <c r="D78" s="6">
        <f t="shared" si="3"/>
        <v>23.44875</v>
      </c>
      <c r="E78" s="2" t="s">
        <v>13</v>
      </c>
      <c r="F78" s="5">
        <f t="shared" si="31"/>
        <v>0.82599999999999996</v>
      </c>
      <c r="G78" s="6">
        <f t="shared" si="10"/>
        <v>19.368667500000001</v>
      </c>
      <c r="H78" s="6" t="s">
        <v>8</v>
      </c>
      <c r="I78" s="6">
        <f>38.6/100</f>
        <v>0.38600000000000001</v>
      </c>
      <c r="J78" s="8">
        <f t="shared" si="32"/>
        <v>7.4763056550000009</v>
      </c>
      <c r="K78" s="2" t="s">
        <v>35</v>
      </c>
      <c r="L78" s="2">
        <f>29.3/100</f>
        <v>0.29299999999999998</v>
      </c>
      <c r="M78" s="2">
        <f t="shared" si="33"/>
        <v>5.6750195774999996</v>
      </c>
    </row>
    <row r="79" spans="1:13" ht="32.25" customHeight="1" x14ac:dyDescent="0.25">
      <c r="A79" s="4">
        <v>27.75</v>
      </c>
      <c r="B79" s="2" t="s">
        <v>19</v>
      </c>
      <c r="C79" s="12">
        <f t="shared" si="25"/>
        <v>0.84499999999999997</v>
      </c>
      <c r="D79" s="6">
        <f t="shared" si="3"/>
        <v>23.44875</v>
      </c>
      <c r="E79" s="2" t="s">
        <v>13</v>
      </c>
      <c r="F79" s="5">
        <f t="shared" si="31"/>
        <v>0.82599999999999996</v>
      </c>
      <c r="G79" s="6">
        <f t="shared" si="10"/>
        <v>19.368667500000001</v>
      </c>
      <c r="H79" s="6" t="s">
        <v>10</v>
      </c>
      <c r="I79" s="6">
        <f>3/100</f>
        <v>0.03</v>
      </c>
      <c r="J79" s="8">
        <f t="shared" si="32"/>
        <v>0.58106002499999998</v>
      </c>
      <c r="K79" s="2" t="s">
        <v>36</v>
      </c>
      <c r="L79" s="2">
        <f>23.9/100</f>
        <v>0.23899999999999999</v>
      </c>
      <c r="M79" s="2">
        <f t="shared" si="33"/>
        <v>4.6291115324999996</v>
      </c>
    </row>
    <row r="80" spans="1:13" ht="32.25" customHeight="1" x14ac:dyDescent="0.25">
      <c r="A80" s="4">
        <v>27.75</v>
      </c>
      <c r="B80" s="2" t="s">
        <v>19</v>
      </c>
      <c r="C80" s="12">
        <f t="shared" si="25"/>
        <v>0.84499999999999997</v>
      </c>
      <c r="D80" s="6">
        <f t="shared" si="3"/>
        <v>23.44875</v>
      </c>
      <c r="E80" s="2" t="s">
        <v>13</v>
      </c>
      <c r="F80" s="5">
        <f t="shared" si="31"/>
        <v>0.82599999999999996</v>
      </c>
      <c r="G80" s="6">
        <f t="shared" si="10"/>
        <v>19.368667500000001</v>
      </c>
      <c r="H80" s="6" t="s">
        <v>9</v>
      </c>
      <c r="I80" s="6">
        <f>13.5/100</f>
        <v>0.13500000000000001</v>
      </c>
      <c r="J80" s="8">
        <f t="shared" si="32"/>
        <v>2.6147701125000005</v>
      </c>
      <c r="K80" s="2" t="s">
        <v>37</v>
      </c>
      <c r="L80" s="2">
        <f>17.4/100</f>
        <v>0.17399999999999999</v>
      </c>
      <c r="M80" s="2">
        <f t="shared" si="33"/>
        <v>3.3701481449999999</v>
      </c>
    </row>
    <row r="81" spans="1:13" ht="32.25" customHeight="1" x14ac:dyDescent="0.25">
      <c r="A81" s="4">
        <v>27.75</v>
      </c>
      <c r="B81" s="2" t="s">
        <v>19</v>
      </c>
      <c r="C81" s="12">
        <f t="shared" si="25"/>
        <v>0.84499999999999997</v>
      </c>
      <c r="D81" s="6">
        <f t="shared" si="3"/>
        <v>23.44875</v>
      </c>
      <c r="E81" s="2" t="s">
        <v>13</v>
      </c>
      <c r="F81" s="5">
        <f t="shared" si="31"/>
        <v>0.82599999999999996</v>
      </c>
      <c r="G81" s="6">
        <f t="shared" si="10"/>
        <v>19.368667500000001</v>
      </c>
      <c r="H81" s="6" t="s">
        <v>58</v>
      </c>
      <c r="I81" s="6">
        <f>2.6/100</f>
        <v>2.6000000000000002E-2</v>
      </c>
      <c r="J81" s="8">
        <f t="shared" si="32"/>
        <v>0.50358535500000001</v>
      </c>
      <c r="K81" s="2" t="s">
        <v>38</v>
      </c>
      <c r="L81" s="2">
        <f>3.1/100</f>
        <v>3.1E-2</v>
      </c>
      <c r="M81" s="2">
        <f t="shared" si="33"/>
        <v>0.60042869249999997</v>
      </c>
    </row>
    <row r="82" spans="1:13" ht="32.25" customHeight="1" x14ac:dyDescent="0.25">
      <c r="A82" s="4">
        <v>27.75</v>
      </c>
      <c r="B82" s="2" t="s">
        <v>19</v>
      </c>
      <c r="C82" s="12">
        <f t="shared" si="25"/>
        <v>0.84499999999999997</v>
      </c>
      <c r="D82" s="6">
        <f t="shared" si="3"/>
        <v>23.44875</v>
      </c>
      <c r="E82" s="2" t="s">
        <v>13</v>
      </c>
      <c r="F82" s="5">
        <f t="shared" si="31"/>
        <v>0.82599999999999996</v>
      </c>
      <c r="G82" s="6">
        <f t="shared" si="10"/>
        <v>19.368667500000001</v>
      </c>
      <c r="H82" s="6"/>
      <c r="I82" s="6"/>
      <c r="J82" s="8"/>
      <c r="K82" s="2" t="s">
        <v>39</v>
      </c>
      <c r="L82" s="2">
        <f>1.5/100</f>
        <v>1.4999999999999999E-2</v>
      </c>
      <c r="M82" s="2">
        <f t="shared" si="33"/>
        <v>0.29053001249999999</v>
      </c>
    </row>
    <row r="83" spans="1:13" ht="32.25" customHeight="1" x14ac:dyDescent="0.25">
      <c r="A83" s="4">
        <v>27.75</v>
      </c>
      <c r="B83" s="2" t="s">
        <v>19</v>
      </c>
      <c r="C83" s="12">
        <f t="shared" si="25"/>
        <v>0.84499999999999997</v>
      </c>
      <c r="D83" s="6">
        <f t="shared" si="3"/>
        <v>23.44875</v>
      </c>
      <c r="E83" s="2" t="s">
        <v>17</v>
      </c>
      <c r="F83" s="5">
        <f>91/100</f>
        <v>0.91</v>
      </c>
      <c r="G83" s="6">
        <f t="shared" si="10"/>
        <v>21.338362500000002</v>
      </c>
      <c r="H83" s="6" t="s">
        <v>11</v>
      </c>
      <c r="I83" s="6">
        <f>22.8/100</f>
        <v>0.22800000000000001</v>
      </c>
      <c r="J83" s="6">
        <f>I83*G83</f>
        <v>4.8651466500000007</v>
      </c>
      <c r="K83" s="2" t="s">
        <v>32</v>
      </c>
      <c r="L83" s="2">
        <f>0/100</f>
        <v>0</v>
      </c>
      <c r="M83" s="2">
        <f>L83*G83</f>
        <v>0</v>
      </c>
    </row>
    <row r="84" spans="1:13" ht="32.25" customHeight="1" x14ac:dyDescent="0.25">
      <c r="A84" s="4">
        <v>27.75</v>
      </c>
      <c r="B84" s="2" t="s">
        <v>19</v>
      </c>
      <c r="C84" s="12">
        <f t="shared" si="25"/>
        <v>0.84499999999999997</v>
      </c>
      <c r="D84" s="6">
        <f t="shared" si="3"/>
        <v>23.44875</v>
      </c>
      <c r="E84" s="2" t="s">
        <v>17</v>
      </c>
      <c r="F84" s="5">
        <f t="shared" ref="F84:F90" si="34">91/100</f>
        <v>0.91</v>
      </c>
      <c r="G84" s="6">
        <f t="shared" si="10"/>
        <v>21.338362500000002</v>
      </c>
      <c r="H84" s="6" t="s">
        <v>12</v>
      </c>
      <c r="I84" s="6">
        <f>13/100</f>
        <v>0.13</v>
      </c>
      <c r="J84" s="6">
        <f t="shared" ref="J84:J89" si="35">I84*G84</f>
        <v>2.7739871250000006</v>
      </c>
      <c r="K84" s="2" t="s">
        <v>33</v>
      </c>
      <c r="L84" s="2">
        <f>9/100</f>
        <v>0.09</v>
      </c>
      <c r="M84" s="2">
        <f t="shared" ref="M84:M90" si="36">L84*G84</f>
        <v>1.9204526250000002</v>
      </c>
    </row>
    <row r="85" spans="1:13" ht="32.25" customHeight="1" x14ac:dyDescent="0.25">
      <c r="A85" s="4">
        <v>27.75</v>
      </c>
      <c r="B85" s="2" t="s">
        <v>19</v>
      </c>
      <c r="C85" s="12">
        <f t="shared" si="25"/>
        <v>0.84499999999999997</v>
      </c>
      <c r="D85" s="6">
        <f t="shared" si="3"/>
        <v>23.44875</v>
      </c>
      <c r="E85" s="2" t="s">
        <v>17</v>
      </c>
      <c r="F85" s="5">
        <f t="shared" si="34"/>
        <v>0.91</v>
      </c>
      <c r="G85" s="6">
        <f t="shared" si="10"/>
        <v>21.338362500000002</v>
      </c>
      <c r="H85" s="6" t="s">
        <v>7</v>
      </c>
      <c r="I85" s="6">
        <f>14.4/100</f>
        <v>0.14400000000000002</v>
      </c>
      <c r="J85" s="6">
        <f t="shared" si="35"/>
        <v>3.0727242000000006</v>
      </c>
      <c r="K85" s="2" t="s">
        <v>34</v>
      </c>
      <c r="L85" s="2">
        <f>11.3/100</f>
        <v>0.113</v>
      </c>
      <c r="M85" s="2">
        <f t="shared" si="36"/>
        <v>2.4112349625000005</v>
      </c>
    </row>
    <row r="86" spans="1:13" ht="32.25" customHeight="1" x14ac:dyDescent="0.25">
      <c r="A86" s="4">
        <v>27.75</v>
      </c>
      <c r="B86" s="2" t="s">
        <v>19</v>
      </c>
      <c r="C86" s="12">
        <f t="shared" si="25"/>
        <v>0.84499999999999997</v>
      </c>
      <c r="D86" s="6">
        <f t="shared" si="3"/>
        <v>23.44875</v>
      </c>
      <c r="E86" s="2" t="s">
        <v>17</v>
      </c>
      <c r="F86" s="5">
        <f t="shared" si="34"/>
        <v>0.91</v>
      </c>
      <c r="G86" s="6">
        <f t="shared" si="10"/>
        <v>21.338362500000002</v>
      </c>
      <c r="H86" s="6" t="s">
        <v>8</v>
      </c>
      <c r="I86" s="6">
        <f>35/100</f>
        <v>0.35</v>
      </c>
      <c r="J86" s="6">
        <f t="shared" si="35"/>
        <v>7.4684268750000005</v>
      </c>
      <c r="K86" s="2" t="s">
        <v>35</v>
      </c>
      <c r="L86" s="2">
        <f>35.7/100</f>
        <v>0.35700000000000004</v>
      </c>
      <c r="M86" s="2">
        <f t="shared" si="36"/>
        <v>7.6177954125000014</v>
      </c>
    </row>
    <row r="87" spans="1:13" ht="32.25" customHeight="1" x14ac:dyDescent="0.25">
      <c r="A87" s="4">
        <v>27.75</v>
      </c>
      <c r="B87" s="2" t="s">
        <v>19</v>
      </c>
      <c r="C87" s="12">
        <f t="shared" si="25"/>
        <v>0.84499999999999997</v>
      </c>
      <c r="D87" s="6">
        <f t="shared" si="3"/>
        <v>23.44875</v>
      </c>
      <c r="E87" s="2" t="s">
        <v>17</v>
      </c>
      <c r="F87" s="5">
        <f t="shared" si="34"/>
        <v>0.91</v>
      </c>
      <c r="G87" s="6">
        <f t="shared" si="10"/>
        <v>21.338362500000002</v>
      </c>
      <c r="H87" s="6" t="s">
        <v>10</v>
      </c>
      <c r="I87" s="6">
        <f>2/100</f>
        <v>0.02</v>
      </c>
      <c r="J87" s="6">
        <f t="shared" si="35"/>
        <v>0.42676725000000004</v>
      </c>
      <c r="K87" s="2" t="s">
        <v>36</v>
      </c>
      <c r="L87" s="2">
        <f>24.8/100</f>
        <v>0.248</v>
      </c>
      <c r="M87" s="2">
        <f t="shared" si="36"/>
        <v>5.2919139000000008</v>
      </c>
    </row>
    <row r="88" spans="1:13" ht="32.25" customHeight="1" x14ac:dyDescent="0.25">
      <c r="A88" s="4">
        <v>27.75</v>
      </c>
      <c r="B88" s="2" t="s">
        <v>19</v>
      </c>
      <c r="C88" s="12">
        <f t="shared" si="25"/>
        <v>0.84499999999999997</v>
      </c>
      <c r="D88" s="6">
        <f t="shared" si="3"/>
        <v>23.44875</v>
      </c>
      <c r="E88" s="2" t="s">
        <v>17</v>
      </c>
      <c r="F88" s="5">
        <f t="shared" si="34"/>
        <v>0.91</v>
      </c>
      <c r="G88" s="6">
        <f t="shared" si="10"/>
        <v>21.338362500000002</v>
      </c>
      <c r="H88" s="6" t="s">
        <v>9</v>
      </c>
      <c r="I88" s="6">
        <f>12/100</f>
        <v>0.12</v>
      </c>
      <c r="J88" s="6">
        <f t="shared" si="35"/>
        <v>2.5606035</v>
      </c>
      <c r="K88" s="2" t="s">
        <v>37</v>
      </c>
      <c r="L88" s="2">
        <f>15.6/100</f>
        <v>0.156</v>
      </c>
      <c r="M88" s="2">
        <f t="shared" si="36"/>
        <v>3.3287845500000004</v>
      </c>
    </row>
    <row r="89" spans="1:13" ht="32.25" customHeight="1" x14ac:dyDescent="0.25">
      <c r="A89" s="4">
        <v>27.75</v>
      </c>
      <c r="B89" s="2" t="s">
        <v>19</v>
      </c>
      <c r="C89" s="12">
        <f t="shared" si="25"/>
        <v>0.84499999999999997</v>
      </c>
      <c r="D89" s="6">
        <f t="shared" si="3"/>
        <v>23.44875</v>
      </c>
      <c r="E89" s="2" t="s">
        <v>17</v>
      </c>
      <c r="F89" s="5">
        <f t="shared" si="34"/>
        <v>0.91</v>
      </c>
      <c r="G89" s="6">
        <f t="shared" si="10"/>
        <v>21.338362500000002</v>
      </c>
      <c r="H89" s="6" t="s">
        <v>58</v>
      </c>
      <c r="I89" s="6">
        <f>0.8/100</f>
        <v>8.0000000000000002E-3</v>
      </c>
      <c r="J89" s="8">
        <f t="shared" si="35"/>
        <v>0.17070690000000002</v>
      </c>
      <c r="K89" s="2" t="s">
        <v>38</v>
      </c>
      <c r="L89" s="2">
        <f>2.8/100</f>
        <v>2.7999999999999997E-2</v>
      </c>
      <c r="M89" s="2">
        <f t="shared" si="36"/>
        <v>0.59747415000000004</v>
      </c>
    </row>
    <row r="90" spans="1:13" ht="32.25" customHeight="1" x14ac:dyDescent="0.25">
      <c r="A90" s="4">
        <v>27.75</v>
      </c>
      <c r="B90" s="2" t="s">
        <v>19</v>
      </c>
      <c r="C90" s="12">
        <f t="shared" si="25"/>
        <v>0.84499999999999997</v>
      </c>
      <c r="D90" s="6">
        <f t="shared" si="3"/>
        <v>23.44875</v>
      </c>
      <c r="E90" s="2" t="s">
        <v>17</v>
      </c>
      <c r="F90" s="5">
        <f t="shared" si="34"/>
        <v>0.91</v>
      </c>
      <c r="G90" s="6">
        <f t="shared" si="10"/>
        <v>21.338362500000002</v>
      </c>
      <c r="H90" s="6"/>
      <c r="I90" s="6"/>
      <c r="J90" s="6"/>
      <c r="K90" s="2" t="s">
        <v>39</v>
      </c>
      <c r="L90" s="2">
        <f>0.9/100</f>
        <v>9.0000000000000011E-3</v>
      </c>
      <c r="M90" s="2">
        <f t="shared" si="36"/>
        <v>0.19204526250000004</v>
      </c>
    </row>
    <row r="91" spans="1:13" ht="32.25" customHeight="1" x14ac:dyDescent="0.25">
      <c r="A91" s="4">
        <v>27.75</v>
      </c>
      <c r="B91" s="2" t="s">
        <v>19</v>
      </c>
      <c r="C91" s="12">
        <f t="shared" si="25"/>
        <v>0.84499999999999997</v>
      </c>
      <c r="D91" s="6">
        <f t="shared" si="3"/>
        <v>23.44875</v>
      </c>
      <c r="E91" s="2" t="s">
        <v>18</v>
      </c>
      <c r="F91" s="5">
        <f>90.5/100</f>
        <v>0.90500000000000003</v>
      </c>
      <c r="G91" s="6">
        <f t="shared" si="10"/>
        <v>21.221118750000002</v>
      </c>
      <c r="H91" s="6" t="s">
        <v>11</v>
      </c>
      <c r="I91" s="6">
        <f>20.2/100</f>
        <v>0.20199999999999999</v>
      </c>
      <c r="J91" s="6">
        <f>I91*G91</f>
        <v>4.2866659875000002</v>
      </c>
      <c r="K91" s="2" t="s">
        <v>32</v>
      </c>
      <c r="L91" s="2">
        <f>5.4/100</f>
        <v>5.4000000000000006E-2</v>
      </c>
      <c r="M91" s="2">
        <f>L91*G91</f>
        <v>1.1459404125000003</v>
      </c>
    </row>
    <row r="92" spans="1:13" ht="32.25" customHeight="1" x14ac:dyDescent="0.25">
      <c r="A92" s="4">
        <v>27.75</v>
      </c>
      <c r="B92" s="2" t="s">
        <v>19</v>
      </c>
      <c r="C92" s="12">
        <f t="shared" si="25"/>
        <v>0.84499999999999997</v>
      </c>
      <c r="D92" s="6">
        <f t="shared" ref="D92:D98" si="37">C92*A92</f>
        <v>23.44875</v>
      </c>
      <c r="E92" s="2" t="s">
        <v>18</v>
      </c>
      <c r="F92" s="5">
        <f t="shared" ref="F92:F98" si="38">90.5/100</f>
        <v>0.90500000000000003</v>
      </c>
      <c r="G92" s="6">
        <f t="shared" si="10"/>
        <v>21.221118750000002</v>
      </c>
      <c r="H92" s="6" t="s">
        <v>12</v>
      </c>
      <c r="I92" s="6">
        <f>12.2/100</f>
        <v>0.122</v>
      </c>
      <c r="J92" s="6">
        <f t="shared" ref="J92:J97" si="39">I92*G92</f>
        <v>2.5889764875000001</v>
      </c>
      <c r="K92" s="2" t="s">
        <v>33</v>
      </c>
      <c r="L92" s="2">
        <f>11.5/100</f>
        <v>0.115</v>
      </c>
      <c r="M92" s="2">
        <f t="shared" ref="M92:M98" si="40">L92*G92</f>
        <v>2.4404286562500004</v>
      </c>
    </row>
    <row r="93" spans="1:13" ht="32.25" customHeight="1" x14ac:dyDescent="0.25">
      <c r="A93" s="4">
        <v>27.75</v>
      </c>
      <c r="B93" s="2" t="s">
        <v>19</v>
      </c>
      <c r="C93" s="12">
        <f t="shared" si="25"/>
        <v>0.84499999999999997</v>
      </c>
      <c r="D93" s="6">
        <f t="shared" si="37"/>
        <v>23.44875</v>
      </c>
      <c r="E93" s="2" t="s">
        <v>18</v>
      </c>
      <c r="F93" s="5">
        <f t="shared" si="38"/>
        <v>0.90500000000000003</v>
      </c>
      <c r="G93" s="6">
        <f t="shared" si="10"/>
        <v>21.221118750000002</v>
      </c>
      <c r="H93" s="6" t="s">
        <v>7</v>
      </c>
      <c r="I93" s="6">
        <f>13.9/100</f>
        <v>0.13900000000000001</v>
      </c>
      <c r="J93" s="6">
        <f t="shared" si="39"/>
        <v>2.9497355062500006</v>
      </c>
      <c r="K93" s="2" t="s">
        <v>34</v>
      </c>
      <c r="L93" s="2">
        <f>15/100</f>
        <v>0.15</v>
      </c>
      <c r="M93" s="2">
        <f t="shared" si="40"/>
        <v>3.1831678125000002</v>
      </c>
    </row>
    <row r="94" spans="1:13" ht="32.25" customHeight="1" x14ac:dyDescent="0.25">
      <c r="A94" s="4">
        <v>27.75</v>
      </c>
      <c r="B94" s="2" t="s">
        <v>19</v>
      </c>
      <c r="C94" s="12">
        <f t="shared" si="25"/>
        <v>0.84499999999999997</v>
      </c>
      <c r="D94" s="6">
        <f t="shared" si="37"/>
        <v>23.44875</v>
      </c>
      <c r="E94" s="2" t="s">
        <v>18</v>
      </c>
      <c r="F94" s="5">
        <f t="shared" si="38"/>
        <v>0.90500000000000003</v>
      </c>
      <c r="G94" s="6">
        <f t="shared" si="10"/>
        <v>21.221118750000002</v>
      </c>
      <c r="H94" s="6" t="s">
        <v>8</v>
      </c>
      <c r="I94" s="6">
        <f>40.4/100</f>
        <v>0.40399999999999997</v>
      </c>
      <c r="J94" s="6">
        <f t="shared" si="39"/>
        <v>8.5733319750000003</v>
      </c>
      <c r="K94" s="2" t="s">
        <v>35</v>
      </c>
      <c r="L94" s="2">
        <f>29.1/100</f>
        <v>0.29100000000000004</v>
      </c>
      <c r="M94" s="2">
        <f t="shared" si="40"/>
        <v>6.1753455562500017</v>
      </c>
    </row>
    <row r="95" spans="1:13" ht="32.25" customHeight="1" x14ac:dyDescent="0.25">
      <c r="A95" s="4">
        <v>27.75</v>
      </c>
      <c r="B95" s="2" t="s">
        <v>19</v>
      </c>
      <c r="C95" s="12">
        <f t="shared" si="25"/>
        <v>0.84499999999999997</v>
      </c>
      <c r="D95" s="6">
        <f t="shared" si="37"/>
        <v>23.44875</v>
      </c>
      <c r="E95" s="2" t="s">
        <v>18</v>
      </c>
      <c r="F95" s="5">
        <f t="shared" si="38"/>
        <v>0.90500000000000003</v>
      </c>
      <c r="G95" s="6">
        <f t="shared" si="10"/>
        <v>21.221118750000002</v>
      </c>
      <c r="H95" s="6" t="s">
        <v>10</v>
      </c>
      <c r="I95" s="6">
        <f>2.3/100</f>
        <v>2.3E-2</v>
      </c>
      <c r="J95" s="6">
        <f t="shared" si="39"/>
        <v>0.48808573125000004</v>
      </c>
      <c r="K95" s="2" t="s">
        <v>36</v>
      </c>
      <c r="L95" s="2">
        <f>20.2/100</f>
        <v>0.20199999999999999</v>
      </c>
      <c r="M95" s="2">
        <f t="shared" si="40"/>
        <v>4.2866659875000002</v>
      </c>
    </row>
    <row r="96" spans="1:13" ht="32.25" customHeight="1" x14ac:dyDescent="0.25">
      <c r="A96" s="4">
        <v>27.75</v>
      </c>
      <c r="B96" s="2" t="s">
        <v>19</v>
      </c>
      <c r="C96" s="12">
        <f t="shared" si="25"/>
        <v>0.84499999999999997</v>
      </c>
      <c r="D96" s="6">
        <f t="shared" si="37"/>
        <v>23.44875</v>
      </c>
      <c r="E96" s="2" t="s">
        <v>18</v>
      </c>
      <c r="F96" s="5">
        <f t="shared" si="38"/>
        <v>0.90500000000000003</v>
      </c>
      <c r="G96" s="6">
        <f t="shared" si="10"/>
        <v>21.221118750000002</v>
      </c>
      <c r="H96" s="6" t="s">
        <v>9</v>
      </c>
      <c r="I96" s="6">
        <f>9.5/100</f>
        <v>9.5000000000000001E-2</v>
      </c>
      <c r="J96" s="6">
        <f t="shared" si="39"/>
        <v>2.0160062812500001</v>
      </c>
      <c r="K96" s="2" t="s">
        <v>37</v>
      </c>
      <c r="L96" s="2">
        <f>14.5/100</f>
        <v>0.14499999999999999</v>
      </c>
      <c r="M96" s="2">
        <f t="shared" si="40"/>
        <v>3.0770622187500001</v>
      </c>
    </row>
    <row r="97" spans="1:13" ht="32.25" customHeight="1" x14ac:dyDescent="0.25">
      <c r="A97" s="4">
        <v>27.75</v>
      </c>
      <c r="B97" s="2" t="s">
        <v>19</v>
      </c>
      <c r="C97" s="12">
        <f t="shared" si="25"/>
        <v>0.84499999999999997</v>
      </c>
      <c r="D97" s="6">
        <f t="shared" si="37"/>
        <v>23.44875</v>
      </c>
      <c r="E97" s="2" t="s">
        <v>18</v>
      </c>
      <c r="F97" s="5">
        <f t="shared" si="38"/>
        <v>0.90500000000000003</v>
      </c>
      <c r="G97" s="6">
        <f t="shared" si="10"/>
        <v>21.221118750000002</v>
      </c>
      <c r="H97" s="6" t="s">
        <v>58</v>
      </c>
      <c r="I97" s="6">
        <f>1.6/100</f>
        <v>1.6E-2</v>
      </c>
      <c r="J97" s="8">
        <f t="shared" si="39"/>
        <v>0.33953790000000006</v>
      </c>
      <c r="K97" s="2" t="s">
        <v>38</v>
      </c>
      <c r="L97" s="2">
        <f>2.4/100</f>
        <v>2.4E-2</v>
      </c>
      <c r="M97" s="2">
        <f t="shared" si="40"/>
        <v>0.50930685000000009</v>
      </c>
    </row>
    <row r="98" spans="1:13" ht="32.25" customHeight="1" x14ac:dyDescent="0.25">
      <c r="A98" s="4">
        <v>27.75</v>
      </c>
      <c r="B98" s="2" t="s">
        <v>19</v>
      </c>
      <c r="C98" s="12">
        <f t="shared" si="25"/>
        <v>0.84499999999999997</v>
      </c>
      <c r="D98" s="6">
        <f t="shared" si="37"/>
        <v>23.44875</v>
      </c>
      <c r="E98" s="2" t="s">
        <v>18</v>
      </c>
      <c r="F98" s="5">
        <f t="shared" si="38"/>
        <v>0.90500000000000003</v>
      </c>
      <c r="G98" s="6">
        <f t="shared" ref="G98" si="41">F98*D98</f>
        <v>21.221118750000002</v>
      </c>
      <c r="H98" s="2"/>
      <c r="I98" s="2"/>
      <c r="J98" s="2"/>
      <c r="K98" s="2" t="s">
        <v>39</v>
      </c>
      <c r="L98" s="2">
        <f>1.9/100</f>
        <v>1.9E-2</v>
      </c>
      <c r="M98" s="2">
        <f t="shared" si="40"/>
        <v>0.40320125625000003</v>
      </c>
    </row>
    <row r="99" spans="1:13" ht="32.25" customHeight="1" x14ac:dyDescent="0.25"/>
    <row r="100" spans="1:13" ht="32.25" customHeight="1" x14ac:dyDescent="0.25"/>
    <row r="101" spans="1:13" ht="32.25" customHeight="1" x14ac:dyDescent="0.25"/>
    <row r="102" spans="1:13" ht="32.25" customHeight="1" x14ac:dyDescent="0.25"/>
    <row r="103" spans="1:13" ht="32.25" customHeight="1" x14ac:dyDescent="0.25"/>
    <row r="104" spans="1:13" ht="32.25" customHeight="1" x14ac:dyDescent="0.25"/>
    <row r="105" spans="1:13" ht="32.25" customHeight="1" x14ac:dyDescent="0.25"/>
    <row r="106" spans="1:13" ht="32.25" customHeight="1" x14ac:dyDescent="0.25"/>
    <row r="107" spans="1:13" ht="32.25" customHeight="1" x14ac:dyDescent="0.25"/>
    <row r="108" spans="1:13" ht="32.25" customHeight="1" x14ac:dyDescent="0.25"/>
    <row r="109" spans="1:13" ht="32.25" customHeight="1" x14ac:dyDescent="0.25"/>
    <row r="110" spans="1:13" ht="32.25" customHeight="1" x14ac:dyDescent="0.25"/>
    <row r="111" spans="1:13" ht="32.25" customHeight="1" x14ac:dyDescent="0.25"/>
    <row r="112" spans="1:13" ht="32.25" customHeight="1" x14ac:dyDescent="0.25"/>
    <row r="113" ht="32.25" customHeight="1" x14ac:dyDescent="0.25"/>
    <row r="114" ht="32.25" customHeight="1" x14ac:dyDescent="0.25"/>
    <row r="115" ht="32.25" customHeight="1" x14ac:dyDescent="0.25"/>
    <row r="116" ht="32.25" customHeight="1" x14ac:dyDescent="0.25"/>
    <row r="117" ht="32.25" customHeight="1" x14ac:dyDescent="0.25"/>
    <row r="118" ht="32.25" customHeight="1" x14ac:dyDescent="0.25"/>
    <row r="119" ht="32.25" customHeight="1" x14ac:dyDescent="0.25"/>
    <row r="120" ht="32.25" customHeight="1" x14ac:dyDescent="0.25"/>
    <row r="121" ht="32.25" customHeight="1" x14ac:dyDescent="0.25"/>
    <row r="122" ht="32.25" customHeight="1" x14ac:dyDescent="0.25"/>
    <row r="123" ht="32.25" customHeight="1" x14ac:dyDescent="0.25"/>
    <row r="124" ht="32.25" customHeight="1" x14ac:dyDescent="0.25"/>
    <row r="125" ht="32.25" customHeight="1" x14ac:dyDescent="0.25"/>
    <row r="126" ht="32.25" customHeight="1" x14ac:dyDescent="0.25"/>
    <row r="127" ht="32.25" customHeight="1" x14ac:dyDescent="0.25"/>
    <row r="128" ht="32.25" customHeight="1" x14ac:dyDescent="0.25"/>
    <row r="129" spans="5:9" ht="32.25" customHeight="1" x14ac:dyDescent="0.25"/>
    <row r="130" spans="5:9" ht="32.25" customHeight="1" x14ac:dyDescent="0.25"/>
    <row r="131" spans="5:9" ht="32.25" customHeight="1" x14ac:dyDescent="0.25"/>
    <row r="132" spans="5:9" ht="32.25" customHeight="1" x14ac:dyDescent="0.25"/>
    <row r="133" spans="5:9" ht="32.25" customHeight="1" x14ac:dyDescent="0.25"/>
    <row r="134" spans="5:9" x14ac:dyDescent="0.25">
      <c r="E134" t="s">
        <v>21</v>
      </c>
      <c r="G134" s="22" t="s">
        <v>20</v>
      </c>
      <c r="H134" s="22"/>
      <c r="I134" s="22"/>
    </row>
    <row r="135" spans="5:9" x14ac:dyDescent="0.25">
      <c r="G135" s="22"/>
      <c r="H135" s="22"/>
      <c r="I135" s="22"/>
    </row>
    <row r="136" spans="5:9" x14ac:dyDescent="0.25">
      <c r="G136" s="22"/>
      <c r="H136" s="22"/>
      <c r="I136" s="22"/>
    </row>
  </sheetData>
  <mergeCells count="2">
    <mergeCell ref="G134:I136"/>
    <mergeCell ref="E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3167-A006-4FDD-8301-EEE40B2D7990}">
  <dimension ref="A3:N1731"/>
  <sheetViews>
    <sheetView tabSelected="1" workbookViewId="0">
      <selection activeCell="A3" sqref="A3"/>
    </sheetView>
  </sheetViews>
  <sheetFormatPr defaultRowHeight="13.2" x14ac:dyDescent="0.25"/>
  <cols>
    <col min="1" max="1" width="18.21875" customWidth="1"/>
    <col min="2" max="2" width="14.88671875" customWidth="1"/>
    <col min="3" max="3" width="25.77734375" customWidth="1"/>
    <col min="4" max="4" width="22.44140625" customWidth="1"/>
    <col min="5" max="5" width="33.6640625" customWidth="1"/>
    <col min="6" max="6" width="30.77734375" customWidth="1"/>
    <col min="7" max="7" width="20" customWidth="1"/>
    <col min="8" max="8" width="20.88671875" customWidth="1"/>
    <col min="9" max="9" width="16.88671875" customWidth="1"/>
    <col min="10" max="10" width="21.33203125" customWidth="1"/>
  </cols>
  <sheetData>
    <row r="3" spans="1:14" ht="198" x14ac:dyDescent="0.25">
      <c r="A3" s="1" t="s">
        <v>96</v>
      </c>
      <c r="B3" s="1" t="s">
        <v>30</v>
      </c>
      <c r="C3" s="2" t="s">
        <v>1</v>
      </c>
      <c r="D3" s="1" t="s">
        <v>22</v>
      </c>
      <c r="E3" s="1" t="s">
        <v>23</v>
      </c>
      <c r="F3" s="2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2" t="s">
        <v>31</v>
      </c>
      <c r="M3" s="1" t="s">
        <v>40</v>
      </c>
      <c r="N3" s="1" t="s">
        <v>41</v>
      </c>
    </row>
    <row r="4" spans="1:14" x14ac:dyDescent="0.25">
      <c r="A4" s="23">
        <v>43101</v>
      </c>
      <c r="B4">
        <v>26.091999999999999</v>
      </c>
      <c r="C4" t="s">
        <v>2</v>
      </c>
      <c r="D4">
        <v>0.19800000000000001</v>
      </c>
      <c r="E4">
        <v>5.1662160000000004</v>
      </c>
      <c r="F4" t="s">
        <v>14</v>
      </c>
      <c r="G4">
        <v>0.19600000000000001</v>
      </c>
      <c r="H4">
        <v>1.012578336</v>
      </c>
      <c r="I4" t="s">
        <v>11</v>
      </c>
      <c r="J4">
        <v>8.8000000000000009E-2</v>
      </c>
      <c r="K4">
        <v>8.9106893568000015E-2</v>
      </c>
      <c r="L4" t="s">
        <v>32</v>
      </c>
      <c r="M4">
        <v>1.3000000000000001E-2</v>
      </c>
      <c r="N4">
        <v>1.3163518368000001E-2</v>
      </c>
    </row>
    <row r="5" spans="1:14" x14ac:dyDescent="0.25">
      <c r="A5" s="23">
        <v>43102</v>
      </c>
      <c r="B5">
        <v>26.091999999999999</v>
      </c>
      <c r="C5" t="s">
        <v>2</v>
      </c>
      <c r="D5">
        <v>0.19800000000000001</v>
      </c>
      <c r="E5">
        <v>5.1662160000000004</v>
      </c>
      <c r="F5" t="s">
        <v>43</v>
      </c>
      <c r="G5">
        <v>0.19600000000000001</v>
      </c>
      <c r="H5">
        <v>1.012578336</v>
      </c>
      <c r="I5" t="s">
        <v>12</v>
      </c>
      <c r="J5">
        <v>4.5999999999999999E-2</v>
      </c>
      <c r="K5">
        <v>4.6578603455999998E-2</v>
      </c>
      <c r="L5" t="s">
        <v>33</v>
      </c>
      <c r="M5">
        <v>9.6000000000000002E-2</v>
      </c>
      <c r="N5">
        <v>9.7207520256000005E-2</v>
      </c>
    </row>
    <row r="6" spans="1:14" x14ac:dyDescent="0.25">
      <c r="A6" s="23">
        <v>43103</v>
      </c>
      <c r="B6">
        <v>26.091999999999999</v>
      </c>
      <c r="C6" t="s">
        <v>2</v>
      </c>
      <c r="D6">
        <v>0.19800000000000001</v>
      </c>
      <c r="E6">
        <v>5.1662160000000004</v>
      </c>
      <c r="F6" t="s">
        <v>14</v>
      </c>
      <c r="G6">
        <v>0.19600000000000001</v>
      </c>
      <c r="H6">
        <v>1.012578336</v>
      </c>
      <c r="I6" t="s">
        <v>7</v>
      </c>
      <c r="J6">
        <v>5.9000000000000004E-2</v>
      </c>
      <c r="K6">
        <v>5.9742121824000002E-2</v>
      </c>
      <c r="L6" t="s">
        <v>34</v>
      </c>
      <c r="M6">
        <v>0.128</v>
      </c>
      <c r="N6">
        <v>0.12961002700800001</v>
      </c>
    </row>
    <row r="7" spans="1:14" x14ac:dyDescent="0.25">
      <c r="A7" s="23">
        <v>43104</v>
      </c>
      <c r="B7">
        <v>26.091999999999999</v>
      </c>
      <c r="C7" t="s">
        <v>2</v>
      </c>
      <c r="D7">
        <v>0.19800000000000001</v>
      </c>
      <c r="E7">
        <v>5.1662160000000004</v>
      </c>
      <c r="F7" t="s">
        <v>14</v>
      </c>
      <c r="G7">
        <v>0.19600000000000001</v>
      </c>
      <c r="H7">
        <v>1.012578336</v>
      </c>
      <c r="I7" t="s">
        <v>8</v>
      </c>
      <c r="J7">
        <v>0.315</v>
      </c>
      <c r="K7">
        <v>0.31896217584000003</v>
      </c>
      <c r="L7" t="s">
        <v>35</v>
      </c>
      <c r="M7">
        <v>0.24299999999999999</v>
      </c>
      <c r="N7">
        <v>0.24605653564800001</v>
      </c>
    </row>
    <row r="8" spans="1:14" x14ac:dyDescent="0.25">
      <c r="A8" s="23">
        <v>43105</v>
      </c>
      <c r="B8">
        <v>26.091999999999999</v>
      </c>
      <c r="C8" t="s">
        <v>2</v>
      </c>
      <c r="D8">
        <v>0.19800000000000001</v>
      </c>
      <c r="E8">
        <v>5.1662160000000004</v>
      </c>
      <c r="F8" t="s">
        <v>14</v>
      </c>
      <c r="G8">
        <v>0.19600000000000001</v>
      </c>
      <c r="H8">
        <v>1.012578336</v>
      </c>
      <c r="I8" t="s">
        <v>10</v>
      </c>
      <c r="J8">
        <v>5.2999999999999999E-2</v>
      </c>
      <c r="K8">
        <v>5.3666651808000003E-2</v>
      </c>
      <c r="L8" t="s">
        <v>36</v>
      </c>
      <c r="M8">
        <v>0.24100000000000002</v>
      </c>
      <c r="N8">
        <v>0.24403137897600002</v>
      </c>
    </row>
    <row r="9" spans="1:14" x14ac:dyDescent="0.25">
      <c r="A9" s="23">
        <v>43106</v>
      </c>
      <c r="B9">
        <v>26.091999999999999</v>
      </c>
      <c r="C9" t="s">
        <v>2</v>
      </c>
      <c r="D9">
        <v>0.19800000000000001</v>
      </c>
      <c r="E9">
        <v>5.1662160000000004</v>
      </c>
      <c r="F9" t="s">
        <v>14</v>
      </c>
      <c r="G9">
        <v>0.19600000000000001</v>
      </c>
      <c r="H9">
        <v>1.012578336</v>
      </c>
      <c r="I9" t="s">
        <v>9</v>
      </c>
      <c r="J9">
        <v>0.43200000000000005</v>
      </c>
      <c r="K9">
        <v>0.43743384115200007</v>
      </c>
      <c r="L9" t="s">
        <v>37</v>
      </c>
      <c r="M9">
        <v>0.26100000000000001</v>
      </c>
      <c r="N9">
        <v>0.26428294569600003</v>
      </c>
    </row>
    <row r="10" spans="1:14" x14ac:dyDescent="0.25">
      <c r="A10" s="23">
        <v>43107</v>
      </c>
      <c r="B10">
        <v>26.091999999999999</v>
      </c>
      <c r="C10" t="s">
        <v>2</v>
      </c>
      <c r="D10">
        <v>0.19800000000000001</v>
      </c>
      <c r="E10">
        <v>5.1662160000000004</v>
      </c>
      <c r="F10" t="s">
        <v>14</v>
      </c>
      <c r="G10">
        <v>0.19600000000000001</v>
      </c>
      <c r="H10">
        <v>1.012578336</v>
      </c>
      <c r="I10" t="s">
        <v>55</v>
      </c>
      <c r="J10">
        <v>6.9999999999999993E-3</v>
      </c>
      <c r="K10">
        <v>7.088048351999999E-3</v>
      </c>
      <c r="L10" t="s">
        <v>38</v>
      </c>
      <c r="M10">
        <v>6.0000000000000001E-3</v>
      </c>
      <c r="N10">
        <v>6.0754700160000003E-3</v>
      </c>
    </row>
    <row r="11" spans="1:14" x14ac:dyDescent="0.25">
      <c r="A11" s="23">
        <v>43108</v>
      </c>
      <c r="B11">
        <v>26.091999999999999</v>
      </c>
      <c r="C11" t="s">
        <v>2</v>
      </c>
      <c r="D11">
        <v>0.19800000000000001</v>
      </c>
      <c r="E11">
        <v>5.1662160000000004</v>
      </c>
      <c r="F11" t="s">
        <v>14</v>
      </c>
      <c r="G11">
        <v>0.19600000000000001</v>
      </c>
      <c r="H11">
        <v>1.012578336</v>
      </c>
      <c r="L11" t="s">
        <v>39</v>
      </c>
      <c r="M11">
        <v>1.2E-2</v>
      </c>
      <c r="N11">
        <v>1.2150940032000001E-2</v>
      </c>
    </row>
    <row r="12" spans="1:14" x14ac:dyDescent="0.25">
      <c r="A12" s="23">
        <v>43109</v>
      </c>
      <c r="B12">
        <v>26.091999999999999</v>
      </c>
      <c r="C12" t="s">
        <v>2</v>
      </c>
      <c r="D12">
        <v>0.19800000000000001</v>
      </c>
      <c r="E12">
        <v>5.1662160000000004</v>
      </c>
      <c r="F12" t="s">
        <v>44</v>
      </c>
      <c r="G12">
        <v>0.17699999999999999</v>
      </c>
      <c r="H12">
        <v>0.914420232</v>
      </c>
      <c r="I12" t="s">
        <v>11</v>
      </c>
      <c r="J12">
        <v>5.7000000000000002E-2</v>
      </c>
      <c r="K12">
        <v>5.2121953224000005E-2</v>
      </c>
      <c r="L12" t="s">
        <v>32</v>
      </c>
      <c r="M12">
        <v>2.1000000000000001E-2</v>
      </c>
      <c r="N12">
        <v>1.9202824872E-2</v>
      </c>
    </row>
    <row r="13" spans="1:14" x14ac:dyDescent="0.25">
      <c r="A13" s="23">
        <v>43110</v>
      </c>
      <c r="B13">
        <v>26.091999999999999</v>
      </c>
      <c r="C13" t="s">
        <v>2</v>
      </c>
      <c r="D13">
        <v>0.19800000000000001</v>
      </c>
      <c r="E13">
        <v>5.1662160000000004</v>
      </c>
      <c r="F13" t="s">
        <v>15</v>
      </c>
      <c r="G13">
        <v>0.17699999999999999</v>
      </c>
      <c r="H13">
        <v>0.914420232</v>
      </c>
      <c r="I13" t="s">
        <v>12</v>
      </c>
      <c r="J13">
        <v>2.1000000000000001E-2</v>
      </c>
      <c r="K13">
        <v>1.9202824872E-2</v>
      </c>
      <c r="L13" t="s">
        <v>33</v>
      </c>
      <c r="M13">
        <v>0.04</v>
      </c>
      <c r="N13">
        <v>3.6576809280000004E-2</v>
      </c>
    </row>
    <row r="14" spans="1:14" x14ac:dyDescent="0.25">
      <c r="A14" s="23">
        <v>43111</v>
      </c>
      <c r="B14">
        <v>26.091999999999999</v>
      </c>
      <c r="C14" t="s">
        <v>2</v>
      </c>
      <c r="D14">
        <v>0.19800000000000001</v>
      </c>
      <c r="E14">
        <v>5.1662160000000004</v>
      </c>
      <c r="F14" t="s">
        <v>15</v>
      </c>
      <c r="G14">
        <v>0.17699999999999999</v>
      </c>
      <c r="H14">
        <v>0.914420232</v>
      </c>
      <c r="I14" t="s">
        <v>7</v>
      </c>
      <c r="J14">
        <v>0</v>
      </c>
      <c r="K14">
        <v>0</v>
      </c>
      <c r="L14" t="s">
        <v>34</v>
      </c>
      <c r="M14">
        <v>0.13500000000000001</v>
      </c>
      <c r="N14">
        <v>0.12344673132</v>
      </c>
    </row>
    <row r="15" spans="1:14" x14ac:dyDescent="0.25">
      <c r="A15" s="23">
        <v>43112</v>
      </c>
      <c r="B15">
        <v>26.091999999999999</v>
      </c>
      <c r="C15" t="s">
        <v>2</v>
      </c>
      <c r="D15">
        <v>0.19800000000000001</v>
      </c>
      <c r="E15">
        <v>5.1662160000000004</v>
      </c>
      <c r="F15" t="s">
        <v>15</v>
      </c>
      <c r="G15">
        <v>0.17699999999999999</v>
      </c>
      <c r="H15">
        <v>0.914420232</v>
      </c>
      <c r="I15" t="s">
        <v>8</v>
      </c>
      <c r="J15">
        <v>0.27399999999999997</v>
      </c>
      <c r="K15">
        <v>0.25055114356799996</v>
      </c>
      <c r="L15" t="s">
        <v>35</v>
      </c>
      <c r="M15">
        <v>0.33700000000000002</v>
      </c>
      <c r="N15">
        <v>0.30815961818400001</v>
      </c>
    </row>
    <row r="16" spans="1:14" x14ac:dyDescent="0.25">
      <c r="A16" s="23">
        <v>43113</v>
      </c>
      <c r="B16">
        <v>26.091999999999999</v>
      </c>
      <c r="C16" t="s">
        <v>2</v>
      </c>
      <c r="D16">
        <v>0.19800000000000001</v>
      </c>
      <c r="E16">
        <v>5.1662160000000004</v>
      </c>
      <c r="F16" t="s">
        <v>15</v>
      </c>
      <c r="G16">
        <v>0.17699999999999999</v>
      </c>
      <c r="H16">
        <v>0.914420232</v>
      </c>
      <c r="I16" t="s">
        <v>10</v>
      </c>
      <c r="J16">
        <v>4.4999999999999998E-2</v>
      </c>
      <c r="K16">
        <v>4.1148910439999999E-2</v>
      </c>
      <c r="L16" t="s">
        <v>36</v>
      </c>
      <c r="M16">
        <v>0.28600000000000003</v>
      </c>
      <c r="N16">
        <v>0.26152418635200003</v>
      </c>
    </row>
    <row r="17" spans="1:14" x14ac:dyDescent="0.25">
      <c r="A17" s="23">
        <v>43114</v>
      </c>
      <c r="B17">
        <v>26.091999999999999</v>
      </c>
      <c r="C17" t="s">
        <v>2</v>
      </c>
      <c r="D17">
        <v>0.19800000000000001</v>
      </c>
      <c r="E17">
        <v>5.1662160000000004</v>
      </c>
      <c r="F17" t="s">
        <v>15</v>
      </c>
      <c r="G17">
        <v>0.17699999999999999</v>
      </c>
      <c r="H17">
        <v>0.914420232</v>
      </c>
      <c r="I17" t="s">
        <v>9</v>
      </c>
      <c r="J17">
        <v>0.52200000000000002</v>
      </c>
      <c r="K17">
        <v>0.47732736110400004</v>
      </c>
      <c r="L17" t="s">
        <v>37</v>
      </c>
      <c r="M17">
        <v>0.18100000000000002</v>
      </c>
      <c r="N17">
        <v>0.16551006199200002</v>
      </c>
    </row>
    <row r="18" spans="1:14" x14ac:dyDescent="0.25">
      <c r="A18" s="23">
        <v>43115</v>
      </c>
      <c r="B18">
        <v>26.091999999999999</v>
      </c>
      <c r="C18" t="s">
        <v>2</v>
      </c>
      <c r="D18">
        <v>0.19800000000000001</v>
      </c>
      <c r="E18">
        <v>5.1662160000000004</v>
      </c>
      <c r="F18" t="s">
        <v>15</v>
      </c>
      <c r="G18">
        <v>0.17699999999999999</v>
      </c>
      <c r="H18">
        <v>0.914420232</v>
      </c>
      <c r="I18" t="s">
        <v>55</v>
      </c>
      <c r="J18">
        <v>6.2E-2</v>
      </c>
      <c r="K18">
        <v>5.6694054383999999E-2</v>
      </c>
      <c r="L18" t="s">
        <v>38</v>
      </c>
      <c r="M18">
        <v>0</v>
      </c>
      <c r="N18">
        <v>0</v>
      </c>
    </row>
    <row r="19" spans="1:14" x14ac:dyDescent="0.25">
      <c r="A19" s="23">
        <v>43116</v>
      </c>
      <c r="B19">
        <v>26.091999999999999</v>
      </c>
      <c r="C19" t="s">
        <v>2</v>
      </c>
      <c r="D19">
        <v>0.19800000000000001</v>
      </c>
      <c r="E19">
        <v>5.1662160000000004</v>
      </c>
      <c r="F19" t="s">
        <v>15</v>
      </c>
      <c r="G19">
        <v>0.17699999999999999</v>
      </c>
      <c r="H19">
        <v>0.914420232</v>
      </c>
      <c r="J19" t="s">
        <v>56</v>
      </c>
      <c r="L19" t="s">
        <v>39</v>
      </c>
      <c r="M19">
        <v>0</v>
      </c>
      <c r="N19">
        <v>0</v>
      </c>
    </row>
    <row r="20" spans="1:14" x14ac:dyDescent="0.25">
      <c r="A20" s="23">
        <v>43117</v>
      </c>
      <c r="B20">
        <v>26.091999999999999</v>
      </c>
      <c r="C20" t="s">
        <v>2</v>
      </c>
      <c r="D20">
        <v>0.19800000000000001</v>
      </c>
      <c r="E20">
        <v>5.1662160000000004</v>
      </c>
      <c r="F20" t="s">
        <v>45</v>
      </c>
      <c r="G20">
        <v>0.19699999999999998</v>
      </c>
      <c r="H20">
        <v>1.0177445519999999</v>
      </c>
      <c r="I20" t="s">
        <v>11</v>
      </c>
      <c r="J20">
        <v>0.106</v>
      </c>
      <c r="K20">
        <v>0.10788092251199999</v>
      </c>
      <c r="L20" t="s">
        <v>32</v>
      </c>
      <c r="M20">
        <v>0.02</v>
      </c>
      <c r="N20">
        <v>2.035489104E-2</v>
      </c>
    </row>
    <row r="21" spans="1:14" x14ac:dyDescent="0.25">
      <c r="A21" s="23">
        <v>43118</v>
      </c>
      <c r="B21">
        <v>26.091999999999999</v>
      </c>
      <c r="C21" t="s">
        <v>2</v>
      </c>
      <c r="D21">
        <v>0.19800000000000001</v>
      </c>
      <c r="E21">
        <v>5.1662160000000004</v>
      </c>
      <c r="F21" t="s">
        <v>16</v>
      </c>
      <c r="G21">
        <v>0.19699999999999998</v>
      </c>
      <c r="H21">
        <v>1.0177445519999999</v>
      </c>
      <c r="I21" t="s">
        <v>12</v>
      </c>
      <c r="J21">
        <v>2.3E-2</v>
      </c>
      <c r="K21">
        <v>2.3408124695999996E-2</v>
      </c>
      <c r="L21" t="s">
        <v>33</v>
      </c>
      <c r="M21">
        <v>0.11599999999999999</v>
      </c>
      <c r="N21">
        <v>0.11805836803199998</v>
      </c>
    </row>
    <row r="22" spans="1:14" x14ac:dyDescent="0.25">
      <c r="A22" s="23">
        <v>43119</v>
      </c>
      <c r="B22">
        <v>26.091999999999999</v>
      </c>
      <c r="C22" t="s">
        <v>2</v>
      </c>
      <c r="D22">
        <v>0.19800000000000001</v>
      </c>
      <c r="E22">
        <v>5.1662160000000004</v>
      </c>
      <c r="F22" t="s">
        <v>16</v>
      </c>
      <c r="G22">
        <v>0.19699999999999998</v>
      </c>
      <c r="H22">
        <v>1.0177445519999999</v>
      </c>
      <c r="I22" t="s">
        <v>7</v>
      </c>
      <c r="J22">
        <v>4.9000000000000002E-2</v>
      </c>
      <c r="K22">
        <v>4.9869483047999999E-2</v>
      </c>
      <c r="L22" t="s">
        <v>34</v>
      </c>
      <c r="M22">
        <v>0.19500000000000001</v>
      </c>
      <c r="N22">
        <v>0.19846018763999998</v>
      </c>
    </row>
    <row r="23" spans="1:14" x14ac:dyDescent="0.25">
      <c r="A23" s="23">
        <v>43120</v>
      </c>
      <c r="B23">
        <v>26.091999999999999</v>
      </c>
      <c r="C23" t="s">
        <v>2</v>
      </c>
      <c r="D23">
        <v>0.19800000000000001</v>
      </c>
      <c r="E23">
        <v>5.1662160000000004</v>
      </c>
      <c r="F23" t="s">
        <v>16</v>
      </c>
      <c r="G23">
        <v>0.19699999999999998</v>
      </c>
      <c r="H23">
        <v>1.0177445519999999</v>
      </c>
      <c r="I23" t="s">
        <v>8</v>
      </c>
      <c r="J23">
        <v>0.28300000000000003</v>
      </c>
      <c r="K23">
        <v>0.28802170821599998</v>
      </c>
      <c r="L23" t="s">
        <v>35</v>
      </c>
      <c r="M23">
        <v>0.23100000000000001</v>
      </c>
      <c r="N23">
        <v>0.23509899151199998</v>
      </c>
    </row>
    <row r="24" spans="1:14" x14ac:dyDescent="0.25">
      <c r="A24" s="23">
        <v>43121</v>
      </c>
      <c r="B24">
        <v>26.091999999999999</v>
      </c>
      <c r="C24" t="s">
        <v>2</v>
      </c>
      <c r="D24">
        <v>0.19800000000000001</v>
      </c>
      <c r="E24">
        <v>5.1662160000000004</v>
      </c>
      <c r="F24" t="s">
        <v>16</v>
      </c>
      <c r="G24">
        <v>0.19699999999999998</v>
      </c>
      <c r="H24">
        <v>1.0177445519999999</v>
      </c>
      <c r="I24" t="s">
        <v>10</v>
      </c>
      <c r="J24">
        <v>6.3E-2</v>
      </c>
      <c r="K24">
        <v>6.4117906775999989E-2</v>
      </c>
      <c r="L24" t="s">
        <v>36</v>
      </c>
      <c r="M24">
        <v>0.214</v>
      </c>
      <c r="N24">
        <v>0.21779733412799998</v>
      </c>
    </row>
    <row r="25" spans="1:14" x14ac:dyDescent="0.25">
      <c r="A25" s="23">
        <v>43122</v>
      </c>
      <c r="B25">
        <v>26.091999999999999</v>
      </c>
      <c r="C25" t="s">
        <v>2</v>
      </c>
      <c r="D25">
        <v>0.19800000000000001</v>
      </c>
      <c r="E25">
        <v>5.1662160000000004</v>
      </c>
      <c r="F25" t="s">
        <v>16</v>
      </c>
      <c r="G25">
        <v>0.19699999999999998</v>
      </c>
      <c r="H25">
        <v>1.0177445519999999</v>
      </c>
      <c r="I25" t="s">
        <v>9</v>
      </c>
      <c r="J25">
        <v>0.46500000000000002</v>
      </c>
      <c r="K25">
        <v>0.47325121667999998</v>
      </c>
      <c r="L25" t="s">
        <v>37</v>
      </c>
      <c r="M25">
        <v>0.19899999999999998</v>
      </c>
      <c r="N25">
        <v>0.20253116584799996</v>
      </c>
    </row>
    <row r="26" spans="1:14" x14ac:dyDescent="0.25">
      <c r="A26" s="23">
        <v>43123</v>
      </c>
      <c r="B26">
        <v>26.091999999999999</v>
      </c>
      <c r="C26" t="s">
        <v>2</v>
      </c>
      <c r="D26">
        <v>0.19800000000000001</v>
      </c>
      <c r="E26">
        <v>5.1662160000000004</v>
      </c>
      <c r="F26" t="s">
        <v>16</v>
      </c>
      <c r="G26">
        <v>0.19699999999999998</v>
      </c>
      <c r="H26">
        <v>1.0177445519999999</v>
      </c>
      <c r="I26" t="s">
        <v>55</v>
      </c>
      <c r="J26">
        <v>0.01</v>
      </c>
      <c r="K26">
        <v>1.017744552E-2</v>
      </c>
      <c r="L26" t="s">
        <v>38</v>
      </c>
      <c r="M26">
        <v>1.8000000000000002E-2</v>
      </c>
      <c r="N26">
        <v>1.8319401936000002E-2</v>
      </c>
    </row>
    <row r="27" spans="1:14" x14ac:dyDescent="0.25">
      <c r="A27" s="23">
        <v>43124</v>
      </c>
      <c r="B27">
        <v>26.091999999999999</v>
      </c>
      <c r="C27" t="s">
        <v>2</v>
      </c>
      <c r="D27">
        <v>0.19800000000000001</v>
      </c>
      <c r="E27">
        <v>5.1662160000000004</v>
      </c>
      <c r="F27" t="s">
        <v>16</v>
      </c>
      <c r="G27">
        <v>0.19699999999999998</v>
      </c>
      <c r="H27">
        <v>1.0177445519999999</v>
      </c>
      <c r="L27" t="s">
        <v>39</v>
      </c>
      <c r="M27">
        <v>6.0000000000000001E-3</v>
      </c>
      <c r="N27">
        <v>6.1064673119999996E-3</v>
      </c>
    </row>
    <row r="28" spans="1:14" x14ac:dyDescent="0.25">
      <c r="A28" s="23">
        <v>43125</v>
      </c>
      <c r="B28">
        <v>26.091999999999999</v>
      </c>
      <c r="C28" t="s">
        <v>2</v>
      </c>
      <c r="D28">
        <v>0.19800000000000001</v>
      </c>
      <c r="E28">
        <v>5.1662160000000004</v>
      </c>
      <c r="F28" t="s">
        <v>46</v>
      </c>
      <c r="G28">
        <v>0.22899999999999998</v>
      </c>
      <c r="H28">
        <v>1.183063464</v>
      </c>
      <c r="I28" t="s">
        <v>11</v>
      </c>
      <c r="J28">
        <v>0.312</v>
      </c>
      <c r="K28">
        <v>0.36911580076799999</v>
      </c>
      <c r="L28" t="s">
        <v>32</v>
      </c>
      <c r="M28">
        <v>0.03</v>
      </c>
      <c r="N28">
        <v>3.5491903919999998E-2</v>
      </c>
    </row>
    <row r="29" spans="1:14" x14ac:dyDescent="0.25">
      <c r="A29" s="23">
        <v>43126</v>
      </c>
      <c r="B29">
        <v>26.091999999999999</v>
      </c>
      <c r="C29" t="s">
        <v>2</v>
      </c>
      <c r="D29">
        <v>0.19800000000000001</v>
      </c>
      <c r="E29">
        <v>5.1662160000000004</v>
      </c>
      <c r="F29" t="s">
        <v>13</v>
      </c>
      <c r="G29">
        <v>0.22899999999999998</v>
      </c>
      <c r="H29">
        <v>1.183063464</v>
      </c>
      <c r="I29" t="s">
        <v>12</v>
      </c>
      <c r="J29">
        <v>3.5000000000000003E-2</v>
      </c>
      <c r="K29">
        <v>4.140722124E-2</v>
      </c>
      <c r="L29" t="s">
        <v>33</v>
      </c>
      <c r="M29">
        <v>0.09</v>
      </c>
      <c r="N29">
        <v>0.10647571175999999</v>
      </c>
    </row>
    <row r="30" spans="1:14" x14ac:dyDescent="0.25">
      <c r="A30" s="23">
        <v>43127</v>
      </c>
      <c r="B30">
        <v>26.091999999999999</v>
      </c>
      <c r="C30" t="s">
        <v>2</v>
      </c>
      <c r="D30">
        <v>0.19800000000000001</v>
      </c>
      <c r="E30">
        <v>5.1662160000000004</v>
      </c>
      <c r="F30" t="s">
        <v>13</v>
      </c>
      <c r="G30">
        <v>0.22899999999999998</v>
      </c>
      <c r="H30">
        <v>1.183063464</v>
      </c>
      <c r="I30" t="s">
        <v>7</v>
      </c>
      <c r="J30">
        <v>0.11699999999999999</v>
      </c>
      <c r="K30">
        <v>0.138418425288</v>
      </c>
      <c r="L30" t="s">
        <v>34</v>
      </c>
      <c r="M30">
        <v>0.115</v>
      </c>
      <c r="N30">
        <v>0.13605229835999999</v>
      </c>
    </row>
    <row r="31" spans="1:14" x14ac:dyDescent="0.25">
      <c r="A31" s="23">
        <v>43128</v>
      </c>
      <c r="B31">
        <v>26.091999999999999</v>
      </c>
      <c r="C31" t="s">
        <v>2</v>
      </c>
      <c r="D31">
        <v>0.19800000000000001</v>
      </c>
      <c r="E31">
        <v>5.1662160000000004</v>
      </c>
      <c r="F31" t="s">
        <v>13</v>
      </c>
      <c r="G31">
        <v>0.22899999999999998</v>
      </c>
      <c r="H31">
        <v>1.183063464</v>
      </c>
      <c r="I31" t="s">
        <v>8</v>
      </c>
      <c r="J31">
        <v>0.29699999999999999</v>
      </c>
      <c r="K31">
        <v>0.35136984880799998</v>
      </c>
      <c r="L31" t="s">
        <v>35</v>
      </c>
      <c r="M31">
        <v>0.27500000000000002</v>
      </c>
      <c r="N31">
        <v>0.3253424526</v>
      </c>
    </row>
    <row r="32" spans="1:14" x14ac:dyDescent="0.25">
      <c r="A32" s="23">
        <v>43129</v>
      </c>
      <c r="B32">
        <v>26.091999999999999</v>
      </c>
      <c r="C32" t="s">
        <v>2</v>
      </c>
      <c r="D32">
        <v>0.19800000000000001</v>
      </c>
      <c r="E32">
        <v>5.1662160000000004</v>
      </c>
      <c r="F32" t="s">
        <v>13</v>
      </c>
      <c r="G32">
        <v>0.22899999999999998</v>
      </c>
      <c r="H32">
        <v>1.183063464</v>
      </c>
      <c r="I32" t="s">
        <v>10</v>
      </c>
      <c r="J32">
        <v>4.8000000000000001E-2</v>
      </c>
      <c r="K32">
        <v>5.6787046272E-2</v>
      </c>
      <c r="L32" t="s">
        <v>36</v>
      </c>
      <c r="M32">
        <v>0.26</v>
      </c>
      <c r="N32">
        <v>0.30759650063999999</v>
      </c>
    </row>
    <row r="33" spans="1:14" x14ac:dyDescent="0.25">
      <c r="A33" s="23">
        <v>43130</v>
      </c>
      <c r="B33">
        <v>26.091999999999999</v>
      </c>
      <c r="C33" t="s">
        <v>2</v>
      </c>
      <c r="D33">
        <v>0.19800000000000001</v>
      </c>
      <c r="E33">
        <v>5.1662160000000004</v>
      </c>
      <c r="F33" t="s">
        <v>13</v>
      </c>
      <c r="G33">
        <v>0.22899999999999998</v>
      </c>
      <c r="H33">
        <v>1.183063464</v>
      </c>
      <c r="I33" t="s">
        <v>9</v>
      </c>
      <c r="J33">
        <v>0.17300000000000001</v>
      </c>
      <c r="K33">
        <v>0.20466997927200001</v>
      </c>
      <c r="L33" t="s">
        <v>37</v>
      </c>
      <c r="M33">
        <v>0.19699999999999998</v>
      </c>
      <c r="N33">
        <v>0.30759650063999999</v>
      </c>
    </row>
    <row r="34" spans="1:14" x14ac:dyDescent="0.25">
      <c r="A34" s="23">
        <v>43131</v>
      </c>
      <c r="B34">
        <v>26.091999999999999</v>
      </c>
      <c r="C34" t="s">
        <v>2</v>
      </c>
      <c r="D34">
        <v>0.19800000000000001</v>
      </c>
      <c r="E34">
        <v>5.1662160000000004</v>
      </c>
      <c r="F34" t="s">
        <v>13</v>
      </c>
      <c r="G34">
        <v>0.22899999999999998</v>
      </c>
      <c r="H34">
        <v>1.183063464</v>
      </c>
      <c r="I34" t="s">
        <v>55</v>
      </c>
      <c r="J34">
        <v>1.8000000000000002E-2</v>
      </c>
      <c r="L34" t="s">
        <v>38</v>
      </c>
      <c r="M34">
        <v>2.2000000000000002E-2</v>
      </c>
      <c r="N34">
        <v>0.23306350240799997</v>
      </c>
    </row>
    <row r="35" spans="1:14" x14ac:dyDescent="0.25">
      <c r="A35" s="23">
        <v>43132</v>
      </c>
      <c r="B35">
        <v>26.091999999999999</v>
      </c>
      <c r="C35" t="s">
        <v>2</v>
      </c>
      <c r="D35">
        <v>0.19800000000000001</v>
      </c>
      <c r="E35">
        <v>5.1662160000000004</v>
      </c>
      <c r="F35" t="s">
        <v>13</v>
      </c>
      <c r="G35">
        <v>0.22899999999999998</v>
      </c>
      <c r="H35">
        <v>1.183063464</v>
      </c>
      <c r="L35" t="s">
        <v>39</v>
      </c>
      <c r="M35">
        <v>1.2E-2</v>
      </c>
      <c r="N35">
        <v>2.6027396208E-2</v>
      </c>
    </row>
    <row r="36" spans="1:14" x14ac:dyDescent="0.25">
      <c r="A36" s="23">
        <v>43133</v>
      </c>
      <c r="B36">
        <v>26.091999999999999</v>
      </c>
      <c r="C36" t="s">
        <v>2</v>
      </c>
      <c r="D36">
        <v>0.19800000000000001</v>
      </c>
      <c r="E36">
        <v>5.1662160000000004</v>
      </c>
      <c r="F36" t="s">
        <v>47</v>
      </c>
      <c r="G36">
        <v>0.13900000000000001</v>
      </c>
      <c r="H36">
        <v>0.71810402400000006</v>
      </c>
      <c r="I36" t="s">
        <v>11</v>
      </c>
      <c r="J36">
        <v>0</v>
      </c>
      <c r="K36">
        <v>0</v>
      </c>
      <c r="L36" t="s">
        <v>32</v>
      </c>
      <c r="M36">
        <v>0</v>
      </c>
      <c r="N36">
        <v>0</v>
      </c>
    </row>
    <row r="37" spans="1:14" x14ac:dyDescent="0.25">
      <c r="A37" s="23">
        <v>43134</v>
      </c>
      <c r="B37">
        <v>26.091999999999999</v>
      </c>
      <c r="C37" t="s">
        <v>2</v>
      </c>
      <c r="D37">
        <v>0.19800000000000001</v>
      </c>
      <c r="E37">
        <v>5.1662160000000004</v>
      </c>
      <c r="F37" t="s">
        <v>17</v>
      </c>
      <c r="G37">
        <v>0.13900000000000001</v>
      </c>
      <c r="H37">
        <v>0.71810402400000006</v>
      </c>
      <c r="I37" t="s">
        <v>12</v>
      </c>
      <c r="J37">
        <v>0</v>
      </c>
      <c r="K37">
        <v>0</v>
      </c>
      <c r="L37" t="s">
        <v>33</v>
      </c>
      <c r="M37">
        <v>0</v>
      </c>
      <c r="N37">
        <v>0</v>
      </c>
    </row>
    <row r="38" spans="1:14" x14ac:dyDescent="0.25">
      <c r="A38" s="23">
        <v>43135</v>
      </c>
      <c r="B38">
        <v>26.091999999999999</v>
      </c>
      <c r="C38" t="s">
        <v>2</v>
      </c>
      <c r="D38">
        <v>0.19800000000000001</v>
      </c>
      <c r="E38">
        <v>5.1662160000000004</v>
      </c>
      <c r="F38" t="s">
        <v>17</v>
      </c>
      <c r="G38">
        <v>0.13900000000000001</v>
      </c>
      <c r="H38">
        <v>0.71810402400000006</v>
      </c>
      <c r="I38" t="s">
        <v>7</v>
      </c>
      <c r="J38">
        <v>0</v>
      </c>
      <c r="K38">
        <v>0</v>
      </c>
      <c r="L38" t="s">
        <v>34</v>
      </c>
      <c r="M38">
        <v>0.13</v>
      </c>
      <c r="N38">
        <v>9.3353523120000018E-2</v>
      </c>
    </row>
    <row r="39" spans="1:14" x14ac:dyDescent="0.25">
      <c r="A39" s="23">
        <v>43136</v>
      </c>
      <c r="B39">
        <v>26.091999999999999</v>
      </c>
      <c r="C39" t="s">
        <v>2</v>
      </c>
      <c r="D39">
        <v>0.19800000000000001</v>
      </c>
      <c r="E39">
        <v>5.1662160000000004</v>
      </c>
      <c r="F39" t="s">
        <v>17</v>
      </c>
      <c r="G39">
        <v>0.13900000000000001</v>
      </c>
      <c r="H39">
        <v>0.71810402400000006</v>
      </c>
      <c r="I39" t="s">
        <v>8</v>
      </c>
      <c r="J39">
        <v>0.75800000000000001</v>
      </c>
      <c r="K39">
        <v>0.54432285019200011</v>
      </c>
      <c r="L39" t="s">
        <v>35</v>
      </c>
      <c r="M39">
        <v>0.57999999999999996</v>
      </c>
      <c r="N39">
        <v>0.41650033392000002</v>
      </c>
    </row>
    <row r="40" spans="1:14" x14ac:dyDescent="0.25">
      <c r="A40" s="23">
        <v>43137</v>
      </c>
      <c r="B40">
        <v>26.091999999999999</v>
      </c>
      <c r="C40" t="s">
        <v>2</v>
      </c>
      <c r="D40">
        <v>0.19800000000000001</v>
      </c>
      <c r="E40">
        <v>5.1662160000000004</v>
      </c>
      <c r="F40" t="s">
        <v>17</v>
      </c>
      <c r="G40">
        <v>0.13900000000000001</v>
      </c>
      <c r="H40">
        <v>0.71810402400000006</v>
      </c>
      <c r="I40" t="s">
        <v>10</v>
      </c>
      <c r="J40">
        <v>0</v>
      </c>
      <c r="K40">
        <v>0</v>
      </c>
      <c r="L40" t="s">
        <v>36</v>
      </c>
      <c r="M40">
        <v>0.193</v>
      </c>
      <c r="N40">
        <v>0.13859407663200002</v>
      </c>
    </row>
    <row r="41" spans="1:14" x14ac:dyDescent="0.25">
      <c r="A41" s="23">
        <v>43138</v>
      </c>
      <c r="B41">
        <v>26.091999999999999</v>
      </c>
      <c r="C41" t="s">
        <v>2</v>
      </c>
      <c r="D41">
        <v>0.19800000000000001</v>
      </c>
      <c r="E41">
        <v>5.1662160000000004</v>
      </c>
      <c r="F41" t="s">
        <v>17</v>
      </c>
      <c r="G41">
        <v>0.13900000000000001</v>
      </c>
      <c r="H41">
        <v>0.71810402400000006</v>
      </c>
      <c r="I41" t="s">
        <v>9</v>
      </c>
      <c r="J41">
        <v>0.24199999999999999</v>
      </c>
      <c r="K41">
        <v>0.17378117380800001</v>
      </c>
      <c r="L41" t="s">
        <v>37</v>
      </c>
      <c r="M41">
        <v>9.6000000000000002E-2</v>
      </c>
      <c r="N41">
        <v>6.8937986304000012E-2</v>
      </c>
    </row>
    <row r="42" spans="1:14" x14ac:dyDescent="0.25">
      <c r="A42" s="23">
        <v>43139</v>
      </c>
      <c r="B42">
        <v>26.091999999999999</v>
      </c>
      <c r="C42" t="s">
        <v>2</v>
      </c>
      <c r="D42">
        <v>0.19800000000000001</v>
      </c>
      <c r="E42">
        <v>5.1662160000000004</v>
      </c>
      <c r="F42" t="s">
        <v>17</v>
      </c>
      <c r="G42">
        <v>0.13900000000000001</v>
      </c>
      <c r="H42">
        <v>0.71810402400000006</v>
      </c>
      <c r="I42" t="s">
        <v>55</v>
      </c>
      <c r="J42">
        <v>0</v>
      </c>
      <c r="L42" t="s">
        <v>38</v>
      </c>
      <c r="M42">
        <v>0</v>
      </c>
      <c r="N42">
        <v>0</v>
      </c>
    </row>
    <row r="43" spans="1:14" x14ac:dyDescent="0.25">
      <c r="A43" s="23">
        <v>43140</v>
      </c>
      <c r="B43">
        <v>26.091999999999999</v>
      </c>
      <c r="C43" t="s">
        <v>2</v>
      </c>
      <c r="D43">
        <v>0.19800000000000001</v>
      </c>
      <c r="E43">
        <v>5.1662160000000004</v>
      </c>
      <c r="F43" t="s">
        <v>17</v>
      </c>
      <c r="G43">
        <v>0.13900000000000001</v>
      </c>
      <c r="H43">
        <v>0.71810402400000006</v>
      </c>
      <c r="L43" t="s">
        <v>39</v>
      </c>
      <c r="M43">
        <v>0</v>
      </c>
      <c r="N43">
        <v>0</v>
      </c>
    </row>
    <row r="44" spans="1:14" x14ac:dyDescent="0.25">
      <c r="A44" s="23">
        <v>43141</v>
      </c>
      <c r="B44">
        <v>26.091999999999999</v>
      </c>
      <c r="C44" t="s">
        <v>2</v>
      </c>
      <c r="D44">
        <v>0.19800000000000001</v>
      </c>
      <c r="E44">
        <v>5.1662160000000004</v>
      </c>
      <c r="F44" t="s">
        <v>18</v>
      </c>
      <c r="G44">
        <v>0.158</v>
      </c>
      <c r="H44">
        <v>0.81626212800000009</v>
      </c>
      <c r="I44" t="s">
        <v>11</v>
      </c>
      <c r="J44">
        <v>0.42700000000000005</v>
      </c>
      <c r="K44">
        <v>0.34854392865600009</v>
      </c>
      <c r="L44" t="s">
        <v>32</v>
      </c>
      <c r="M44">
        <v>0.05</v>
      </c>
      <c r="N44">
        <v>4.0813106400000007E-2</v>
      </c>
    </row>
    <row r="45" spans="1:14" x14ac:dyDescent="0.25">
      <c r="A45" s="23">
        <v>43142</v>
      </c>
      <c r="B45">
        <v>26.091999999999999</v>
      </c>
      <c r="C45" t="s">
        <v>2</v>
      </c>
      <c r="D45">
        <v>0.19800000000000001</v>
      </c>
      <c r="E45">
        <v>5.1662160000000004</v>
      </c>
      <c r="F45" t="s">
        <v>18</v>
      </c>
      <c r="G45">
        <v>0.158</v>
      </c>
      <c r="H45">
        <v>0.81626212800000009</v>
      </c>
      <c r="I45" t="s">
        <v>12</v>
      </c>
      <c r="J45">
        <v>5.0999999999999997E-2</v>
      </c>
      <c r="K45">
        <v>4.1629368528000005E-2</v>
      </c>
      <c r="L45" t="s">
        <v>33</v>
      </c>
      <c r="M45">
        <v>0.107</v>
      </c>
      <c r="N45">
        <v>8.7340047696000012E-2</v>
      </c>
    </row>
    <row r="46" spans="1:14" x14ac:dyDescent="0.25">
      <c r="A46" s="23">
        <v>43143</v>
      </c>
      <c r="B46">
        <v>26.091999999999999</v>
      </c>
      <c r="C46" t="s">
        <v>2</v>
      </c>
      <c r="D46">
        <v>0.19800000000000001</v>
      </c>
      <c r="E46">
        <v>5.1662160000000004</v>
      </c>
      <c r="F46" t="s">
        <v>18</v>
      </c>
      <c r="G46">
        <v>0.158</v>
      </c>
      <c r="H46">
        <v>0.81626212800000009</v>
      </c>
      <c r="I46" t="s">
        <v>7</v>
      </c>
      <c r="J46">
        <v>9.0999999999999998E-2</v>
      </c>
      <c r="K46">
        <v>7.4279853648000008E-2</v>
      </c>
      <c r="L46" t="s">
        <v>34</v>
      </c>
      <c r="M46">
        <v>0.14300000000000002</v>
      </c>
      <c r="N46">
        <v>0.11672548430400002</v>
      </c>
    </row>
    <row r="47" spans="1:14" x14ac:dyDescent="0.25">
      <c r="A47" s="23">
        <v>43144</v>
      </c>
      <c r="B47">
        <v>26.091999999999999</v>
      </c>
      <c r="C47" t="s">
        <v>2</v>
      </c>
      <c r="D47">
        <v>0.19800000000000001</v>
      </c>
      <c r="E47">
        <v>5.1662160000000004</v>
      </c>
      <c r="F47" t="s">
        <v>18</v>
      </c>
      <c r="G47">
        <v>0.158</v>
      </c>
      <c r="H47">
        <v>0.81626212800000009</v>
      </c>
      <c r="I47" t="s">
        <v>8</v>
      </c>
      <c r="J47">
        <v>0.20899999999999999</v>
      </c>
      <c r="K47">
        <v>9.7951455360000012E-3</v>
      </c>
      <c r="L47" t="s">
        <v>35</v>
      </c>
      <c r="M47">
        <v>0.28199999999999997</v>
      </c>
      <c r="N47">
        <v>0.230185920096</v>
      </c>
    </row>
    <row r="48" spans="1:14" x14ac:dyDescent="0.25">
      <c r="A48" s="23">
        <v>43145</v>
      </c>
      <c r="B48">
        <v>26.091999999999999</v>
      </c>
      <c r="C48" t="s">
        <v>2</v>
      </c>
      <c r="D48">
        <v>0.19800000000000001</v>
      </c>
      <c r="E48">
        <v>5.1662160000000004</v>
      </c>
      <c r="F48" t="s">
        <v>18</v>
      </c>
      <c r="G48">
        <v>0.158</v>
      </c>
      <c r="H48">
        <v>0.81626212800000009</v>
      </c>
      <c r="I48" t="s">
        <v>10</v>
      </c>
      <c r="J48">
        <v>4.8000000000000001E-2</v>
      </c>
      <c r="K48">
        <v>0.17059878475200002</v>
      </c>
      <c r="L48" t="s">
        <v>36</v>
      </c>
      <c r="M48">
        <v>0.22500000000000001</v>
      </c>
      <c r="N48">
        <v>0.18365897880000001</v>
      </c>
    </row>
    <row r="49" spans="1:14" x14ac:dyDescent="0.25">
      <c r="A49" s="23">
        <v>43146</v>
      </c>
      <c r="B49">
        <v>26.091999999999999</v>
      </c>
      <c r="C49" t="s">
        <v>2</v>
      </c>
      <c r="D49">
        <v>0.19800000000000001</v>
      </c>
      <c r="E49">
        <v>5.1662160000000004</v>
      </c>
      <c r="F49" t="s">
        <v>48</v>
      </c>
      <c r="G49">
        <v>0.158</v>
      </c>
      <c r="H49">
        <v>0.81626212800000009</v>
      </c>
      <c r="I49" t="s">
        <v>9</v>
      </c>
      <c r="J49">
        <v>0.16200000000000001</v>
      </c>
      <c r="K49">
        <v>0.13223446473600001</v>
      </c>
      <c r="L49" t="s">
        <v>37</v>
      </c>
      <c r="M49">
        <v>0.14699999999999999</v>
      </c>
      <c r="N49">
        <v>0.119990532816</v>
      </c>
    </row>
    <row r="50" spans="1:14" x14ac:dyDescent="0.25">
      <c r="A50" s="23">
        <v>43147</v>
      </c>
      <c r="B50">
        <v>26.091999999999999</v>
      </c>
      <c r="C50" t="s">
        <v>2</v>
      </c>
      <c r="D50">
        <v>0.19800000000000001</v>
      </c>
      <c r="E50">
        <v>5.1662160000000004</v>
      </c>
      <c r="F50" t="s">
        <v>18</v>
      </c>
      <c r="G50">
        <v>0.158</v>
      </c>
      <c r="H50">
        <v>0.81626212800000009</v>
      </c>
      <c r="I50" t="s">
        <v>55</v>
      </c>
      <c r="J50">
        <v>1.2E-2</v>
      </c>
      <c r="K50">
        <v>9.7951455360000012E-3</v>
      </c>
      <c r="L50" t="s">
        <v>38</v>
      </c>
      <c r="M50">
        <v>3.5000000000000003E-2</v>
      </c>
      <c r="N50">
        <v>2.8569174480000004E-2</v>
      </c>
    </row>
    <row r="51" spans="1:14" x14ac:dyDescent="0.25">
      <c r="A51" s="23">
        <v>43148</v>
      </c>
      <c r="B51">
        <v>26.091999999999999</v>
      </c>
      <c r="C51" t="s">
        <v>2</v>
      </c>
      <c r="D51">
        <v>0.19800000000000001</v>
      </c>
      <c r="E51">
        <v>5.1662160000000004</v>
      </c>
      <c r="F51" t="s">
        <v>18</v>
      </c>
      <c r="G51">
        <v>0.158</v>
      </c>
      <c r="H51">
        <v>0.81626212800000009</v>
      </c>
      <c r="L51" t="s">
        <v>39</v>
      </c>
      <c r="M51">
        <v>1.2E-2</v>
      </c>
      <c r="N51">
        <v>9.7951455360000012E-3</v>
      </c>
    </row>
    <row r="52" spans="1:14" x14ac:dyDescent="0.25">
      <c r="A52" s="23">
        <v>43149</v>
      </c>
      <c r="B52">
        <v>26.091999999999999</v>
      </c>
      <c r="C52" t="s">
        <v>19</v>
      </c>
      <c r="D52">
        <v>0.80200000000000005</v>
      </c>
      <c r="E52">
        <v>20.925784</v>
      </c>
      <c r="F52" t="s">
        <v>54</v>
      </c>
      <c r="G52">
        <v>0.80400000000000005</v>
      </c>
      <c r="H52">
        <v>16.824330336000003</v>
      </c>
      <c r="I52" t="s">
        <v>11</v>
      </c>
      <c r="J52">
        <v>0.11900000000000001</v>
      </c>
      <c r="K52">
        <v>2.0020953099840004</v>
      </c>
      <c r="L52" t="s">
        <v>32</v>
      </c>
      <c r="M52">
        <v>3.9E-2</v>
      </c>
      <c r="N52">
        <v>0.6561488831040001</v>
      </c>
    </row>
    <row r="53" spans="1:14" x14ac:dyDescent="0.25">
      <c r="A53" s="23">
        <v>43150</v>
      </c>
      <c r="B53">
        <v>26.091999999999999</v>
      </c>
      <c r="C53" t="s">
        <v>19</v>
      </c>
      <c r="D53">
        <v>0.80200000000000005</v>
      </c>
      <c r="E53">
        <v>20.925784</v>
      </c>
      <c r="F53" t="s">
        <v>14</v>
      </c>
      <c r="G53">
        <v>0.80400000000000005</v>
      </c>
      <c r="H53">
        <v>16.824330336000003</v>
      </c>
      <c r="I53" t="s">
        <v>12</v>
      </c>
      <c r="J53">
        <v>9.5000000000000001E-2</v>
      </c>
      <c r="K53">
        <v>1.5983113819200003</v>
      </c>
      <c r="L53" t="s">
        <v>33</v>
      </c>
      <c r="M53">
        <v>9.5000000000000001E-2</v>
      </c>
      <c r="N53">
        <v>1.5983113819200003</v>
      </c>
    </row>
    <row r="54" spans="1:14" x14ac:dyDescent="0.25">
      <c r="A54" s="23">
        <v>43151</v>
      </c>
      <c r="B54">
        <v>26.091999999999999</v>
      </c>
      <c r="C54" t="s">
        <v>19</v>
      </c>
      <c r="D54">
        <v>0.80200000000000005</v>
      </c>
      <c r="E54">
        <v>20.925784</v>
      </c>
      <c r="F54" t="s">
        <v>14</v>
      </c>
      <c r="G54">
        <v>0.80400000000000005</v>
      </c>
      <c r="H54">
        <v>16.824330336000003</v>
      </c>
      <c r="I54" t="s">
        <v>7</v>
      </c>
      <c r="J54">
        <v>0.17</v>
      </c>
      <c r="K54">
        <v>2.8601361571200008</v>
      </c>
      <c r="L54" t="s">
        <v>34</v>
      </c>
      <c r="M54">
        <v>0.16300000000000001</v>
      </c>
      <c r="N54">
        <v>2.7423658447680004</v>
      </c>
    </row>
    <row r="55" spans="1:14" x14ac:dyDescent="0.25">
      <c r="A55" s="23">
        <v>43152</v>
      </c>
      <c r="B55">
        <v>26.091999999999999</v>
      </c>
      <c r="C55" t="s">
        <v>19</v>
      </c>
      <c r="D55">
        <v>0.80200000000000005</v>
      </c>
      <c r="E55">
        <v>20.925784</v>
      </c>
      <c r="F55" t="s">
        <v>14</v>
      </c>
      <c r="G55">
        <v>0.80400000000000005</v>
      </c>
      <c r="H55">
        <v>16.824330336000003</v>
      </c>
      <c r="I55" t="s">
        <v>8</v>
      </c>
      <c r="J55">
        <v>0.33500000000000002</v>
      </c>
      <c r="K55">
        <v>5.6361506625600013</v>
      </c>
      <c r="L55" t="s">
        <v>35</v>
      </c>
      <c r="M55">
        <v>0.25800000000000001</v>
      </c>
      <c r="N55">
        <v>4.3406772266880012</v>
      </c>
    </row>
    <row r="56" spans="1:14" x14ac:dyDescent="0.25">
      <c r="A56" s="23">
        <v>43153</v>
      </c>
      <c r="B56">
        <v>26.091999999999999</v>
      </c>
      <c r="C56" t="s">
        <v>19</v>
      </c>
      <c r="D56">
        <v>0.80200000000000005</v>
      </c>
      <c r="E56">
        <v>20.925784</v>
      </c>
      <c r="F56" t="s">
        <v>14</v>
      </c>
      <c r="G56">
        <v>0.80400000000000005</v>
      </c>
      <c r="H56">
        <v>16.824330336000003</v>
      </c>
      <c r="I56" t="s">
        <v>10</v>
      </c>
      <c r="J56">
        <v>4.5999999999999999E-2</v>
      </c>
      <c r="K56">
        <v>0.77391919545600008</v>
      </c>
      <c r="L56" t="s">
        <v>36</v>
      </c>
      <c r="M56">
        <v>0.20600000000000002</v>
      </c>
      <c r="N56">
        <v>3.4658120492160007</v>
      </c>
    </row>
    <row r="57" spans="1:14" x14ac:dyDescent="0.25">
      <c r="A57" s="23">
        <v>43154</v>
      </c>
      <c r="B57">
        <v>26.091999999999999</v>
      </c>
      <c r="C57" t="s">
        <v>19</v>
      </c>
      <c r="D57">
        <v>0.80200000000000005</v>
      </c>
      <c r="E57">
        <v>20.925784</v>
      </c>
      <c r="F57" t="s">
        <v>14</v>
      </c>
      <c r="G57">
        <v>0.80400000000000005</v>
      </c>
      <c r="H57">
        <v>16.824330336000003</v>
      </c>
      <c r="I57" t="s">
        <v>9</v>
      </c>
      <c r="J57">
        <v>0.22</v>
      </c>
      <c r="K57">
        <v>0.235540624704</v>
      </c>
      <c r="L57" t="s">
        <v>37</v>
      </c>
      <c r="M57">
        <v>0.193</v>
      </c>
      <c r="N57">
        <v>3.2470957548480004</v>
      </c>
    </row>
    <row r="58" spans="1:14" x14ac:dyDescent="0.25">
      <c r="A58" s="23">
        <v>43155</v>
      </c>
      <c r="B58">
        <v>26.091999999999999</v>
      </c>
      <c r="C58" t="s">
        <v>19</v>
      </c>
      <c r="D58">
        <v>0.80200000000000005</v>
      </c>
      <c r="E58">
        <v>20.925784</v>
      </c>
      <c r="F58" t="s">
        <v>14</v>
      </c>
      <c r="G58">
        <v>0.80400000000000005</v>
      </c>
      <c r="H58">
        <v>16.824330336000003</v>
      </c>
      <c r="I58" t="s">
        <v>55</v>
      </c>
      <c r="J58">
        <v>1.3999999999999999E-2</v>
      </c>
      <c r="L58" t="s">
        <v>38</v>
      </c>
      <c r="M58">
        <v>3.2000000000000001E-2</v>
      </c>
      <c r="N58">
        <v>0.53837857075200013</v>
      </c>
    </row>
    <row r="59" spans="1:14" x14ac:dyDescent="0.25">
      <c r="A59" s="23">
        <v>43156</v>
      </c>
      <c r="B59">
        <v>26.091999999999999</v>
      </c>
      <c r="C59" t="s">
        <v>19</v>
      </c>
      <c r="D59">
        <v>0.80200000000000005</v>
      </c>
      <c r="E59">
        <v>20.925784</v>
      </c>
      <c r="F59" t="s">
        <v>14</v>
      </c>
      <c r="G59">
        <v>0.80400000000000005</v>
      </c>
      <c r="H59">
        <v>16.824330336000003</v>
      </c>
      <c r="L59" t="s">
        <v>39</v>
      </c>
      <c r="M59">
        <v>1.3999999999999999E-2</v>
      </c>
      <c r="N59">
        <v>0.235540624704</v>
      </c>
    </row>
    <row r="60" spans="1:14" x14ac:dyDescent="0.25">
      <c r="A60" s="23">
        <v>43157</v>
      </c>
      <c r="B60">
        <v>26.091999999999999</v>
      </c>
      <c r="C60" t="s">
        <v>19</v>
      </c>
      <c r="D60">
        <v>0.80200000000000005</v>
      </c>
      <c r="E60">
        <v>20.925784</v>
      </c>
      <c r="F60" t="s">
        <v>52</v>
      </c>
      <c r="G60">
        <v>0.82299999999999995</v>
      </c>
      <c r="H60">
        <v>17.221920231999999</v>
      </c>
      <c r="I60" t="s">
        <v>11</v>
      </c>
      <c r="J60">
        <v>5.2999999999999999E-2</v>
      </c>
      <c r="K60">
        <v>0.91276177229599986</v>
      </c>
      <c r="L60" t="s">
        <v>32</v>
      </c>
      <c r="M60">
        <v>1.4999999999999999E-2</v>
      </c>
      <c r="N60">
        <v>0.25832880347999998</v>
      </c>
    </row>
    <row r="61" spans="1:14" x14ac:dyDescent="0.25">
      <c r="A61" s="23">
        <v>43158</v>
      </c>
      <c r="B61">
        <v>26.091999999999999</v>
      </c>
      <c r="C61" t="s">
        <v>19</v>
      </c>
      <c r="D61">
        <v>0.80200000000000005</v>
      </c>
      <c r="E61">
        <v>20.925784</v>
      </c>
      <c r="F61" t="s">
        <v>15</v>
      </c>
      <c r="G61">
        <v>0.82299999999999995</v>
      </c>
      <c r="H61">
        <v>17.221920231999999</v>
      </c>
      <c r="I61" t="s">
        <v>12</v>
      </c>
      <c r="J61">
        <v>1.2E-2</v>
      </c>
      <c r="K61">
        <v>0.206663042784</v>
      </c>
      <c r="L61" t="s">
        <v>33</v>
      </c>
      <c r="M61">
        <v>0.06</v>
      </c>
      <c r="N61">
        <v>1.0333152139199999</v>
      </c>
    </row>
    <row r="62" spans="1:14" x14ac:dyDescent="0.25">
      <c r="A62" s="23">
        <v>43159</v>
      </c>
      <c r="B62">
        <v>26.091999999999999</v>
      </c>
      <c r="C62" t="s">
        <v>19</v>
      </c>
      <c r="D62">
        <v>0.80200000000000005</v>
      </c>
      <c r="E62">
        <v>20.925784</v>
      </c>
      <c r="F62" t="s">
        <v>15</v>
      </c>
      <c r="G62">
        <v>0.82299999999999995</v>
      </c>
      <c r="H62">
        <v>17.221920231999999</v>
      </c>
      <c r="I62" t="s">
        <v>7</v>
      </c>
      <c r="J62">
        <v>0.13200000000000001</v>
      </c>
      <c r="K62">
        <v>2.273293470624</v>
      </c>
      <c r="L62" t="s">
        <v>34</v>
      </c>
      <c r="M62">
        <v>0.217</v>
      </c>
      <c r="N62">
        <v>3.7371566903439999</v>
      </c>
    </row>
    <row r="63" spans="1:14" x14ac:dyDescent="0.25">
      <c r="A63" s="23">
        <v>43160</v>
      </c>
      <c r="B63">
        <v>26.091999999999999</v>
      </c>
      <c r="C63" t="s">
        <v>19</v>
      </c>
      <c r="D63">
        <v>0.80200000000000005</v>
      </c>
      <c r="E63">
        <v>20.925784</v>
      </c>
      <c r="F63" t="s">
        <v>15</v>
      </c>
      <c r="G63">
        <v>0.82299999999999995</v>
      </c>
      <c r="H63">
        <v>17.221920231999999</v>
      </c>
      <c r="I63" t="s">
        <v>8</v>
      </c>
      <c r="J63">
        <v>0.373</v>
      </c>
      <c r="K63">
        <v>6.4237762465359998</v>
      </c>
      <c r="L63" t="s">
        <v>35</v>
      </c>
      <c r="M63">
        <v>0.316</v>
      </c>
      <c r="N63">
        <v>5.4421267933119992</v>
      </c>
    </row>
    <row r="64" spans="1:14" x14ac:dyDescent="0.25">
      <c r="A64" s="23">
        <v>43161</v>
      </c>
      <c r="B64">
        <v>26.091999999999999</v>
      </c>
      <c r="C64" t="s">
        <v>19</v>
      </c>
      <c r="D64">
        <v>0.80200000000000005</v>
      </c>
      <c r="E64">
        <v>20.925784</v>
      </c>
      <c r="F64" t="s">
        <v>15</v>
      </c>
      <c r="G64">
        <v>0.82299999999999995</v>
      </c>
      <c r="H64">
        <v>17.221920231999999</v>
      </c>
      <c r="I64" t="s">
        <v>10</v>
      </c>
      <c r="J64">
        <v>5.2999999999999999E-2</v>
      </c>
      <c r="K64">
        <v>0.91276177229599986</v>
      </c>
      <c r="L64" t="s">
        <v>36</v>
      </c>
      <c r="M64">
        <v>0.24600000000000002</v>
      </c>
      <c r="N64">
        <v>4.2365923770720002</v>
      </c>
    </row>
    <row r="65" spans="1:14" x14ac:dyDescent="0.25">
      <c r="A65" s="23">
        <v>43162</v>
      </c>
      <c r="B65">
        <v>26.091999999999999</v>
      </c>
      <c r="C65" t="s">
        <v>19</v>
      </c>
      <c r="D65">
        <v>0.80200000000000005</v>
      </c>
      <c r="E65">
        <v>20.925784</v>
      </c>
      <c r="F65" t="s">
        <v>15</v>
      </c>
      <c r="G65">
        <v>0.82299999999999995</v>
      </c>
      <c r="H65">
        <v>17.221920231999999</v>
      </c>
      <c r="I65" t="s">
        <v>9</v>
      </c>
      <c r="J65">
        <v>0.33899999999999997</v>
      </c>
      <c r="K65">
        <v>5.8382309586479986</v>
      </c>
      <c r="L65" t="s">
        <v>37</v>
      </c>
      <c r="M65">
        <v>0.125</v>
      </c>
      <c r="N65">
        <v>2.1527400289999998</v>
      </c>
    </row>
    <row r="66" spans="1:14" x14ac:dyDescent="0.25">
      <c r="A66" s="23">
        <v>43163</v>
      </c>
      <c r="B66">
        <v>26.091999999999999</v>
      </c>
      <c r="C66" t="s">
        <v>19</v>
      </c>
      <c r="D66">
        <v>0.80200000000000005</v>
      </c>
      <c r="E66">
        <v>20.925784</v>
      </c>
      <c r="F66" t="s">
        <v>15</v>
      </c>
      <c r="G66">
        <v>0.82299999999999995</v>
      </c>
      <c r="H66">
        <v>17.221920231999999</v>
      </c>
      <c r="I66" t="s">
        <v>55</v>
      </c>
      <c r="J66">
        <v>3.7999999999999999E-2</v>
      </c>
      <c r="L66" t="s">
        <v>38</v>
      </c>
      <c r="M66">
        <v>1.1000000000000001E-2</v>
      </c>
      <c r="N66">
        <v>0.18944112255199999</v>
      </c>
    </row>
    <row r="67" spans="1:14" x14ac:dyDescent="0.25">
      <c r="A67" s="23">
        <v>43164</v>
      </c>
      <c r="B67">
        <v>26.091999999999999</v>
      </c>
      <c r="C67" t="s">
        <v>19</v>
      </c>
      <c r="D67">
        <v>0.80200000000000005</v>
      </c>
      <c r="E67">
        <v>20.925784</v>
      </c>
      <c r="F67" t="s">
        <v>15</v>
      </c>
      <c r="G67">
        <v>0.82299999999999995</v>
      </c>
      <c r="H67">
        <v>17.221920231999999</v>
      </c>
      <c r="L67" t="s">
        <v>39</v>
      </c>
      <c r="M67">
        <v>0.01</v>
      </c>
      <c r="N67">
        <v>0.17221920231999999</v>
      </c>
    </row>
    <row r="68" spans="1:14" x14ac:dyDescent="0.25">
      <c r="A68" s="23">
        <v>43165</v>
      </c>
      <c r="B68">
        <v>26.091999999999999</v>
      </c>
      <c r="C68" t="s">
        <v>19</v>
      </c>
      <c r="D68">
        <v>0.80200000000000005</v>
      </c>
      <c r="E68">
        <v>20.925784</v>
      </c>
      <c r="F68" t="s">
        <v>53</v>
      </c>
      <c r="G68">
        <v>0.80299999999999994</v>
      </c>
      <c r="H68">
        <v>16.803404552</v>
      </c>
      <c r="I68" t="s">
        <v>11</v>
      </c>
      <c r="J68">
        <v>0.127</v>
      </c>
      <c r="K68">
        <v>2.134032378104</v>
      </c>
      <c r="L68" t="s">
        <v>32</v>
      </c>
      <c r="M68">
        <v>5.2999999999999999E-2</v>
      </c>
      <c r="N68">
        <v>0.890580441256</v>
      </c>
    </row>
    <row r="69" spans="1:14" x14ac:dyDescent="0.25">
      <c r="A69" s="23">
        <v>43166</v>
      </c>
      <c r="B69">
        <v>26.091999999999999</v>
      </c>
      <c r="C69" t="s">
        <v>19</v>
      </c>
      <c r="D69">
        <v>0.80200000000000005</v>
      </c>
      <c r="E69">
        <v>20.925784</v>
      </c>
      <c r="F69" t="s">
        <v>16</v>
      </c>
      <c r="G69">
        <v>0.80299999999999994</v>
      </c>
      <c r="H69">
        <v>16.803404552</v>
      </c>
      <c r="I69" t="s">
        <v>12</v>
      </c>
      <c r="J69">
        <v>8.8000000000000009E-2</v>
      </c>
      <c r="K69">
        <v>1.4786996005760003</v>
      </c>
      <c r="L69" t="s">
        <v>33</v>
      </c>
      <c r="M69">
        <v>0.113</v>
      </c>
      <c r="N69">
        <v>1.8987847143759999</v>
      </c>
    </row>
    <row r="70" spans="1:14" x14ac:dyDescent="0.25">
      <c r="A70" s="23">
        <v>43167</v>
      </c>
      <c r="B70">
        <v>26.091999999999999</v>
      </c>
      <c r="C70" t="s">
        <v>19</v>
      </c>
      <c r="D70">
        <v>0.80200000000000005</v>
      </c>
      <c r="E70">
        <v>20.925784</v>
      </c>
      <c r="F70" t="s">
        <v>16</v>
      </c>
      <c r="G70">
        <v>0.80299999999999994</v>
      </c>
      <c r="H70">
        <v>16.803404552</v>
      </c>
      <c r="I70" t="s">
        <v>7</v>
      </c>
      <c r="J70">
        <v>0.16300000000000001</v>
      </c>
      <c r="K70">
        <v>2.738954941976</v>
      </c>
      <c r="L70" t="s">
        <v>34</v>
      </c>
      <c r="M70">
        <v>0.16600000000000001</v>
      </c>
      <c r="N70">
        <v>2.7893651556320003</v>
      </c>
    </row>
    <row r="71" spans="1:14" x14ac:dyDescent="0.25">
      <c r="A71" s="23">
        <v>43168</v>
      </c>
      <c r="B71">
        <v>26.091999999999999</v>
      </c>
      <c r="C71" t="s">
        <v>19</v>
      </c>
      <c r="D71">
        <v>0.80200000000000005</v>
      </c>
      <c r="E71">
        <v>20.925784</v>
      </c>
      <c r="F71" t="s">
        <v>16</v>
      </c>
      <c r="G71">
        <v>0.80299999999999994</v>
      </c>
      <c r="H71">
        <v>16.803404552</v>
      </c>
      <c r="I71" t="s">
        <v>8</v>
      </c>
      <c r="J71">
        <v>0.33</v>
      </c>
      <c r="K71">
        <v>5.5451235021600001</v>
      </c>
      <c r="L71" t="s">
        <v>35</v>
      </c>
      <c r="M71">
        <v>0.23899999999999999</v>
      </c>
      <c r="N71">
        <v>4.016013687928</v>
      </c>
    </row>
    <row r="72" spans="1:14" x14ac:dyDescent="0.25">
      <c r="A72" s="23">
        <v>43169</v>
      </c>
      <c r="B72">
        <v>26.091999999999999</v>
      </c>
      <c r="C72" t="s">
        <v>19</v>
      </c>
      <c r="D72">
        <v>0.80200000000000005</v>
      </c>
      <c r="E72">
        <v>20.925784</v>
      </c>
      <c r="F72" t="s">
        <v>16</v>
      </c>
      <c r="G72">
        <v>0.80299999999999994</v>
      </c>
      <c r="H72">
        <v>16.803404552</v>
      </c>
      <c r="I72" t="s">
        <v>10</v>
      </c>
      <c r="J72">
        <v>4.5999999999999999E-2</v>
      </c>
      <c r="K72">
        <v>0.77295660939199995</v>
      </c>
      <c r="L72" t="s">
        <v>36</v>
      </c>
      <c r="M72">
        <v>0.20800000000000002</v>
      </c>
      <c r="N72">
        <v>3.4951081468160003</v>
      </c>
    </row>
    <row r="73" spans="1:14" x14ac:dyDescent="0.25">
      <c r="A73" s="23">
        <v>43170</v>
      </c>
      <c r="B73">
        <v>26.091999999999999</v>
      </c>
      <c r="C73" t="s">
        <v>19</v>
      </c>
      <c r="D73">
        <v>0.80200000000000005</v>
      </c>
      <c r="E73">
        <v>20.925784</v>
      </c>
      <c r="F73" t="s">
        <v>16</v>
      </c>
      <c r="G73">
        <v>0.80299999999999994</v>
      </c>
      <c r="H73">
        <v>16.803404552</v>
      </c>
      <c r="I73" t="s">
        <v>9</v>
      </c>
      <c r="J73">
        <v>0.221</v>
      </c>
      <c r="K73">
        <v>3.713552405992</v>
      </c>
      <c r="L73" t="s">
        <v>37</v>
      </c>
      <c r="M73">
        <v>0.17600000000000002</v>
      </c>
      <c r="N73">
        <v>2.9573992011520005</v>
      </c>
    </row>
    <row r="74" spans="1:14" x14ac:dyDescent="0.25">
      <c r="A74" s="23">
        <v>43171</v>
      </c>
      <c r="B74">
        <v>26.091999999999999</v>
      </c>
      <c r="C74" t="s">
        <v>19</v>
      </c>
      <c r="D74">
        <v>0.80200000000000005</v>
      </c>
      <c r="E74">
        <v>20.925784</v>
      </c>
      <c r="F74" t="s">
        <v>16</v>
      </c>
      <c r="G74">
        <v>0.80299999999999994</v>
      </c>
      <c r="H74">
        <v>16.803404552</v>
      </c>
      <c r="I74" t="s">
        <v>55</v>
      </c>
      <c r="J74">
        <v>2.6000000000000002E-2</v>
      </c>
      <c r="L74" t="s">
        <v>38</v>
      </c>
      <c r="M74">
        <v>2.8999999999999998E-2</v>
      </c>
      <c r="N74">
        <v>0.48729873200799995</v>
      </c>
    </row>
    <row r="75" spans="1:14" x14ac:dyDescent="0.25">
      <c r="A75" s="23">
        <v>43172</v>
      </c>
      <c r="B75">
        <v>26.091999999999999</v>
      </c>
      <c r="C75" t="s">
        <v>19</v>
      </c>
      <c r="D75">
        <v>0.80200000000000005</v>
      </c>
      <c r="E75">
        <v>20.925784</v>
      </c>
      <c r="F75" t="s">
        <v>16</v>
      </c>
      <c r="G75">
        <v>0.80299999999999994</v>
      </c>
      <c r="H75">
        <v>16.803404552</v>
      </c>
      <c r="L75" t="s">
        <v>39</v>
      </c>
      <c r="M75">
        <v>1.6E-2</v>
      </c>
      <c r="N75">
        <v>0.26885447283199998</v>
      </c>
    </row>
    <row r="76" spans="1:14" x14ac:dyDescent="0.25">
      <c r="A76" s="23">
        <v>43173</v>
      </c>
      <c r="B76">
        <v>26.091999999999999</v>
      </c>
      <c r="C76" t="s">
        <v>19</v>
      </c>
      <c r="D76">
        <v>0.80200000000000005</v>
      </c>
      <c r="E76">
        <v>20.925784</v>
      </c>
      <c r="F76" t="s">
        <v>51</v>
      </c>
      <c r="G76">
        <v>0.77099999999999991</v>
      </c>
      <c r="H76">
        <v>16.133779464</v>
      </c>
      <c r="I76" t="s">
        <v>11</v>
      </c>
      <c r="J76">
        <v>0.182</v>
      </c>
      <c r="K76">
        <v>2.9363478624479997</v>
      </c>
      <c r="L76" t="s">
        <v>32</v>
      </c>
      <c r="M76">
        <v>5.2000000000000005E-2</v>
      </c>
      <c r="N76">
        <v>0.83895653212800003</v>
      </c>
    </row>
    <row r="77" spans="1:14" x14ac:dyDescent="0.25">
      <c r="A77" s="23">
        <v>43174</v>
      </c>
      <c r="B77">
        <v>26.091999999999999</v>
      </c>
      <c r="C77" t="s">
        <v>19</v>
      </c>
      <c r="D77">
        <v>0.80200000000000005</v>
      </c>
      <c r="E77">
        <v>20.925784</v>
      </c>
      <c r="F77" t="s">
        <v>13</v>
      </c>
      <c r="G77">
        <v>0.77099999999999991</v>
      </c>
      <c r="H77">
        <v>16.133779464</v>
      </c>
      <c r="I77" t="s">
        <v>12</v>
      </c>
      <c r="J77">
        <v>0.113</v>
      </c>
      <c r="K77">
        <v>1.823117079432</v>
      </c>
      <c r="L77" t="s">
        <v>33</v>
      </c>
      <c r="M77">
        <v>0.109</v>
      </c>
      <c r="N77">
        <v>1.7585819615759999</v>
      </c>
    </row>
    <row r="78" spans="1:14" x14ac:dyDescent="0.25">
      <c r="A78" s="23">
        <v>43175</v>
      </c>
      <c r="B78">
        <v>26.091999999999999</v>
      </c>
      <c r="C78" t="s">
        <v>19</v>
      </c>
      <c r="D78">
        <v>0.80200000000000005</v>
      </c>
      <c r="E78">
        <v>20.925784</v>
      </c>
      <c r="F78" t="s">
        <v>13</v>
      </c>
      <c r="G78">
        <v>0.77099999999999991</v>
      </c>
      <c r="H78">
        <v>16.133779464</v>
      </c>
      <c r="I78" t="s">
        <v>7</v>
      </c>
      <c r="J78">
        <v>0.185</v>
      </c>
      <c r="K78">
        <v>2.9847492008400001</v>
      </c>
      <c r="L78" t="s">
        <v>34</v>
      </c>
      <c r="M78">
        <v>0.158</v>
      </c>
      <c r="N78">
        <v>2.5491371553120001</v>
      </c>
    </row>
    <row r="79" spans="1:14" x14ac:dyDescent="0.25">
      <c r="A79" s="23">
        <v>43176</v>
      </c>
      <c r="B79">
        <v>26.091999999999999</v>
      </c>
      <c r="C79" t="s">
        <v>19</v>
      </c>
      <c r="D79">
        <v>0.80200000000000005</v>
      </c>
      <c r="E79">
        <v>20.925784</v>
      </c>
      <c r="F79" t="s">
        <v>13</v>
      </c>
      <c r="G79">
        <v>0.77099999999999991</v>
      </c>
      <c r="H79">
        <v>16.133779464</v>
      </c>
      <c r="I79" t="s">
        <v>8</v>
      </c>
      <c r="J79">
        <v>0.35100000000000003</v>
      </c>
      <c r="K79">
        <v>5.6629565918640008</v>
      </c>
      <c r="L79" t="s">
        <v>35</v>
      </c>
      <c r="M79">
        <v>0.253</v>
      </c>
      <c r="N79">
        <v>4.0818462043919999</v>
      </c>
    </row>
    <row r="80" spans="1:14" x14ac:dyDescent="0.25">
      <c r="A80" s="23">
        <v>43177</v>
      </c>
      <c r="B80">
        <v>26.091999999999999</v>
      </c>
      <c r="C80" t="s">
        <v>19</v>
      </c>
      <c r="D80">
        <v>0.80200000000000005</v>
      </c>
      <c r="E80">
        <v>20.925784</v>
      </c>
      <c r="F80" t="s">
        <v>13</v>
      </c>
      <c r="G80">
        <v>0.77099999999999991</v>
      </c>
      <c r="H80">
        <v>16.133779464</v>
      </c>
      <c r="I80" t="s">
        <v>10</v>
      </c>
      <c r="J80">
        <v>3.3000000000000002E-2</v>
      </c>
      <c r="K80">
        <v>0.53241472231200004</v>
      </c>
      <c r="L80" t="s">
        <v>36</v>
      </c>
      <c r="M80">
        <v>0.214</v>
      </c>
      <c r="N80">
        <v>3.4526288052959999</v>
      </c>
    </row>
    <row r="81" spans="1:14" x14ac:dyDescent="0.25">
      <c r="A81" s="23">
        <v>43178</v>
      </c>
      <c r="B81">
        <v>26.091999999999999</v>
      </c>
      <c r="C81" t="s">
        <v>19</v>
      </c>
      <c r="D81">
        <v>0.80200000000000005</v>
      </c>
      <c r="E81">
        <v>20.925784</v>
      </c>
      <c r="F81" t="s">
        <v>13</v>
      </c>
      <c r="G81">
        <v>0.77099999999999991</v>
      </c>
      <c r="H81">
        <v>16.133779464</v>
      </c>
      <c r="I81" t="s">
        <v>9</v>
      </c>
      <c r="J81">
        <v>0.114</v>
      </c>
      <c r="K81">
        <v>1.8392508588960002</v>
      </c>
      <c r="L81" t="s">
        <v>37</v>
      </c>
      <c r="M81">
        <v>0.16300000000000001</v>
      </c>
      <c r="N81">
        <v>2.629806052632</v>
      </c>
    </row>
    <row r="82" spans="1:14" x14ac:dyDescent="0.25">
      <c r="A82" s="23">
        <v>43179</v>
      </c>
      <c r="B82">
        <v>26.091999999999999</v>
      </c>
      <c r="C82" t="s">
        <v>19</v>
      </c>
      <c r="D82">
        <v>0.80200000000000005</v>
      </c>
      <c r="E82">
        <v>20.925784</v>
      </c>
      <c r="F82" t="s">
        <v>13</v>
      </c>
      <c r="G82">
        <v>0.77099999999999991</v>
      </c>
      <c r="H82">
        <v>16.133779464</v>
      </c>
      <c r="I82" t="s">
        <v>55</v>
      </c>
      <c r="J82">
        <v>2.1000000000000001E-2</v>
      </c>
      <c r="L82" t="s">
        <v>38</v>
      </c>
      <c r="M82">
        <v>0.03</v>
      </c>
      <c r="N82">
        <v>0.48401338391999998</v>
      </c>
    </row>
    <row r="83" spans="1:14" x14ac:dyDescent="0.25">
      <c r="A83" s="23">
        <v>43180</v>
      </c>
      <c r="B83">
        <v>26.091999999999999</v>
      </c>
      <c r="C83" t="s">
        <v>19</v>
      </c>
      <c r="D83">
        <v>0.80200000000000005</v>
      </c>
      <c r="E83">
        <v>20.925784</v>
      </c>
      <c r="F83" t="s">
        <v>13</v>
      </c>
      <c r="G83">
        <v>0.77099999999999991</v>
      </c>
      <c r="H83">
        <v>16.133779464</v>
      </c>
      <c r="L83" t="s">
        <v>39</v>
      </c>
      <c r="M83">
        <v>2.1000000000000001E-2</v>
      </c>
      <c r="N83">
        <v>0.33880936874400003</v>
      </c>
    </row>
    <row r="84" spans="1:14" x14ac:dyDescent="0.25">
      <c r="A84" s="23">
        <v>43181</v>
      </c>
      <c r="B84">
        <v>26.091999999999999</v>
      </c>
      <c r="C84" t="s">
        <v>19</v>
      </c>
      <c r="D84">
        <v>0.80200000000000005</v>
      </c>
      <c r="E84">
        <v>20.925784</v>
      </c>
      <c r="F84" t="s">
        <v>50</v>
      </c>
      <c r="G84">
        <v>0.86099999999999999</v>
      </c>
      <c r="H84">
        <v>18.017100024000001</v>
      </c>
      <c r="I84" t="s">
        <v>11</v>
      </c>
      <c r="J84">
        <v>0.113</v>
      </c>
      <c r="K84">
        <v>2.0359323027120002</v>
      </c>
      <c r="L84" t="s">
        <v>32</v>
      </c>
      <c r="M84">
        <v>1.1000000000000001E-2</v>
      </c>
      <c r="N84">
        <v>0.19818810026400002</v>
      </c>
    </row>
    <row r="85" spans="1:14" x14ac:dyDescent="0.25">
      <c r="A85" s="23">
        <v>43182</v>
      </c>
      <c r="B85">
        <v>26.091999999999999</v>
      </c>
      <c r="C85" t="s">
        <v>19</v>
      </c>
      <c r="D85">
        <v>0.80200000000000005</v>
      </c>
      <c r="E85">
        <v>20.925784</v>
      </c>
      <c r="F85" t="s">
        <v>17</v>
      </c>
      <c r="G85">
        <v>0.86099999999999999</v>
      </c>
      <c r="H85">
        <v>18.017100024000001</v>
      </c>
      <c r="I85" t="s">
        <v>12</v>
      </c>
      <c r="J85">
        <v>4.5999999999999999E-2</v>
      </c>
      <c r="K85">
        <v>0.82878660110400004</v>
      </c>
      <c r="L85" t="s">
        <v>33</v>
      </c>
      <c r="M85">
        <v>0.121</v>
      </c>
      <c r="N85">
        <v>2.180069102904</v>
      </c>
    </row>
    <row r="86" spans="1:14" x14ac:dyDescent="0.25">
      <c r="A86" s="23">
        <v>43183</v>
      </c>
      <c r="B86">
        <v>26.091999999999999</v>
      </c>
      <c r="C86" t="s">
        <v>19</v>
      </c>
      <c r="D86">
        <v>0.80200000000000005</v>
      </c>
      <c r="E86">
        <v>20.925784</v>
      </c>
      <c r="F86" t="s">
        <v>17</v>
      </c>
      <c r="G86">
        <v>0.86099999999999999</v>
      </c>
      <c r="H86">
        <v>18.017100024000001</v>
      </c>
      <c r="I86" t="s">
        <v>7</v>
      </c>
      <c r="J86">
        <v>0.159</v>
      </c>
      <c r="K86">
        <v>2.8647189038160001</v>
      </c>
      <c r="L86" t="s">
        <v>34</v>
      </c>
      <c r="M86">
        <v>0.182</v>
      </c>
      <c r="N86">
        <v>3.2791122043680003</v>
      </c>
    </row>
    <row r="87" spans="1:14" x14ac:dyDescent="0.25">
      <c r="A87" s="23">
        <v>43184</v>
      </c>
      <c r="B87">
        <v>26.091999999999999</v>
      </c>
      <c r="C87" t="s">
        <v>19</v>
      </c>
      <c r="D87">
        <v>0.80200000000000005</v>
      </c>
      <c r="E87">
        <v>20.925784</v>
      </c>
      <c r="F87" t="s">
        <v>17</v>
      </c>
      <c r="G87">
        <v>0.86099999999999999</v>
      </c>
      <c r="H87">
        <v>18.017100024000001</v>
      </c>
      <c r="I87" t="s">
        <v>8</v>
      </c>
      <c r="J87">
        <v>0.53900000000000003</v>
      </c>
      <c r="K87">
        <v>9.7112169129360009</v>
      </c>
      <c r="L87" t="s">
        <v>35</v>
      </c>
      <c r="M87">
        <v>0.26800000000000002</v>
      </c>
      <c r="N87">
        <v>4.8285828064320002</v>
      </c>
    </row>
    <row r="88" spans="1:14" x14ac:dyDescent="0.25">
      <c r="A88" s="23">
        <v>43185</v>
      </c>
      <c r="B88">
        <v>26.091999999999999</v>
      </c>
      <c r="C88" t="s">
        <v>19</v>
      </c>
      <c r="D88">
        <v>0.80200000000000005</v>
      </c>
      <c r="E88">
        <v>20.925784</v>
      </c>
      <c r="F88" t="s">
        <v>17</v>
      </c>
      <c r="G88">
        <v>0.86099999999999999</v>
      </c>
      <c r="H88">
        <v>18.017100024000001</v>
      </c>
      <c r="I88" t="s">
        <v>10</v>
      </c>
      <c r="J88">
        <v>4.7E-2</v>
      </c>
      <c r="K88">
        <v>0.84680370112800007</v>
      </c>
      <c r="L88" t="s">
        <v>36</v>
      </c>
      <c r="M88">
        <v>0.223</v>
      </c>
      <c r="N88">
        <v>4.8285828064320002</v>
      </c>
    </row>
    <row r="89" spans="1:14" x14ac:dyDescent="0.25">
      <c r="A89" s="23">
        <v>43186</v>
      </c>
      <c r="B89">
        <v>26.091999999999999</v>
      </c>
      <c r="C89" t="s">
        <v>19</v>
      </c>
      <c r="D89">
        <v>0.80200000000000005</v>
      </c>
      <c r="E89">
        <v>20.925784</v>
      </c>
      <c r="F89" t="s">
        <v>17</v>
      </c>
      <c r="G89">
        <v>0.86099999999999999</v>
      </c>
      <c r="H89">
        <v>18.017100024000001</v>
      </c>
      <c r="I89" t="s">
        <v>9</v>
      </c>
      <c r="J89">
        <v>6.0999999999999999E-2</v>
      </c>
      <c r="K89">
        <v>1.0990431014640001</v>
      </c>
      <c r="L89" t="s">
        <v>37</v>
      </c>
      <c r="M89">
        <v>0.14499999999999999</v>
      </c>
      <c r="N89">
        <v>4.017813305352</v>
      </c>
    </row>
    <row r="90" spans="1:14" x14ac:dyDescent="0.25">
      <c r="A90" s="23">
        <v>43187</v>
      </c>
      <c r="B90">
        <v>26.091999999999999</v>
      </c>
      <c r="C90" t="s">
        <v>19</v>
      </c>
      <c r="D90">
        <v>0.80200000000000005</v>
      </c>
      <c r="E90">
        <v>20.925784</v>
      </c>
      <c r="F90" t="s">
        <v>17</v>
      </c>
      <c r="G90">
        <v>0.86099999999999999</v>
      </c>
      <c r="H90">
        <v>18.017100024000001</v>
      </c>
      <c r="I90" t="s">
        <v>55</v>
      </c>
      <c r="J90">
        <v>3.6000000000000004E-2</v>
      </c>
      <c r="L90" t="s">
        <v>38</v>
      </c>
      <c r="M90">
        <v>2.1000000000000001E-2</v>
      </c>
      <c r="N90">
        <v>2.6124795034799999</v>
      </c>
    </row>
    <row r="91" spans="1:14" x14ac:dyDescent="0.25">
      <c r="A91" s="23">
        <v>43188</v>
      </c>
      <c r="B91">
        <v>26.091999999999999</v>
      </c>
      <c r="C91" t="s">
        <v>19</v>
      </c>
      <c r="D91">
        <v>0.80200000000000005</v>
      </c>
      <c r="E91">
        <v>20.925784</v>
      </c>
      <c r="F91" t="s">
        <v>17</v>
      </c>
      <c r="G91">
        <v>0.86099999999999999</v>
      </c>
      <c r="H91">
        <v>18.017100024000001</v>
      </c>
      <c r="L91" t="s">
        <v>39</v>
      </c>
      <c r="M91">
        <v>0.03</v>
      </c>
      <c r="N91">
        <v>0.37835910050400007</v>
      </c>
    </row>
    <row r="92" spans="1:14" x14ac:dyDescent="0.25">
      <c r="A92" s="23">
        <v>43189</v>
      </c>
      <c r="B92">
        <v>26.091999999999999</v>
      </c>
      <c r="C92" t="s">
        <v>19</v>
      </c>
      <c r="D92">
        <v>0.80200000000000005</v>
      </c>
      <c r="E92">
        <v>20.925784</v>
      </c>
      <c r="F92" t="s">
        <v>49</v>
      </c>
      <c r="G92">
        <v>0.84200000000000008</v>
      </c>
      <c r="H92">
        <v>17.619510128000002</v>
      </c>
      <c r="I92" t="s">
        <v>11</v>
      </c>
      <c r="J92">
        <v>0.23600000000000002</v>
      </c>
      <c r="K92">
        <v>4.1582043902080006</v>
      </c>
      <c r="L92" t="s">
        <v>32</v>
      </c>
      <c r="M92">
        <v>8.1000000000000003E-2</v>
      </c>
      <c r="N92">
        <v>1.4271803203680002</v>
      </c>
    </row>
    <row r="93" spans="1:14" x14ac:dyDescent="0.25">
      <c r="A93" s="23">
        <v>43190</v>
      </c>
      <c r="B93">
        <v>26.091999999999999</v>
      </c>
      <c r="C93" t="s">
        <v>19</v>
      </c>
      <c r="D93">
        <v>0.80200000000000005</v>
      </c>
      <c r="E93">
        <v>20.925784</v>
      </c>
      <c r="F93" t="s">
        <v>18</v>
      </c>
      <c r="G93">
        <v>0.84200000000000008</v>
      </c>
      <c r="H93">
        <v>17.619510128000002</v>
      </c>
      <c r="I93" t="s">
        <v>12</v>
      </c>
      <c r="J93">
        <v>9.1999999999999998E-2</v>
      </c>
      <c r="K93">
        <v>1.6209949317760002</v>
      </c>
      <c r="L93" t="s">
        <v>33</v>
      </c>
      <c r="M93">
        <v>0.13600000000000001</v>
      </c>
      <c r="N93">
        <v>2.3962533774080006</v>
      </c>
    </row>
    <row r="94" spans="1:14" x14ac:dyDescent="0.25">
      <c r="A94" s="23">
        <v>43191</v>
      </c>
      <c r="B94">
        <v>26.091999999999999</v>
      </c>
      <c r="C94" t="s">
        <v>19</v>
      </c>
      <c r="D94">
        <v>0.80200000000000005</v>
      </c>
      <c r="E94">
        <v>20.925784</v>
      </c>
      <c r="F94" t="s">
        <v>18</v>
      </c>
      <c r="G94">
        <v>0.84200000000000008</v>
      </c>
      <c r="H94">
        <v>17.619510128000002</v>
      </c>
      <c r="I94" t="s">
        <v>7</v>
      </c>
      <c r="J94">
        <v>0.185</v>
      </c>
      <c r="K94">
        <v>3.2596093736800005</v>
      </c>
      <c r="L94" t="s">
        <v>34</v>
      </c>
      <c r="M94">
        <v>0.152</v>
      </c>
      <c r="N94">
        <v>2.6781655394560002</v>
      </c>
    </row>
    <row r="95" spans="1:14" x14ac:dyDescent="0.25">
      <c r="A95" s="23">
        <v>43192</v>
      </c>
      <c r="B95">
        <v>26.091999999999999</v>
      </c>
      <c r="C95" t="s">
        <v>19</v>
      </c>
      <c r="D95">
        <v>0.80200000000000005</v>
      </c>
      <c r="E95">
        <v>20.925784</v>
      </c>
      <c r="F95" t="s">
        <v>18</v>
      </c>
      <c r="G95">
        <v>0.84200000000000008</v>
      </c>
      <c r="H95">
        <v>17.619510128000002</v>
      </c>
      <c r="I95" t="s">
        <v>8</v>
      </c>
      <c r="J95">
        <v>0.35700000000000004</v>
      </c>
      <c r="K95">
        <v>6.2901651156960012</v>
      </c>
      <c r="L95" t="s">
        <v>35</v>
      </c>
      <c r="M95">
        <v>0.22800000000000001</v>
      </c>
      <c r="N95">
        <v>4.0172483091840006</v>
      </c>
    </row>
    <row r="96" spans="1:14" x14ac:dyDescent="0.25">
      <c r="A96" s="23">
        <v>43193</v>
      </c>
      <c r="B96">
        <v>26.091999999999999</v>
      </c>
      <c r="C96" t="s">
        <v>19</v>
      </c>
      <c r="D96">
        <v>0.80200000000000005</v>
      </c>
      <c r="E96">
        <v>20.925784</v>
      </c>
      <c r="F96" t="s">
        <v>18</v>
      </c>
      <c r="G96">
        <v>0.84200000000000008</v>
      </c>
      <c r="H96">
        <v>17.619510128000002</v>
      </c>
      <c r="I96" t="s">
        <v>10</v>
      </c>
      <c r="J96">
        <v>2.8999999999999998E-2</v>
      </c>
      <c r="K96">
        <v>0.51096579371200002</v>
      </c>
      <c r="L96" t="s">
        <v>36</v>
      </c>
      <c r="M96">
        <v>0.19600000000000001</v>
      </c>
      <c r="N96">
        <v>3.4534239850880004</v>
      </c>
    </row>
    <row r="97" spans="1:14" x14ac:dyDescent="0.25">
      <c r="A97" s="23">
        <v>43194</v>
      </c>
      <c r="B97">
        <v>26.091999999999999</v>
      </c>
      <c r="C97" t="s">
        <v>19</v>
      </c>
      <c r="D97">
        <v>0.80200000000000005</v>
      </c>
      <c r="E97">
        <v>20.925784</v>
      </c>
      <c r="F97" t="s">
        <v>18</v>
      </c>
      <c r="G97">
        <v>0.84200000000000008</v>
      </c>
      <c r="H97">
        <v>17.619510128000002</v>
      </c>
      <c r="I97" t="s">
        <v>9</v>
      </c>
      <c r="J97">
        <v>8.4000000000000005E-2</v>
      </c>
      <c r="K97">
        <v>1.4800388507520001</v>
      </c>
      <c r="L97" t="s">
        <v>37</v>
      </c>
      <c r="M97">
        <v>0.14300000000000002</v>
      </c>
      <c r="N97">
        <v>2.5195899483040005</v>
      </c>
    </row>
    <row r="98" spans="1:14" x14ac:dyDescent="0.25">
      <c r="A98" s="23">
        <v>43195</v>
      </c>
      <c r="B98">
        <v>26.091999999999999</v>
      </c>
      <c r="C98" t="s">
        <v>19</v>
      </c>
      <c r="D98">
        <v>0.80200000000000005</v>
      </c>
      <c r="E98">
        <v>20.925784</v>
      </c>
      <c r="F98" t="s">
        <v>18</v>
      </c>
      <c r="G98">
        <v>0.84200000000000008</v>
      </c>
      <c r="H98">
        <v>17.619510128000002</v>
      </c>
      <c r="I98" t="s">
        <v>55</v>
      </c>
      <c r="J98">
        <v>1.6E-2</v>
      </c>
      <c r="L98" t="s">
        <v>38</v>
      </c>
      <c r="M98">
        <v>3.5000000000000003E-2</v>
      </c>
      <c r="N98">
        <v>0.61668285448000015</v>
      </c>
    </row>
    <row r="99" spans="1:14" x14ac:dyDescent="0.25">
      <c r="A99" s="23">
        <v>43196</v>
      </c>
      <c r="B99">
        <v>26.091999999999999</v>
      </c>
      <c r="C99" t="s">
        <v>19</v>
      </c>
      <c r="D99">
        <v>0.80200000000000005</v>
      </c>
      <c r="E99">
        <v>20.925784</v>
      </c>
      <c r="F99" t="s">
        <v>18</v>
      </c>
      <c r="G99">
        <v>0.84200000000000008</v>
      </c>
      <c r="H99">
        <v>17.619510128000002</v>
      </c>
      <c r="L99" t="s">
        <v>39</v>
      </c>
      <c r="M99">
        <v>2.7000000000000003E-2</v>
      </c>
      <c r="N99">
        <v>0.47572677345600012</v>
      </c>
    </row>
    <row r="100" spans="1:14" x14ac:dyDescent="0.25">
      <c r="A100" s="23">
        <v>43197</v>
      </c>
      <c r="B100">
        <v>26.161000000000001</v>
      </c>
      <c r="C100" t="s">
        <v>2</v>
      </c>
      <c r="D100">
        <v>0.192</v>
      </c>
      <c r="E100">
        <v>5.0229120000000007</v>
      </c>
      <c r="F100" t="s">
        <v>14</v>
      </c>
      <c r="G100">
        <v>0.20800000000000002</v>
      </c>
      <c r="H100">
        <v>1.0447656960000002</v>
      </c>
      <c r="I100" t="s">
        <v>11</v>
      </c>
      <c r="J100">
        <v>9.6999999999999989E-2</v>
      </c>
      <c r="K100">
        <v>0.10134227251200001</v>
      </c>
      <c r="L100" t="s">
        <v>32</v>
      </c>
      <c r="M100">
        <v>1.2E-2</v>
      </c>
      <c r="N100">
        <v>1.2537188352000003E-2</v>
      </c>
    </row>
    <row r="101" spans="1:14" x14ac:dyDescent="0.25">
      <c r="A101" s="23">
        <v>43198</v>
      </c>
      <c r="B101">
        <v>26.161000000000001</v>
      </c>
      <c r="C101" t="s">
        <v>2</v>
      </c>
      <c r="D101">
        <v>0.192</v>
      </c>
      <c r="E101">
        <v>5.0229120000000007</v>
      </c>
      <c r="F101" t="s">
        <v>43</v>
      </c>
      <c r="G101">
        <v>0.20800000000000002</v>
      </c>
      <c r="H101">
        <v>1.0447656960000002</v>
      </c>
      <c r="I101" t="s">
        <v>12</v>
      </c>
      <c r="J101">
        <v>2.7000000000000003E-2</v>
      </c>
      <c r="K101">
        <v>2.8208673792000011E-2</v>
      </c>
      <c r="L101" t="s">
        <v>33</v>
      </c>
      <c r="M101">
        <v>6.6000000000000003E-2</v>
      </c>
      <c r="N101">
        <v>6.8954535936000025E-2</v>
      </c>
    </row>
    <row r="102" spans="1:14" x14ac:dyDescent="0.25">
      <c r="A102" s="23">
        <v>43199</v>
      </c>
      <c r="B102">
        <v>26.161000000000001</v>
      </c>
      <c r="C102" t="s">
        <v>2</v>
      </c>
      <c r="D102">
        <v>0.192</v>
      </c>
      <c r="E102">
        <v>5.0229120000000007</v>
      </c>
      <c r="F102" t="s">
        <v>14</v>
      </c>
      <c r="G102">
        <v>0.20800000000000002</v>
      </c>
      <c r="H102">
        <v>1.0447656960000002</v>
      </c>
      <c r="I102" t="s">
        <v>7</v>
      </c>
      <c r="J102">
        <v>6.4000000000000001E-2</v>
      </c>
      <c r="K102">
        <v>6.6865004544000017E-2</v>
      </c>
      <c r="L102" t="s">
        <v>34</v>
      </c>
      <c r="M102">
        <v>0.13</v>
      </c>
      <c r="N102">
        <v>0.13581954048000003</v>
      </c>
    </row>
    <row r="103" spans="1:14" x14ac:dyDescent="0.25">
      <c r="A103" s="23">
        <v>43200</v>
      </c>
      <c r="B103">
        <v>26.161000000000001</v>
      </c>
      <c r="C103" t="s">
        <v>2</v>
      </c>
      <c r="D103">
        <v>0.192</v>
      </c>
      <c r="E103">
        <v>5.0229120000000007</v>
      </c>
      <c r="F103" t="s">
        <v>14</v>
      </c>
      <c r="G103">
        <v>0.20800000000000002</v>
      </c>
      <c r="H103">
        <v>1.0447656960000002</v>
      </c>
      <c r="I103" t="s">
        <v>8</v>
      </c>
      <c r="J103">
        <v>0.30599999999999999</v>
      </c>
      <c r="K103">
        <v>0.31969830297600005</v>
      </c>
      <c r="L103" t="s">
        <v>35</v>
      </c>
      <c r="M103">
        <v>0.252</v>
      </c>
      <c r="N103">
        <v>0.26328095539200008</v>
      </c>
    </row>
    <row r="104" spans="1:14" x14ac:dyDescent="0.25">
      <c r="A104" s="23">
        <v>43201</v>
      </c>
      <c r="B104">
        <v>26.161000000000001</v>
      </c>
      <c r="C104" t="s">
        <v>2</v>
      </c>
      <c r="D104">
        <v>0.192</v>
      </c>
      <c r="E104">
        <v>5.0229120000000007</v>
      </c>
      <c r="F104" t="s">
        <v>14</v>
      </c>
      <c r="G104">
        <v>0.20800000000000002</v>
      </c>
      <c r="H104">
        <v>1.0447656960000002</v>
      </c>
      <c r="I104" t="s">
        <v>10</v>
      </c>
      <c r="J104">
        <v>8.199999999999999E-2</v>
      </c>
      <c r="K104">
        <v>8.5670787072000015E-2</v>
      </c>
      <c r="L104" t="s">
        <v>36</v>
      </c>
      <c r="M104">
        <v>0.23600000000000002</v>
      </c>
      <c r="N104">
        <v>0.24656470425600008</v>
      </c>
    </row>
    <row r="105" spans="1:14" x14ac:dyDescent="0.25">
      <c r="A105" s="23">
        <v>43202</v>
      </c>
      <c r="B105">
        <v>26.161000000000001</v>
      </c>
      <c r="C105" t="s">
        <v>2</v>
      </c>
      <c r="D105">
        <v>0.192</v>
      </c>
      <c r="E105">
        <v>5.0229120000000007</v>
      </c>
      <c r="F105" t="s">
        <v>14</v>
      </c>
      <c r="G105">
        <v>0.20800000000000002</v>
      </c>
      <c r="H105">
        <v>1.0447656960000002</v>
      </c>
      <c r="I105" t="s">
        <v>9</v>
      </c>
      <c r="J105">
        <v>0.41899999999999998</v>
      </c>
      <c r="K105">
        <v>0.43775682662400006</v>
      </c>
      <c r="L105" t="s">
        <v>37</v>
      </c>
      <c r="M105">
        <v>0.28999999999999998</v>
      </c>
      <c r="N105">
        <v>0.30298205184000004</v>
      </c>
    </row>
    <row r="106" spans="1:14" x14ac:dyDescent="0.25">
      <c r="A106" s="23">
        <v>43203</v>
      </c>
      <c r="B106">
        <v>26.161000000000001</v>
      </c>
      <c r="C106" t="s">
        <v>2</v>
      </c>
      <c r="D106">
        <v>0.192</v>
      </c>
      <c r="E106">
        <v>5.0229120000000007</v>
      </c>
      <c r="F106" t="s">
        <v>14</v>
      </c>
      <c r="G106">
        <v>0.20800000000000002</v>
      </c>
      <c r="H106">
        <v>1.0447656960000002</v>
      </c>
      <c r="I106" t="s">
        <v>55</v>
      </c>
      <c r="J106">
        <v>5.0000000000000001E-3</v>
      </c>
      <c r="K106">
        <v>5.2238284800000014E-3</v>
      </c>
      <c r="L106" t="s">
        <v>38</v>
      </c>
      <c r="M106">
        <v>8.0000000000000002E-3</v>
      </c>
      <c r="N106">
        <v>8.3581255680000022E-3</v>
      </c>
    </row>
    <row r="107" spans="1:14" x14ac:dyDescent="0.25">
      <c r="A107" s="23">
        <v>43204</v>
      </c>
      <c r="B107">
        <v>26.161000000000001</v>
      </c>
      <c r="C107" t="s">
        <v>2</v>
      </c>
      <c r="D107">
        <v>0.192</v>
      </c>
      <c r="E107">
        <v>5.0229120000000007</v>
      </c>
      <c r="F107" t="s">
        <v>14</v>
      </c>
      <c r="G107">
        <v>0.20800000000000002</v>
      </c>
      <c r="H107">
        <v>1.0447656960000002</v>
      </c>
      <c r="L107" t="s">
        <v>39</v>
      </c>
      <c r="M107">
        <v>5.0000000000000001E-3</v>
      </c>
      <c r="N107">
        <v>5.2238284800000014E-3</v>
      </c>
    </row>
    <row r="108" spans="1:14" x14ac:dyDescent="0.25">
      <c r="A108" s="23">
        <v>43205</v>
      </c>
      <c r="B108">
        <v>26.161000000000001</v>
      </c>
      <c r="C108" t="s">
        <v>2</v>
      </c>
      <c r="D108">
        <v>0.192</v>
      </c>
      <c r="E108">
        <v>5.0229120000000007</v>
      </c>
      <c r="F108" t="s">
        <v>44</v>
      </c>
      <c r="G108">
        <v>0.11800000000000001</v>
      </c>
      <c r="H108">
        <v>0.5927036160000001</v>
      </c>
      <c r="I108" t="s">
        <v>11</v>
      </c>
      <c r="J108">
        <v>4.4999999999999998E-2</v>
      </c>
      <c r="K108">
        <v>2.6671662720000003E-2</v>
      </c>
      <c r="L108" t="s">
        <v>32</v>
      </c>
      <c r="M108">
        <v>0</v>
      </c>
      <c r="N108">
        <v>0</v>
      </c>
    </row>
    <row r="109" spans="1:14" x14ac:dyDescent="0.25">
      <c r="A109" s="23">
        <v>43206</v>
      </c>
      <c r="B109">
        <v>26.161000000000001</v>
      </c>
      <c r="C109" t="s">
        <v>2</v>
      </c>
      <c r="D109">
        <v>0.192</v>
      </c>
      <c r="E109">
        <v>5.0229120000000007</v>
      </c>
      <c r="F109" t="s">
        <v>15</v>
      </c>
      <c r="G109">
        <v>0.11800000000000001</v>
      </c>
      <c r="H109">
        <v>0.5927036160000001</v>
      </c>
      <c r="I109" t="s">
        <v>12</v>
      </c>
      <c r="J109">
        <v>0</v>
      </c>
      <c r="K109">
        <v>0</v>
      </c>
      <c r="L109" t="s">
        <v>33</v>
      </c>
      <c r="M109">
        <v>0.14199999999999999</v>
      </c>
      <c r="N109">
        <v>8.4163913472000002E-2</v>
      </c>
    </row>
    <row r="110" spans="1:14" x14ac:dyDescent="0.25">
      <c r="A110" s="23">
        <v>43207</v>
      </c>
      <c r="B110">
        <v>26.161000000000001</v>
      </c>
      <c r="C110" t="s">
        <v>2</v>
      </c>
      <c r="D110">
        <v>0.192</v>
      </c>
      <c r="E110">
        <v>5.0229120000000007</v>
      </c>
      <c r="F110" t="s">
        <v>15</v>
      </c>
      <c r="G110">
        <v>0.11800000000000001</v>
      </c>
      <c r="H110">
        <v>0.5927036160000001</v>
      </c>
      <c r="I110" t="s">
        <v>7</v>
      </c>
      <c r="J110">
        <v>3.1E-2</v>
      </c>
      <c r="K110">
        <v>1.8373812096000003E-2</v>
      </c>
      <c r="L110" t="s">
        <v>34</v>
      </c>
      <c r="M110">
        <v>0.13200000000000001</v>
      </c>
      <c r="N110">
        <v>7.8236877312000019E-2</v>
      </c>
    </row>
    <row r="111" spans="1:14" x14ac:dyDescent="0.25">
      <c r="A111" s="23">
        <v>43208</v>
      </c>
      <c r="B111">
        <v>26.161000000000001</v>
      </c>
      <c r="C111" t="s">
        <v>2</v>
      </c>
      <c r="D111">
        <v>0.192</v>
      </c>
      <c r="E111">
        <v>5.0229120000000007</v>
      </c>
      <c r="F111" t="s">
        <v>15</v>
      </c>
      <c r="G111">
        <v>0.11800000000000001</v>
      </c>
      <c r="H111">
        <v>0.5927036160000001</v>
      </c>
      <c r="I111" t="s">
        <v>8</v>
      </c>
      <c r="J111">
        <v>0.3</v>
      </c>
      <c r="K111">
        <v>0.17781108480000002</v>
      </c>
      <c r="L111" t="s">
        <v>35</v>
      </c>
      <c r="M111">
        <v>0.29499999999999998</v>
      </c>
      <c r="N111">
        <v>0.17484756672000001</v>
      </c>
    </row>
    <row r="112" spans="1:14" x14ac:dyDescent="0.25">
      <c r="A112" s="23">
        <v>43209</v>
      </c>
      <c r="B112">
        <v>26.161000000000001</v>
      </c>
      <c r="C112" t="s">
        <v>2</v>
      </c>
      <c r="D112">
        <v>0.192</v>
      </c>
      <c r="E112">
        <v>5.0229120000000007</v>
      </c>
      <c r="F112" t="s">
        <v>15</v>
      </c>
      <c r="G112">
        <v>0.11800000000000001</v>
      </c>
      <c r="H112">
        <v>0.5927036160000001</v>
      </c>
      <c r="I112" t="s">
        <v>10</v>
      </c>
      <c r="J112">
        <v>0</v>
      </c>
      <c r="K112">
        <v>0</v>
      </c>
      <c r="L112" t="s">
        <v>36</v>
      </c>
      <c r="M112">
        <v>0.187</v>
      </c>
      <c r="N112">
        <v>0.11083557619200002</v>
      </c>
    </row>
    <row r="113" spans="1:14" x14ac:dyDescent="0.25">
      <c r="A113" s="23">
        <v>43210</v>
      </c>
      <c r="B113">
        <v>26.161000000000001</v>
      </c>
      <c r="C113" t="s">
        <v>2</v>
      </c>
      <c r="D113">
        <v>0.192</v>
      </c>
      <c r="E113">
        <v>5.0229120000000007</v>
      </c>
      <c r="F113" t="s">
        <v>15</v>
      </c>
      <c r="G113">
        <v>0.11800000000000001</v>
      </c>
      <c r="H113">
        <v>0.5927036160000001</v>
      </c>
      <c r="I113" t="s">
        <v>9</v>
      </c>
      <c r="J113">
        <v>0.624</v>
      </c>
      <c r="K113">
        <v>0.36984705638400006</v>
      </c>
      <c r="L113" t="s">
        <v>37</v>
      </c>
      <c r="M113">
        <v>0.24399999999999999</v>
      </c>
      <c r="N113">
        <v>0.14461968230400002</v>
      </c>
    </row>
    <row r="114" spans="1:14" x14ac:dyDescent="0.25">
      <c r="A114" s="23">
        <v>43211</v>
      </c>
      <c r="B114">
        <v>26.161000000000001</v>
      </c>
      <c r="C114" t="s">
        <v>2</v>
      </c>
      <c r="D114">
        <v>0.192</v>
      </c>
      <c r="E114">
        <v>5.0229120000000007</v>
      </c>
      <c r="F114" t="s">
        <v>15</v>
      </c>
      <c r="G114">
        <v>0.11800000000000001</v>
      </c>
      <c r="H114">
        <v>0.5927036160000001</v>
      </c>
      <c r="I114" t="s">
        <v>55</v>
      </c>
      <c r="J114">
        <v>0</v>
      </c>
      <c r="K114">
        <v>0</v>
      </c>
      <c r="L114" t="s">
        <v>38</v>
      </c>
      <c r="M114">
        <v>0</v>
      </c>
      <c r="N114">
        <v>0</v>
      </c>
    </row>
    <row r="115" spans="1:14" x14ac:dyDescent="0.25">
      <c r="A115" s="23">
        <v>43212</v>
      </c>
      <c r="B115">
        <v>26.161000000000001</v>
      </c>
      <c r="C115" t="s">
        <v>2</v>
      </c>
      <c r="D115">
        <v>0.192</v>
      </c>
      <c r="E115">
        <v>5.0229120000000007</v>
      </c>
      <c r="F115" t="s">
        <v>15</v>
      </c>
      <c r="G115">
        <v>0.11800000000000001</v>
      </c>
      <c r="H115">
        <v>0.5927036160000001</v>
      </c>
      <c r="J115" t="s">
        <v>56</v>
      </c>
      <c r="L115" t="s">
        <v>39</v>
      </c>
      <c r="M115">
        <v>0</v>
      </c>
      <c r="N115">
        <v>0</v>
      </c>
    </row>
    <row r="116" spans="1:14" x14ac:dyDescent="0.25">
      <c r="A116" s="23">
        <v>43213</v>
      </c>
      <c r="B116">
        <v>26.161000000000001</v>
      </c>
      <c r="C116" t="s">
        <v>2</v>
      </c>
      <c r="D116">
        <v>0.192</v>
      </c>
      <c r="E116">
        <v>5.0229120000000007</v>
      </c>
      <c r="F116" t="s">
        <v>45</v>
      </c>
      <c r="G116">
        <v>0.19399999999999998</v>
      </c>
      <c r="H116">
        <v>0.97444492800000004</v>
      </c>
      <c r="I116" t="s">
        <v>11</v>
      </c>
      <c r="J116">
        <v>0.113</v>
      </c>
      <c r="K116">
        <v>0.11011227686400001</v>
      </c>
      <c r="L116" t="s">
        <v>32</v>
      </c>
      <c r="M116">
        <v>1.4999999999999999E-2</v>
      </c>
      <c r="N116">
        <v>1.461667392E-2</v>
      </c>
    </row>
    <row r="117" spans="1:14" x14ac:dyDescent="0.25">
      <c r="A117" s="23">
        <v>43214</v>
      </c>
      <c r="B117">
        <v>26.161000000000001</v>
      </c>
      <c r="C117" t="s">
        <v>2</v>
      </c>
      <c r="D117">
        <v>0.192</v>
      </c>
      <c r="E117">
        <v>5.0229120000000007</v>
      </c>
      <c r="F117" t="s">
        <v>16</v>
      </c>
      <c r="G117">
        <v>0.19399999999999998</v>
      </c>
      <c r="H117">
        <v>0.97444492800000004</v>
      </c>
      <c r="I117" t="s">
        <v>12</v>
      </c>
      <c r="J117">
        <v>0.05</v>
      </c>
      <c r="K117">
        <v>4.8722246400000002E-2</v>
      </c>
      <c r="L117" t="s">
        <v>33</v>
      </c>
      <c r="M117">
        <v>0.1</v>
      </c>
      <c r="N117">
        <v>9.7444492800000004E-2</v>
      </c>
    </row>
    <row r="118" spans="1:14" x14ac:dyDescent="0.25">
      <c r="A118" s="23">
        <v>43215</v>
      </c>
      <c r="B118">
        <v>26.161000000000001</v>
      </c>
      <c r="C118" t="s">
        <v>2</v>
      </c>
      <c r="D118">
        <v>0.192</v>
      </c>
      <c r="E118">
        <v>5.0229120000000007</v>
      </c>
      <c r="F118" t="s">
        <v>16</v>
      </c>
      <c r="G118">
        <v>0.19399999999999998</v>
      </c>
      <c r="H118">
        <v>0.97444492800000004</v>
      </c>
      <c r="I118" t="s">
        <v>7</v>
      </c>
      <c r="J118">
        <v>0.05</v>
      </c>
      <c r="K118">
        <v>4.8722246400000002E-2</v>
      </c>
      <c r="L118" t="s">
        <v>34</v>
      </c>
      <c r="M118">
        <v>0.154</v>
      </c>
      <c r="N118">
        <v>0.15006451891200001</v>
      </c>
    </row>
    <row r="119" spans="1:14" x14ac:dyDescent="0.25">
      <c r="A119" s="23">
        <v>43216</v>
      </c>
      <c r="B119">
        <v>26.161000000000001</v>
      </c>
      <c r="C119" t="s">
        <v>2</v>
      </c>
      <c r="D119">
        <v>0.192</v>
      </c>
      <c r="E119">
        <v>5.0229120000000007</v>
      </c>
      <c r="F119" t="s">
        <v>16</v>
      </c>
      <c r="G119">
        <v>0.19399999999999998</v>
      </c>
      <c r="H119">
        <v>0.97444492800000004</v>
      </c>
      <c r="I119" t="s">
        <v>8</v>
      </c>
      <c r="J119">
        <v>0.26200000000000001</v>
      </c>
      <c r="K119">
        <v>0.25530457113600002</v>
      </c>
      <c r="L119" t="s">
        <v>35</v>
      </c>
      <c r="M119">
        <v>0.25600000000000001</v>
      </c>
      <c r="N119">
        <v>0.24945790156800002</v>
      </c>
    </row>
    <row r="120" spans="1:14" x14ac:dyDescent="0.25">
      <c r="A120" s="23">
        <v>43217</v>
      </c>
      <c r="B120">
        <v>26.161000000000001</v>
      </c>
      <c r="C120" t="s">
        <v>2</v>
      </c>
      <c r="D120">
        <v>0.192</v>
      </c>
      <c r="E120">
        <v>5.0229120000000007</v>
      </c>
      <c r="F120" t="s">
        <v>16</v>
      </c>
      <c r="G120">
        <v>0.19399999999999998</v>
      </c>
      <c r="H120">
        <v>0.97444492800000004</v>
      </c>
      <c r="I120" t="s">
        <v>10</v>
      </c>
      <c r="J120">
        <v>7.0000000000000007E-2</v>
      </c>
      <c r="K120">
        <v>6.8211144960000011E-2</v>
      </c>
      <c r="L120" t="s">
        <v>36</v>
      </c>
      <c r="M120">
        <v>0.23300000000000001</v>
      </c>
      <c r="N120">
        <v>0.22704566822400002</v>
      </c>
    </row>
    <row r="121" spans="1:14" x14ac:dyDescent="0.25">
      <c r="A121" s="23">
        <v>43218</v>
      </c>
      <c r="B121">
        <v>26.161000000000001</v>
      </c>
      <c r="C121" t="s">
        <v>2</v>
      </c>
      <c r="D121">
        <v>0.192</v>
      </c>
      <c r="E121">
        <v>5.0229120000000007</v>
      </c>
      <c r="F121" t="s">
        <v>16</v>
      </c>
      <c r="G121">
        <v>0.19399999999999998</v>
      </c>
      <c r="H121">
        <v>0.97444492800000004</v>
      </c>
      <c r="I121" t="s">
        <v>9</v>
      </c>
      <c r="J121">
        <v>0.45</v>
      </c>
      <c r="K121">
        <v>0.43850021760000002</v>
      </c>
      <c r="L121" t="s">
        <v>37</v>
      </c>
      <c r="M121">
        <v>0.217</v>
      </c>
      <c r="N121">
        <v>0.211454549376</v>
      </c>
    </row>
    <row r="122" spans="1:14" x14ac:dyDescent="0.25">
      <c r="A122" s="23">
        <v>43219</v>
      </c>
      <c r="B122">
        <v>26.161000000000001</v>
      </c>
      <c r="C122" t="s">
        <v>2</v>
      </c>
      <c r="D122">
        <v>0.192</v>
      </c>
      <c r="E122">
        <v>5.0229120000000007</v>
      </c>
      <c r="F122" t="s">
        <v>16</v>
      </c>
      <c r="G122">
        <v>0.19399999999999998</v>
      </c>
      <c r="H122">
        <v>0.97444492800000004</v>
      </c>
      <c r="I122" t="s">
        <v>55</v>
      </c>
      <c r="J122">
        <v>5.0000000000000001E-3</v>
      </c>
      <c r="K122">
        <v>4.8722246400000006E-3</v>
      </c>
      <c r="L122" t="s">
        <v>38</v>
      </c>
      <c r="M122">
        <v>1.7000000000000001E-2</v>
      </c>
      <c r="N122">
        <v>1.6565563776000002E-2</v>
      </c>
    </row>
    <row r="123" spans="1:14" x14ac:dyDescent="0.25">
      <c r="A123" s="23">
        <v>43220</v>
      </c>
      <c r="B123">
        <v>26.161000000000001</v>
      </c>
      <c r="C123" t="s">
        <v>2</v>
      </c>
      <c r="D123">
        <v>0.192</v>
      </c>
      <c r="E123">
        <v>5.0229120000000007</v>
      </c>
      <c r="F123" t="s">
        <v>16</v>
      </c>
      <c r="G123">
        <v>0.19399999999999998</v>
      </c>
      <c r="H123">
        <v>0.97444492800000004</v>
      </c>
      <c r="L123" t="s">
        <v>39</v>
      </c>
      <c r="M123">
        <v>9.0000000000000011E-3</v>
      </c>
      <c r="N123">
        <v>8.7700043520000017E-3</v>
      </c>
    </row>
    <row r="124" spans="1:14" x14ac:dyDescent="0.25">
      <c r="A124" s="23">
        <v>43221</v>
      </c>
      <c r="B124">
        <v>26.161000000000001</v>
      </c>
      <c r="C124" t="s">
        <v>2</v>
      </c>
      <c r="D124">
        <v>0.192</v>
      </c>
      <c r="E124">
        <v>5.0229120000000007</v>
      </c>
      <c r="F124" t="s">
        <v>46</v>
      </c>
      <c r="G124">
        <v>0.22</v>
      </c>
      <c r="H124">
        <v>1.1050406400000001</v>
      </c>
      <c r="I124" t="s">
        <v>11</v>
      </c>
      <c r="J124">
        <v>0.32400000000000001</v>
      </c>
      <c r="K124">
        <v>0.35803316736000007</v>
      </c>
      <c r="L124" t="s">
        <v>32</v>
      </c>
      <c r="M124">
        <v>0.03</v>
      </c>
      <c r="N124">
        <v>3.3151219200000005E-2</v>
      </c>
    </row>
    <row r="125" spans="1:14" x14ac:dyDescent="0.25">
      <c r="A125" s="23">
        <v>43222</v>
      </c>
      <c r="B125">
        <v>26.161000000000001</v>
      </c>
      <c r="C125" t="s">
        <v>2</v>
      </c>
      <c r="D125">
        <v>0.192</v>
      </c>
      <c r="E125">
        <v>5.0229120000000007</v>
      </c>
      <c r="F125" t="s">
        <v>13</v>
      </c>
      <c r="G125">
        <v>0.22</v>
      </c>
      <c r="H125">
        <v>1.1050406400000001</v>
      </c>
      <c r="I125" t="s">
        <v>12</v>
      </c>
      <c r="J125">
        <v>4.7E-2</v>
      </c>
      <c r="K125">
        <v>5.1936910080000009E-2</v>
      </c>
      <c r="L125" t="s">
        <v>33</v>
      </c>
      <c r="M125">
        <v>6.8000000000000005E-2</v>
      </c>
      <c r="N125">
        <v>7.5142763520000017E-2</v>
      </c>
    </row>
    <row r="126" spans="1:14" x14ac:dyDescent="0.25">
      <c r="A126" s="23">
        <v>43223</v>
      </c>
      <c r="B126">
        <v>26.161000000000001</v>
      </c>
      <c r="C126" t="s">
        <v>2</v>
      </c>
      <c r="D126">
        <v>0.192</v>
      </c>
      <c r="E126">
        <v>5.0229120000000007</v>
      </c>
      <c r="F126" t="s">
        <v>13</v>
      </c>
      <c r="G126">
        <v>0.22</v>
      </c>
      <c r="H126">
        <v>1.1050406400000001</v>
      </c>
      <c r="I126" t="s">
        <v>7</v>
      </c>
      <c r="J126">
        <v>0.113</v>
      </c>
      <c r="K126">
        <v>0.12486959232000001</v>
      </c>
      <c r="L126" t="s">
        <v>34</v>
      </c>
      <c r="M126">
        <v>0.129</v>
      </c>
      <c r="N126">
        <v>0.14255024256000001</v>
      </c>
    </row>
    <row r="127" spans="1:14" x14ac:dyDescent="0.25">
      <c r="A127" s="23">
        <v>43224</v>
      </c>
      <c r="B127">
        <v>26.161000000000001</v>
      </c>
      <c r="C127" t="s">
        <v>2</v>
      </c>
      <c r="D127">
        <v>0.192</v>
      </c>
      <c r="E127">
        <v>5.0229120000000007</v>
      </c>
      <c r="F127" t="s">
        <v>13</v>
      </c>
      <c r="G127">
        <v>0.22</v>
      </c>
      <c r="H127">
        <v>1.1050406400000001</v>
      </c>
      <c r="I127" t="s">
        <v>8</v>
      </c>
      <c r="J127">
        <v>0.313</v>
      </c>
      <c r="K127">
        <v>0.34587772032000003</v>
      </c>
      <c r="L127" t="s">
        <v>35</v>
      </c>
      <c r="M127">
        <v>0.29799999999999999</v>
      </c>
      <c r="N127">
        <v>0.32930211072000004</v>
      </c>
    </row>
    <row r="128" spans="1:14" x14ac:dyDescent="0.25">
      <c r="A128" s="23">
        <v>43225</v>
      </c>
      <c r="B128">
        <v>26.161000000000001</v>
      </c>
      <c r="C128" t="s">
        <v>2</v>
      </c>
      <c r="D128">
        <v>0.192</v>
      </c>
      <c r="E128">
        <v>5.0229120000000007</v>
      </c>
      <c r="F128" t="s">
        <v>13</v>
      </c>
      <c r="G128">
        <v>0.22</v>
      </c>
      <c r="H128">
        <v>1.1050406400000001</v>
      </c>
      <c r="I128" t="s">
        <v>10</v>
      </c>
      <c r="J128">
        <v>3.9E-2</v>
      </c>
      <c r="K128">
        <v>4.3096584960000003E-2</v>
      </c>
      <c r="L128" t="s">
        <v>36</v>
      </c>
      <c r="M128">
        <v>0.26400000000000001</v>
      </c>
      <c r="N128">
        <v>0.29173072896000007</v>
      </c>
    </row>
    <row r="129" spans="1:14" x14ac:dyDescent="0.25">
      <c r="A129" s="23">
        <v>43226</v>
      </c>
      <c r="B129">
        <v>26.161000000000001</v>
      </c>
      <c r="C129" t="s">
        <v>2</v>
      </c>
      <c r="D129">
        <v>0.192</v>
      </c>
      <c r="E129">
        <v>5.0229120000000007</v>
      </c>
      <c r="F129" t="s">
        <v>13</v>
      </c>
      <c r="G129">
        <v>0.22</v>
      </c>
      <c r="H129">
        <v>1.1050406400000001</v>
      </c>
      <c r="I129" t="s">
        <v>9</v>
      </c>
      <c r="J129">
        <v>0.156</v>
      </c>
      <c r="K129">
        <v>0.17238633984000001</v>
      </c>
      <c r="L129" t="s">
        <v>37</v>
      </c>
      <c r="M129">
        <v>0.17499999999999999</v>
      </c>
      <c r="N129">
        <v>0.29173072896000007</v>
      </c>
    </row>
    <row r="130" spans="1:14" x14ac:dyDescent="0.25">
      <c r="A130" s="23">
        <v>43227</v>
      </c>
      <c r="B130">
        <v>26.161000000000001</v>
      </c>
      <c r="C130" t="s">
        <v>2</v>
      </c>
      <c r="D130">
        <v>0.192</v>
      </c>
      <c r="E130">
        <v>5.0229120000000007</v>
      </c>
      <c r="F130" t="s">
        <v>13</v>
      </c>
      <c r="G130">
        <v>0.22</v>
      </c>
      <c r="H130">
        <v>1.1050406400000001</v>
      </c>
      <c r="I130" t="s">
        <v>55</v>
      </c>
      <c r="J130">
        <v>9.0000000000000011E-3</v>
      </c>
      <c r="L130" t="s">
        <v>38</v>
      </c>
      <c r="M130">
        <v>2.3E-2</v>
      </c>
      <c r="N130">
        <v>0.19338211200000002</v>
      </c>
    </row>
    <row r="131" spans="1:14" x14ac:dyDescent="0.25">
      <c r="A131" s="23">
        <v>43228</v>
      </c>
      <c r="B131">
        <v>26.161000000000001</v>
      </c>
      <c r="C131" t="s">
        <v>2</v>
      </c>
      <c r="D131">
        <v>0.192</v>
      </c>
      <c r="E131">
        <v>5.0229120000000007</v>
      </c>
      <c r="F131" t="s">
        <v>13</v>
      </c>
      <c r="G131">
        <v>0.22</v>
      </c>
      <c r="H131">
        <v>1.1050406400000001</v>
      </c>
      <c r="L131" t="s">
        <v>39</v>
      </c>
      <c r="M131">
        <v>1.3000000000000001E-2</v>
      </c>
      <c r="N131">
        <v>2.5415934720000002E-2</v>
      </c>
    </row>
    <row r="132" spans="1:14" x14ac:dyDescent="0.25">
      <c r="A132" s="23">
        <v>43229</v>
      </c>
      <c r="B132">
        <v>26.161000000000001</v>
      </c>
      <c r="C132" t="s">
        <v>2</v>
      </c>
      <c r="D132">
        <v>0.192</v>
      </c>
      <c r="E132">
        <v>5.0229120000000007</v>
      </c>
      <c r="F132" t="s">
        <v>47</v>
      </c>
      <c r="G132">
        <v>0.191</v>
      </c>
      <c r="H132">
        <v>0.95937619200000013</v>
      </c>
      <c r="I132" t="s">
        <v>11</v>
      </c>
      <c r="J132">
        <v>0</v>
      </c>
      <c r="K132">
        <v>0</v>
      </c>
      <c r="L132" t="s">
        <v>32</v>
      </c>
      <c r="M132">
        <v>0</v>
      </c>
      <c r="N132">
        <v>0</v>
      </c>
    </row>
    <row r="133" spans="1:14" x14ac:dyDescent="0.25">
      <c r="A133" s="23">
        <v>43230</v>
      </c>
      <c r="B133">
        <v>26.161000000000001</v>
      </c>
      <c r="C133" t="s">
        <v>2</v>
      </c>
      <c r="D133">
        <v>0.192</v>
      </c>
      <c r="E133">
        <v>5.0229120000000007</v>
      </c>
      <c r="F133" t="s">
        <v>17</v>
      </c>
      <c r="G133">
        <v>0.191</v>
      </c>
      <c r="H133">
        <v>0.95937619200000013</v>
      </c>
      <c r="I133" t="s">
        <v>12</v>
      </c>
      <c r="J133">
        <v>0.113</v>
      </c>
      <c r="K133">
        <v>0.10840950969600002</v>
      </c>
      <c r="L133" t="s">
        <v>33</v>
      </c>
      <c r="M133">
        <v>0</v>
      </c>
      <c r="N133">
        <v>0</v>
      </c>
    </row>
    <row r="134" spans="1:14" x14ac:dyDescent="0.25">
      <c r="A134" s="23">
        <v>43231</v>
      </c>
      <c r="B134">
        <v>26.161000000000001</v>
      </c>
      <c r="C134" t="s">
        <v>2</v>
      </c>
      <c r="D134">
        <v>0.192</v>
      </c>
      <c r="E134">
        <v>5.0229120000000007</v>
      </c>
      <c r="F134" t="s">
        <v>17</v>
      </c>
      <c r="G134">
        <v>0.191</v>
      </c>
      <c r="H134">
        <v>0.95937619200000013</v>
      </c>
      <c r="I134" t="s">
        <v>7</v>
      </c>
      <c r="J134">
        <v>0.121</v>
      </c>
      <c r="K134">
        <v>0.11608451923200001</v>
      </c>
      <c r="L134" t="s">
        <v>34</v>
      </c>
      <c r="M134">
        <v>6.9000000000000006E-2</v>
      </c>
      <c r="N134">
        <v>6.619695724800001E-2</v>
      </c>
    </row>
    <row r="135" spans="1:14" x14ac:dyDescent="0.25">
      <c r="A135" s="23">
        <v>43232</v>
      </c>
      <c r="B135">
        <v>26.161000000000001</v>
      </c>
      <c r="C135" t="s">
        <v>2</v>
      </c>
      <c r="D135">
        <v>0.192</v>
      </c>
      <c r="E135">
        <v>5.0229120000000007</v>
      </c>
      <c r="F135" t="s">
        <v>17</v>
      </c>
      <c r="G135">
        <v>0.191</v>
      </c>
      <c r="H135">
        <v>0.95937619200000013</v>
      </c>
      <c r="I135" t="s">
        <v>8</v>
      </c>
      <c r="J135">
        <v>0.41499999999999998</v>
      </c>
      <c r="K135">
        <v>0.39814111968000004</v>
      </c>
      <c r="L135" t="s">
        <v>35</v>
      </c>
      <c r="M135">
        <v>0.36</v>
      </c>
      <c r="N135">
        <v>0.34537542912000002</v>
      </c>
    </row>
    <row r="136" spans="1:14" x14ac:dyDescent="0.25">
      <c r="A136" s="23">
        <v>43233</v>
      </c>
      <c r="B136">
        <v>26.161000000000001</v>
      </c>
      <c r="C136" t="s">
        <v>2</v>
      </c>
      <c r="D136">
        <v>0.192</v>
      </c>
      <c r="E136">
        <v>5.0229120000000007</v>
      </c>
      <c r="F136" t="s">
        <v>17</v>
      </c>
      <c r="G136">
        <v>0.191</v>
      </c>
      <c r="H136">
        <v>0.95937619200000013</v>
      </c>
      <c r="I136" t="s">
        <v>10</v>
      </c>
      <c r="J136">
        <v>4.0999999999999995E-2</v>
      </c>
      <c r="K136">
        <v>3.9334423872E-2</v>
      </c>
      <c r="L136" t="s">
        <v>36</v>
      </c>
      <c r="M136">
        <v>0.36399999999999999</v>
      </c>
      <c r="N136">
        <v>0.34921293388800001</v>
      </c>
    </row>
    <row r="137" spans="1:14" x14ac:dyDescent="0.25">
      <c r="A137" s="23">
        <v>43234</v>
      </c>
      <c r="B137">
        <v>26.161000000000001</v>
      </c>
      <c r="C137" t="s">
        <v>2</v>
      </c>
      <c r="D137">
        <v>0.192</v>
      </c>
      <c r="E137">
        <v>5.0229120000000007</v>
      </c>
      <c r="F137" t="s">
        <v>17</v>
      </c>
      <c r="G137">
        <v>0.191</v>
      </c>
      <c r="H137">
        <v>0.95937619200000013</v>
      </c>
      <c r="I137" t="s">
        <v>9</v>
      </c>
      <c r="J137">
        <v>0.311</v>
      </c>
      <c r="K137">
        <v>0.29836599571200006</v>
      </c>
      <c r="L137" t="s">
        <v>37</v>
      </c>
      <c r="M137">
        <v>0.20699999999999999</v>
      </c>
      <c r="N137">
        <v>0.198590871744</v>
      </c>
    </row>
    <row r="138" spans="1:14" x14ac:dyDescent="0.25">
      <c r="A138" s="23">
        <v>43235</v>
      </c>
      <c r="B138">
        <v>26.161000000000001</v>
      </c>
      <c r="C138" t="s">
        <v>2</v>
      </c>
      <c r="D138">
        <v>0.192</v>
      </c>
      <c r="E138">
        <v>5.0229120000000007</v>
      </c>
      <c r="F138" t="s">
        <v>17</v>
      </c>
      <c r="G138">
        <v>0.191</v>
      </c>
      <c r="H138">
        <v>0.95937619200000013</v>
      </c>
      <c r="I138" t="s">
        <v>55</v>
      </c>
      <c r="J138">
        <v>0</v>
      </c>
      <c r="L138" t="s">
        <v>38</v>
      </c>
      <c r="M138">
        <v>0</v>
      </c>
      <c r="N138">
        <v>0</v>
      </c>
    </row>
    <row r="139" spans="1:14" x14ac:dyDescent="0.25">
      <c r="A139" s="23">
        <v>43236</v>
      </c>
      <c r="B139">
        <v>26.161000000000001</v>
      </c>
      <c r="C139" t="s">
        <v>2</v>
      </c>
      <c r="D139">
        <v>0.192</v>
      </c>
      <c r="E139">
        <v>5.0229120000000007</v>
      </c>
      <c r="F139" t="s">
        <v>17</v>
      </c>
      <c r="G139">
        <v>0.191</v>
      </c>
      <c r="H139">
        <v>0.95937619200000013</v>
      </c>
      <c r="L139" t="s">
        <v>39</v>
      </c>
      <c r="M139">
        <v>0</v>
      </c>
      <c r="N139">
        <v>0</v>
      </c>
    </row>
    <row r="140" spans="1:14" x14ac:dyDescent="0.25">
      <c r="A140" s="23">
        <v>43237</v>
      </c>
      <c r="B140">
        <v>26.161000000000001</v>
      </c>
      <c r="C140" t="s">
        <v>2</v>
      </c>
      <c r="D140">
        <v>0.192</v>
      </c>
      <c r="E140">
        <v>5.0229120000000007</v>
      </c>
      <c r="F140" t="s">
        <v>18</v>
      </c>
      <c r="G140">
        <v>0.14899999999999999</v>
      </c>
      <c r="H140">
        <v>0.74841388800000008</v>
      </c>
      <c r="I140" t="s">
        <v>11</v>
      </c>
      <c r="J140">
        <v>0.503</v>
      </c>
      <c r="K140">
        <v>0.37645218566400002</v>
      </c>
      <c r="L140" t="s">
        <v>32</v>
      </c>
      <c r="M140">
        <v>5.4000000000000006E-2</v>
      </c>
      <c r="N140">
        <v>4.0414349952000009E-2</v>
      </c>
    </row>
    <row r="141" spans="1:14" x14ac:dyDescent="0.25">
      <c r="A141" s="23">
        <v>43238</v>
      </c>
      <c r="B141">
        <v>26.161000000000001</v>
      </c>
      <c r="C141" t="s">
        <v>2</v>
      </c>
      <c r="D141">
        <v>0.192</v>
      </c>
      <c r="E141">
        <v>5.0229120000000007</v>
      </c>
      <c r="F141" t="s">
        <v>18</v>
      </c>
      <c r="G141">
        <v>0.14899999999999999</v>
      </c>
      <c r="H141">
        <v>0.74841388800000008</v>
      </c>
      <c r="I141" t="s">
        <v>12</v>
      </c>
      <c r="J141">
        <v>4.4999999999999998E-2</v>
      </c>
      <c r="K141">
        <v>3.367862496E-2</v>
      </c>
      <c r="L141" t="s">
        <v>33</v>
      </c>
      <c r="M141">
        <v>9.5000000000000001E-2</v>
      </c>
      <c r="N141">
        <v>7.109931936000001E-2</v>
      </c>
    </row>
    <row r="142" spans="1:14" x14ac:dyDescent="0.25">
      <c r="A142" s="23">
        <v>43239</v>
      </c>
      <c r="B142">
        <v>26.161000000000001</v>
      </c>
      <c r="C142" t="s">
        <v>2</v>
      </c>
      <c r="D142">
        <v>0.192</v>
      </c>
      <c r="E142">
        <v>5.0229120000000007</v>
      </c>
      <c r="F142" t="s">
        <v>18</v>
      </c>
      <c r="G142">
        <v>0.14899999999999999</v>
      </c>
      <c r="H142">
        <v>0.74841388800000008</v>
      </c>
      <c r="I142" t="s">
        <v>7</v>
      </c>
      <c r="J142">
        <v>0.08</v>
      </c>
      <c r="K142">
        <v>5.987311104000001E-2</v>
      </c>
      <c r="L142" t="s">
        <v>34</v>
      </c>
      <c r="M142">
        <v>0.13699999999999998</v>
      </c>
      <c r="N142">
        <v>0.10253270265599999</v>
      </c>
    </row>
    <row r="143" spans="1:14" x14ac:dyDescent="0.25">
      <c r="A143" s="23">
        <v>43240</v>
      </c>
      <c r="B143">
        <v>26.161000000000001</v>
      </c>
      <c r="C143" t="s">
        <v>2</v>
      </c>
      <c r="D143">
        <v>0.192</v>
      </c>
      <c r="E143">
        <v>5.0229120000000007</v>
      </c>
      <c r="F143" t="s">
        <v>18</v>
      </c>
      <c r="G143">
        <v>0.14899999999999999</v>
      </c>
      <c r="H143">
        <v>0.74841388800000008</v>
      </c>
      <c r="I143" t="s">
        <v>8</v>
      </c>
      <c r="J143">
        <v>0.17600000000000002</v>
      </c>
      <c r="K143">
        <v>2.9936555520000004E-3</v>
      </c>
      <c r="L143" t="s">
        <v>35</v>
      </c>
      <c r="M143">
        <v>0.26500000000000001</v>
      </c>
      <c r="N143">
        <v>0.19832968032000003</v>
      </c>
    </row>
    <row r="144" spans="1:14" x14ac:dyDescent="0.25">
      <c r="A144" s="23">
        <v>43241</v>
      </c>
      <c r="B144">
        <v>26.161000000000001</v>
      </c>
      <c r="C144" t="s">
        <v>2</v>
      </c>
      <c r="D144">
        <v>0.192</v>
      </c>
      <c r="E144">
        <v>5.0229120000000007</v>
      </c>
      <c r="F144" t="s">
        <v>18</v>
      </c>
      <c r="G144">
        <v>0.14899999999999999</v>
      </c>
      <c r="H144">
        <v>0.74841388800000008</v>
      </c>
      <c r="I144" t="s">
        <v>10</v>
      </c>
      <c r="J144">
        <v>4.2000000000000003E-2</v>
      </c>
      <c r="K144">
        <v>0.13172084428800002</v>
      </c>
      <c r="L144" t="s">
        <v>36</v>
      </c>
      <c r="M144">
        <v>0.22800000000000001</v>
      </c>
      <c r="N144">
        <v>0.17063836646400002</v>
      </c>
    </row>
    <row r="145" spans="1:14" x14ac:dyDescent="0.25">
      <c r="A145" s="23">
        <v>43242</v>
      </c>
      <c r="B145">
        <v>26.161000000000001</v>
      </c>
      <c r="C145" t="s">
        <v>2</v>
      </c>
      <c r="D145">
        <v>0.192</v>
      </c>
      <c r="E145">
        <v>5.0229120000000007</v>
      </c>
      <c r="F145" t="s">
        <v>48</v>
      </c>
      <c r="G145">
        <v>0.14899999999999999</v>
      </c>
      <c r="H145">
        <v>0.74841388800000008</v>
      </c>
      <c r="I145" t="s">
        <v>9</v>
      </c>
      <c r="J145">
        <v>0.15</v>
      </c>
      <c r="K145">
        <v>0.11226208320000002</v>
      </c>
      <c r="L145" t="s">
        <v>37</v>
      </c>
      <c r="M145">
        <v>0.17399999999999999</v>
      </c>
      <c r="N145">
        <v>0.130224016512</v>
      </c>
    </row>
    <row r="146" spans="1:14" x14ac:dyDescent="0.25">
      <c r="A146" s="23">
        <v>43243</v>
      </c>
      <c r="B146">
        <v>26.161000000000001</v>
      </c>
      <c r="C146" t="s">
        <v>2</v>
      </c>
      <c r="D146">
        <v>0.192</v>
      </c>
      <c r="E146">
        <v>5.0229120000000007</v>
      </c>
      <c r="F146" t="s">
        <v>18</v>
      </c>
      <c r="G146">
        <v>0.14899999999999999</v>
      </c>
      <c r="H146">
        <v>0.74841388800000008</v>
      </c>
      <c r="I146" t="s">
        <v>55</v>
      </c>
      <c r="J146">
        <v>4.0000000000000001E-3</v>
      </c>
      <c r="K146">
        <v>2.9936555520000004E-3</v>
      </c>
      <c r="L146" t="s">
        <v>38</v>
      </c>
      <c r="M146">
        <v>2.6000000000000002E-2</v>
      </c>
      <c r="N146">
        <v>1.9458761088000005E-2</v>
      </c>
    </row>
    <row r="147" spans="1:14" x14ac:dyDescent="0.25">
      <c r="A147" s="23">
        <v>43244</v>
      </c>
      <c r="B147">
        <v>26.161000000000001</v>
      </c>
      <c r="C147" t="s">
        <v>2</v>
      </c>
      <c r="D147">
        <v>0.192</v>
      </c>
      <c r="E147">
        <v>5.0229120000000007</v>
      </c>
      <c r="F147" t="s">
        <v>18</v>
      </c>
      <c r="G147">
        <v>0.14899999999999999</v>
      </c>
      <c r="H147">
        <v>0.74841388800000008</v>
      </c>
      <c r="L147" t="s">
        <v>39</v>
      </c>
      <c r="M147">
        <v>2.1000000000000001E-2</v>
      </c>
      <c r="N147">
        <v>1.5716691648000002E-2</v>
      </c>
    </row>
    <row r="148" spans="1:14" x14ac:dyDescent="0.25">
      <c r="A148" s="23">
        <v>43245</v>
      </c>
      <c r="B148">
        <v>26.161000000000001</v>
      </c>
      <c r="C148" t="s">
        <v>19</v>
      </c>
      <c r="D148">
        <v>0.80799999999999994</v>
      </c>
      <c r="E148">
        <v>21.138088</v>
      </c>
      <c r="F148" t="s">
        <v>54</v>
      </c>
      <c r="G148">
        <v>0.79200000000000004</v>
      </c>
      <c r="H148">
        <v>16.741365695999999</v>
      </c>
      <c r="I148" t="s">
        <v>11</v>
      </c>
      <c r="J148">
        <v>0.128</v>
      </c>
      <c r="K148">
        <v>2.1428948090879998</v>
      </c>
      <c r="L148" t="s">
        <v>32</v>
      </c>
      <c r="M148">
        <v>4.4000000000000004E-2</v>
      </c>
      <c r="N148">
        <v>0.73662009062400002</v>
      </c>
    </row>
    <row r="149" spans="1:14" x14ac:dyDescent="0.25">
      <c r="A149" s="23">
        <v>43246</v>
      </c>
      <c r="B149">
        <v>26.161000000000001</v>
      </c>
      <c r="C149" t="s">
        <v>19</v>
      </c>
      <c r="D149">
        <v>0.80799999999999994</v>
      </c>
      <c r="E149">
        <v>21.138088</v>
      </c>
      <c r="F149" t="s">
        <v>14</v>
      </c>
      <c r="G149">
        <v>0.79200000000000004</v>
      </c>
      <c r="H149">
        <v>16.741365695999999</v>
      </c>
      <c r="I149" t="s">
        <v>12</v>
      </c>
      <c r="J149">
        <v>0.10400000000000001</v>
      </c>
      <c r="K149">
        <v>1.7411020323840001</v>
      </c>
      <c r="L149" t="s">
        <v>33</v>
      </c>
      <c r="M149">
        <v>9.3000000000000013E-2</v>
      </c>
      <c r="N149">
        <v>1.556947009728</v>
      </c>
    </row>
    <row r="150" spans="1:14" x14ac:dyDescent="0.25">
      <c r="A150" s="23">
        <v>43247</v>
      </c>
      <c r="B150">
        <v>26.161000000000001</v>
      </c>
      <c r="C150" t="s">
        <v>19</v>
      </c>
      <c r="D150">
        <v>0.80799999999999994</v>
      </c>
      <c r="E150">
        <v>21.138088</v>
      </c>
      <c r="F150" t="s">
        <v>14</v>
      </c>
      <c r="G150">
        <v>0.79200000000000004</v>
      </c>
      <c r="H150">
        <v>16.741365695999999</v>
      </c>
      <c r="I150" t="s">
        <v>7</v>
      </c>
      <c r="J150">
        <v>0.16399999999999998</v>
      </c>
      <c r="K150">
        <v>2.7455839741439996</v>
      </c>
      <c r="L150" t="s">
        <v>34</v>
      </c>
      <c r="M150">
        <v>0.156</v>
      </c>
      <c r="N150">
        <v>2.6116530485759997</v>
      </c>
    </row>
    <row r="151" spans="1:14" x14ac:dyDescent="0.25">
      <c r="A151" s="23">
        <v>43248</v>
      </c>
      <c r="B151">
        <v>26.161000000000001</v>
      </c>
      <c r="C151" t="s">
        <v>19</v>
      </c>
      <c r="D151">
        <v>0.80799999999999994</v>
      </c>
      <c r="E151">
        <v>21.138088</v>
      </c>
      <c r="F151" t="s">
        <v>14</v>
      </c>
      <c r="G151">
        <v>0.79200000000000004</v>
      </c>
      <c r="H151">
        <v>16.741365695999999</v>
      </c>
      <c r="I151" t="s">
        <v>8</v>
      </c>
      <c r="J151">
        <v>0.34600000000000003</v>
      </c>
      <c r="K151">
        <v>5.7925125308160004</v>
      </c>
      <c r="L151" t="s">
        <v>35</v>
      </c>
      <c r="M151">
        <v>0.248</v>
      </c>
      <c r="N151">
        <v>4.1518586926080001</v>
      </c>
    </row>
    <row r="152" spans="1:14" x14ac:dyDescent="0.25">
      <c r="A152" s="23">
        <v>43249</v>
      </c>
      <c r="B152">
        <v>26.161000000000001</v>
      </c>
      <c r="C152" t="s">
        <v>19</v>
      </c>
      <c r="D152">
        <v>0.80799999999999994</v>
      </c>
      <c r="E152">
        <v>21.138088</v>
      </c>
      <c r="F152" t="s">
        <v>14</v>
      </c>
      <c r="G152">
        <v>0.79200000000000004</v>
      </c>
      <c r="H152">
        <v>16.741365695999999</v>
      </c>
      <c r="I152" t="s">
        <v>10</v>
      </c>
      <c r="J152">
        <v>3.9E-2</v>
      </c>
      <c r="K152">
        <v>0.65291326214399992</v>
      </c>
      <c r="L152" t="s">
        <v>36</v>
      </c>
      <c r="M152">
        <v>0.23100000000000001</v>
      </c>
      <c r="N152">
        <v>3.867255475776</v>
      </c>
    </row>
    <row r="153" spans="1:14" x14ac:dyDescent="0.25">
      <c r="A153" s="23">
        <v>43250</v>
      </c>
      <c r="B153">
        <v>26.161000000000001</v>
      </c>
      <c r="C153" t="s">
        <v>19</v>
      </c>
      <c r="D153">
        <v>0.80799999999999994</v>
      </c>
      <c r="E153">
        <v>21.138088</v>
      </c>
      <c r="F153" t="s">
        <v>14</v>
      </c>
      <c r="G153">
        <v>0.79200000000000004</v>
      </c>
      <c r="H153">
        <v>16.741365695999999</v>
      </c>
      <c r="I153" t="s">
        <v>9</v>
      </c>
      <c r="J153">
        <v>0.2</v>
      </c>
      <c r="K153">
        <v>0.31808594822399999</v>
      </c>
      <c r="L153" t="s">
        <v>37</v>
      </c>
      <c r="M153">
        <v>0.19</v>
      </c>
      <c r="N153">
        <v>3.1808594822399998</v>
      </c>
    </row>
    <row r="154" spans="1:14" x14ac:dyDescent="0.25">
      <c r="A154" s="23">
        <v>43251</v>
      </c>
      <c r="B154">
        <v>26.161000000000001</v>
      </c>
      <c r="C154" t="s">
        <v>19</v>
      </c>
      <c r="D154">
        <v>0.80799999999999994</v>
      </c>
      <c r="E154">
        <v>21.138088</v>
      </c>
      <c r="F154" t="s">
        <v>14</v>
      </c>
      <c r="G154">
        <v>0.79200000000000004</v>
      </c>
      <c r="H154">
        <v>16.741365695999999</v>
      </c>
      <c r="I154" t="s">
        <v>55</v>
      </c>
      <c r="J154">
        <v>1.9E-2</v>
      </c>
      <c r="L154" t="s">
        <v>38</v>
      </c>
      <c r="M154">
        <v>2.7000000000000003E-2</v>
      </c>
      <c r="N154">
        <v>0.45201687379200001</v>
      </c>
    </row>
    <row r="155" spans="1:14" x14ac:dyDescent="0.25">
      <c r="A155" s="23">
        <v>43252</v>
      </c>
      <c r="B155">
        <v>26.161000000000001</v>
      </c>
      <c r="C155" t="s">
        <v>19</v>
      </c>
      <c r="D155">
        <v>0.80799999999999994</v>
      </c>
      <c r="E155">
        <v>21.138088</v>
      </c>
      <c r="F155" t="s">
        <v>14</v>
      </c>
      <c r="G155">
        <v>0.79200000000000004</v>
      </c>
      <c r="H155">
        <v>16.741365695999999</v>
      </c>
      <c r="L155" t="s">
        <v>39</v>
      </c>
      <c r="M155">
        <v>1.1000000000000001E-2</v>
      </c>
      <c r="N155">
        <v>0.18415502265600001</v>
      </c>
    </row>
    <row r="156" spans="1:14" x14ac:dyDescent="0.25">
      <c r="A156" s="23">
        <v>43253</v>
      </c>
      <c r="B156">
        <v>26.161000000000001</v>
      </c>
      <c r="C156" t="s">
        <v>19</v>
      </c>
      <c r="D156">
        <v>0.80799999999999994</v>
      </c>
      <c r="E156">
        <v>21.138088</v>
      </c>
      <c r="F156" t="s">
        <v>52</v>
      </c>
      <c r="G156">
        <v>0.88200000000000001</v>
      </c>
      <c r="H156">
        <v>18.643793616</v>
      </c>
      <c r="I156" t="s">
        <v>11</v>
      </c>
      <c r="J156">
        <v>0.127</v>
      </c>
      <c r="K156">
        <v>2.367761789232</v>
      </c>
      <c r="L156" t="s">
        <v>32</v>
      </c>
      <c r="M156">
        <v>2.1000000000000001E-2</v>
      </c>
      <c r="N156">
        <v>0.39151966593600002</v>
      </c>
    </row>
    <row r="157" spans="1:14" x14ac:dyDescent="0.25">
      <c r="A157" s="23">
        <v>43254</v>
      </c>
      <c r="B157">
        <v>26.161000000000001</v>
      </c>
      <c r="C157" t="s">
        <v>19</v>
      </c>
      <c r="D157">
        <v>0.80799999999999994</v>
      </c>
      <c r="E157">
        <v>21.138088</v>
      </c>
      <c r="F157" t="s">
        <v>15</v>
      </c>
      <c r="G157">
        <v>0.88200000000000001</v>
      </c>
      <c r="H157">
        <v>18.643793616</v>
      </c>
      <c r="I157" t="s">
        <v>12</v>
      </c>
      <c r="J157">
        <v>3.9E-2</v>
      </c>
      <c r="K157">
        <v>0.72710795102399994</v>
      </c>
      <c r="L157" t="s">
        <v>33</v>
      </c>
      <c r="M157">
        <v>9.8000000000000004E-2</v>
      </c>
      <c r="N157">
        <v>1.827091774368</v>
      </c>
    </row>
    <row r="158" spans="1:14" x14ac:dyDescent="0.25">
      <c r="A158" s="23">
        <v>43255</v>
      </c>
      <c r="B158">
        <v>26.161000000000001</v>
      </c>
      <c r="C158" t="s">
        <v>19</v>
      </c>
      <c r="D158">
        <v>0.80799999999999994</v>
      </c>
      <c r="E158">
        <v>21.138088</v>
      </c>
      <c r="F158" t="s">
        <v>15</v>
      </c>
      <c r="G158">
        <v>0.88200000000000001</v>
      </c>
      <c r="H158">
        <v>18.643793616</v>
      </c>
      <c r="I158" t="s">
        <v>7</v>
      </c>
      <c r="J158">
        <v>0.14800000000000002</v>
      </c>
      <c r="K158">
        <v>2.7592814551680003</v>
      </c>
      <c r="L158" t="s">
        <v>34</v>
      </c>
      <c r="M158">
        <v>0.214</v>
      </c>
      <c r="N158">
        <v>3.9897718338239998</v>
      </c>
    </row>
    <row r="159" spans="1:14" x14ac:dyDescent="0.25">
      <c r="A159" s="23">
        <v>43256</v>
      </c>
      <c r="B159">
        <v>26.161000000000001</v>
      </c>
      <c r="C159" t="s">
        <v>19</v>
      </c>
      <c r="D159">
        <v>0.80799999999999994</v>
      </c>
      <c r="E159">
        <v>21.138088</v>
      </c>
      <c r="F159" t="s">
        <v>15</v>
      </c>
      <c r="G159">
        <v>0.88200000000000001</v>
      </c>
      <c r="H159">
        <v>18.643793616</v>
      </c>
      <c r="I159" t="s">
        <v>8</v>
      </c>
      <c r="J159">
        <v>0.41</v>
      </c>
      <c r="K159">
        <v>7.6439553825599997</v>
      </c>
      <c r="L159" t="s">
        <v>35</v>
      </c>
      <c r="M159">
        <v>0.28800000000000003</v>
      </c>
      <c r="N159">
        <v>5.3694125614080006</v>
      </c>
    </row>
    <row r="160" spans="1:14" x14ac:dyDescent="0.25">
      <c r="A160" s="23">
        <v>43257</v>
      </c>
      <c r="B160">
        <v>26.161000000000001</v>
      </c>
      <c r="C160" t="s">
        <v>19</v>
      </c>
      <c r="D160">
        <v>0.80799999999999994</v>
      </c>
      <c r="E160">
        <v>21.138088</v>
      </c>
      <c r="F160" t="s">
        <v>15</v>
      </c>
      <c r="G160">
        <v>0.88200000000000001</v>
      </c>
      <c r="H160">
        <v>18.643793616</v>
      </c>
      <c r="I160" t="s">
        <v>10</v>
      </c>
      <c r="J160">
        <v>5.7000000000000002E-2</v>
      </c>
      <c r="K160">
        <v>1.062696236112</v>
      </c>
      <c r="L160" t="s">
        <v>36</v>
      </c>
      <c r="M160">
        <v>0.19699999999999998</v>
      </c>
      <c r="N160">
        <v>3.6728273423519995</v>
      </c>
    </row>
    <row r="161" spans="1:14" x14ac:dyDescent="0.25">
      <c r="A161" s="23">
        <v>43258</v>
      </c>
      <c r="B161">
        <v>26.161000000000001</v>
      </c>
      <c r="C161" t="s">
        <v>19</v>
      </c>
      <c r="D161">
        <v>0.80799999999999994</v>
      </c>
      <c r="E161">
        <v>21.138088</v>
      </c>
      <c r="F161" t="s">
        <v>15</v>
      </c>
      <c r="G161">
        <v>0.88200000000000001</v>
      </c>
      <c r="H161">
        <v>18.643793616</v>
      </c>
      <c r="I161" t="s">
        <v>9</v>
      </c>
      <c r="J161">
        <v>0.17600000000000002</v>
      </c>
      <c r="K161">
        <v>3.2813076764160005</v>
      </c>
      <c r="L161" t="s">
        <v>37</v>
      </c>
      <c r="M161">
        <v>0.16699999999999998</v>
      </c>
      <c r="N161">
        <v>3.1135135338719997</v>
      </c>
    </row>
    <row r="162" spans="1:14" x14ac:dyDescent="0.25">
      <c r="A162" s="23">
        <v>43259</v>
      </c>
      <c r="B162">
        <v>26.161000000000001</v>
      </c>
      <c r="C162" t="s">
        <v>19</v>
      </c>
      <c r="D162">
        <v>0.80799999999999994</v>
      </c>
      <c r="E162">
        <v>21.138088</v>
      </c>
      <c r="F162" t="s">
        <v>15</v>
      </c>
      <c r="G162">
        <v>0.88200000000000001</v>
      </c>
      <c r="H162">
        <v>18.643793616</v>
      </c>
      <c r="I162" t="s">
        <v>55</v>
      </c>
      <c r="J162">
        <v>4.2999999999999997E-2</v>
      </c>
      <c r="L162" t="s">
        <v>38</v>
      </c>
      <c r="M162">
        <v>0.01</v>
      </c>
      <c r="N162">
        <v>0.18643793616000001</v>
      </c>
    </row>
    <row r="163" spans="1:14" x14ac:dyDescent="0.25">
      <c r="A163" s="23">
        <v>43260</v>
      </c>
      <c r="B163">
        <v>26.161000000000001</v>
      </c>
      <c r="C163" t="s">
        <v>19</v>
      </c>
      <c r="D163">
        <v>0.80799999999999994</v>
      </c>
      <c r="E163">
        <v>21.138088</v>
      </c>
      <c r="F163" t="s">
        <v>15</v>
      </c>
      <c r="G163">
        <v>0.88200000000000001</v>
      </c>
      <c r="H163">
        <v>18.643793616</v>
      </c>
      <c r="L163" t="s">
        <v>39</v>
      </c>
      <c r="M163">
        <v>4.0000000000000001E-3</v>
      </c>
      <c r="N163">
        <v>7.4575174463999999E-2</v>
      </c>
    </row>
    <row r="164" spans="1:14" x14ac:dyDescent="0.25">
      <c r="A164" s="23">
        <v>43261</v>
      </c>
      <c r="B164">
        <v>26.161000000000001</v>
      </c>
      <c r="C164" t="s">
        <v>19</v>
      </c>
      <c r="D164">
        <v>0.80799999999999994</v>
      </c>
      <c r="E164">
        <v>21.138088</v>
      </c>
      <c r="F164" t="s">
        <v>53</v>
      </c>
      <c r="G164">
        <v>0.80599999999999994</v>
      </c>
      <c r="H164">
        <v>17.037298927999998</v>
      </c>
      <c r="I164" t="s">
        <v>11</v>
      </c>
      <c r="J164">
        <v>0.12</v>
      </c>
      <c r="K164">
        <v>2.0444758713599995</v>
      </c>
      <c r="L164" t="s">
        <v>32</v>
      </c>
      <c r="M164">
        <v>4.4999999999999998E-2</v>
      </c>
      <c r="N164">
        <v>0.76667845175999993</v>
      </c>
    </row>
    <row r="165" spans="1:14" x14ac:dyDescent="0.25">
      <c r="A165" s="23">
        <v>43262</v>
      </c>
      <c r="B165">
        <v>26.161000000000001</v>
      </c>
      <c r="C165" t="s">
        <v>19</v>
      </c>
      <c r="D165">
        <v>0.80799999999999994</v>
      </c>
      <c r="E165">
        <v>21.138088</v>
      </c>
      <c r="F165" t="s">
        <v>16</v>
      </c>
      <c r="G165">
        <v>0.80599999999999994</v>
      </c>
      <c r="H165">
        <v>17.037298927999998</v>
      </c>
      <c r="I165" t="s">
        <v>12</v>
      </c>
      <c r="J165">
        <v>8.1000000000000003E-2</v>
      </c>
      <c r="K165">
        <v>1.3800212131679999</v>
      </c>
      <c r="L165" t="s">
        <v>33</v>
      </c>
      <c r="M165">
        <v>0.10400000000000001</v>
      </c>
      <c r="N165">
        <v>1.7718790885119999</v>
      </c>
    </row>
    <row r="166" spans="1:14" x14ac:dyDescent="0.25">
      <c r="A166" s="23">
        <v>43263</v>
      </c>
      <c r="B166">
        <v>26.161000000000001</v>
      </c>
      <c r="C166" t="s">
        <v>19</v>
      </c>
      <c r="D166">
        <v>0.80799999999999994</v>
      </c>
      <c r="E166">
        <v>21.138088</v>
      </c>
      <c r="F166" t="s">
        <v>16</v>
      </c>
      <c r="G166">
        <v>0.80599999999999994</v>
      </c>
      <c r="H166">
        <v>17.037298927999998</v>
      </c>
      <c r="I166" t="s">
        <v>7</v>
      </c>
      <c r="J166">
        <v>0.16200000000000001</v>
      </c>
      <c r="K166">
        <v>2.7600424263359997</v>
      </c>
      <c r="L166" t="s">
        <v>34</v>
      </c>
      <c r="M166">
        <v>0.152</v>
      </c>
      <c r="N166">
        <v>2.5896694370559996</v>
      </c>
    </row>
    <row r="167" spans="1:14" x14ac:dyDescent="0.25">
      <c r="A167" s="23">
        <v>43264</v>
      </c>
      <c r="B167">
        <v>26.161000000000001</v>
      </c>
      <c r="C167" t="s">
        <v>19</v>
      </c>
      <c r="D167">
        <v>0.80799999999999994</v>
      </c>
      <c r="E167">
        <v>21.138088</v>
      </c>
      <c r="F167" t="s">
        <v>16</v>
      </c>
      <c r="G167">
        <v>0.80599999999999994</v>
      </c>
      <c r="H167">
        <v>17.037298927999998</v>
      </c>
      <c r="I167" t="s">
        <v>8</v>
      </c>
      <c r="J167">
        <v>0.35700000000000004</v>
      </c>
      <c r="K167">
        <v>6.0823157172959998</v>
      </c>
      <c r="L167" t="s">
        <v>35</v>
      </c>
      <c r="M167">
        <v>0.23499999999999999</v>
      </c>
      <c r="N167">
        <v>4.0037652480799997</v>
      </c>
    </row>
    <row r="168" spans="1:14" x14ac:dyDescent="0.25">
      <c r="A168" s="23">
        <v>43265</v>
      </c>
      <c r="B168">
        <v>26.161000000000001</v>
      </c>
      <c r="C168" t="s">
        <v>19</v>
      </c>
      <c r="D168">
        <v>0.80799999999999994</v>
      </c>
      <c r="E168">
        <v>21.138088</v>
      </c>
      <c r="F168" t="s">
        <v>16</v>
      </c>
      <c r="G168">
        <v>0.80599999999999994</v>
      </c>
      <c r="H168">
        <v>17.037298927999998</v>
      </c>
      <c r="I168" t="s">
        <v>10</v>
      </c>
      <c r="J168">
        <v>5.5E-2</v>
      </c>
      <c r="K168">
        <v>0.93705144103999993</v>
      </c>
      <c r="L168" t="s">
        <v>36</v>
      </c>
      <c r="M168">
        <v>0.21299999999999999</v>
      </c>
      <c r="N168">
        <v>3.6289446716639997</v>
      </c>
    </row>
    <row r="169" spans="1:14" x14ac:dyDescent="0.25">
      <c r="A169" s="23">
        <v>43266</v>
      </c>
      <c r="B169">
        <v>26.161000000000001</v>
      </c>
      <c r="C169" t="s">
        <v>19</v>
      </c>
      <c r="D169">
        <v>0.80799999999999994</v>
      </c>
      <c r="E169">
        <v>21.138088</v>
      </c>
      <c r="F169" t="s">
        <v>16</v>
      </c>
      <c r="G169">
        <v>0.80599999999999994</v>
      </c>
      <c r="H169">
        <v>17.037298927999998</v>
      </c>
      <c r="I169" t="s">
        <v>9</v>
      </c>
      <c r="J169">
        <v>0.20300000000000001</v>
      </c>
      <c r="K169">
        <v>3.458571682384</v>
      </c>
      <c r="L169" t="s">
        <v>37</v>
      </c>
      <c r="M169">
        <v>0.2</v>
      </c>
      <c r="N169">
        <v>3.4074597856</v>
      </c>
    </row>
    <row r="170" spans="1:14" x14ac:dyDescent="0.25">
      <c r="A170" s="23">
        <v>43267</v>
      </c>
      <c r="B170">
        <v>26.161000000000001</v>
      </c>
      <c r="C170" t="s">
        <v>19</v>
      </c>
      <c r="D170">
        <v>0.80799999999999994</v>
      </c>
      <c r="E170">
        <v>21.138088</v>
      </c>
      <c r="F170" t="s">
        <v>16</v>
      </c>
      <c r="G170">
        <v>0.80599999999999994</v>
      </c>
      <c r="H170">
        <v>17.037298927999998</v>
      </c>
      <c r="I170" t="s">
        <v>55</v>
      </c>
      <c r="J170">
        <v>2.2000000000000002E-2</v>
      </c>
      <c r="L170" t="s">
        <v>38</v>
      </c>
      <c r="M170">
        <v>3.5000000000000003E-2</v>
      </c>
      <c r="N170">
        <v>0.59630546248000005</v>
      </c>
    </row>
    <row r="171" spans="1:14" x14ac:dyDescent="0.25">
      <c r="A171" s="23">
        <v>43268</v>
      </c>
      <c r="B171">
        <v>26.161000000000001</v>
      </c>
      <c r="C171" t="s">
        <v>19</v>
      </c>
      <c r="D171">
        <v>0.80799999999999994</v>
      </c>
      <c r="E171">
        <v>21.138088</v>
      </c>
      <c r="F171" t="s">
        <v>16</v>
      </c>
      <c r="G171">
        <v>0.80599999999999994</v>
      </c>
      <c r="H171">
        <v>17.037298927999998</v>
      </c>
      <c r="L171" t="s">
        <v>39</v>
      </c>
      <c r="M171">
        <v>1.6E-2</v>
      </c>
      <c r="N171">
        <v>0.27259678284799999</v>
      </c>
    </row>
    <row r="172" spans="1:14" x14ac:dyDescent="0.25">
      <c r="A172" s="23">
        <v>43269</v>
      </c>
      <c r="B172">
        <v>26.161000000000001</v>
      </c>
      <c r="C172" t="s">
        <v>19</v>
      </c>
      <c r="D172">
        <v>0.80799999999999994</v>
      </c>
      <c r="E172">
        <v>21.138088</v>
      </c>
      <c r="F172" t="s">
        <v>51</v>
      </c>
      <c r="G172">
        <v>0.78</v>
      </c>
      <c r="H172">
        <v>16.487708640000001</v>
      </c>
      <c r="I172" t="s">
        <v>11</v>
      </c>
      <c r="J172">
        <v>0.19500000000000001</v>
      </c>
      <c r="K172">
        <v>3.2151031848000002</v>
      </c>
      <c r="L172" t="s">
        <v>32</v>
      </c>
      <c r="M172">
        <v>4.9000000000000002E-2</v>
      </c>
      <c r="N172">
        <v>0.8078977233600001</v>
      </c>
    </row>
    <row r="173" spans="1:14" x14ac:dyDescent="0.25">
      <c r="A173" s="23">
        <v>43270</v>
      </c>
      <c r="B173">
        <v>26.161000000000001</v>
      </c>
      <c r="C173" t="s">
        <v>19</v>
      </c>
      <c r="D173">
        <v>0.80799999999999994</v>
      </c>
      <c r="E173">
        <v>21.138088</v>
      </c>
      <c r="F173" t="s">
        <v>13</v>
      </c>
      <c r="G173">
        <v>0.78</v>
      </c>
      <c r="H173">
        <v>16.487708640000001</v>
      </c>
      <c r="I173" t="s">
        <v>12</v>
      </c>
      <c r="J173">
        <v>0.11199999999999999</v>
      </c>
      <c r="K173">
        <v>1.8466233676799999</v>
      </c>
      <c r="L173" t="s">
        <v>33</v>
      </c>
      <c r="M173">
        <v>0.10199999999999999</v>
      </c>
      <c r="N173">
        <v>1.6817462812799999</v>
      </c>
    </row>
    <row r="174" spans="1:14" x14ac:dyDescent="0.25">
      <c r="A174" s="23">
        <v>43271</v>
      </c>
      <c r="B174">
        <v>26.161000000000001</v>
      </c>
      <c r="C174" t="s">
        <v>19</v>
      </c>
      <c r="D174">
        <v>0.80799999999999994</v>
      </c>
      <c r="E174">
        <v>21.138088</v>
      </c>
      <c r="F174" t="s">
        <v>13</v>
      </c>
      <c r="G174">
        <v>0.78</v>
      </c>
      <c r="H174">
        <v>16.487708640000001</v>
      </c>
      <c r="I174" t="s">
        <v>7</v>
      </c>
      <c r="J174">
        <v>0.184</v>
      </c>
      <c r="K174">
        <v>3.0337383897600003</v>
      </c>
      <c r="L174" t="s">
        <v>34</v>
      </c>
      <c r="M174">
        <v>0.13600000000000001</v>
      </c>
      <c r="N174">
        <v>2.2423283750400005</v>
      </c>
    </row>
    <row r="175" spans="1:14" x14ac:dyDescent="0.25">
      <c r="A175" s="23">
        <v>43272</v>
      </c>
      <c r="B175">
        <v>26.161000000000001</v>
      </c>
      <c r="C175" t="s">
        <v>19</v>
      </c>
      <c r="D175">
        <v>0.80799999999999994</v>
      </c>
      <c r="E175">
        <v>21.138088</v>
      </c>
      <c r="F175" t="s">
        <v>13</v>
      </c>
      <c r="G175">
        <v>0.78</v>
      </c>
      <c r="H175">
        <v>16.487708640000001</v>
      </c>
      <c r="I175" t="s">
        <v>8</v>
      </c>
      <c r="J175">
        <v>0.34499999999999997</v>
      </c>
      <c r="K175">
        <v>5.6882594808000002</v>
      </c>
      <c r="L175" t="s">
        <v>35</v>
      </c>
      <c r="M175">
        <v>0.251</v>
      </c>
      <c r="N175">
        <v>4.13841486864</v>
      </c>
    </row>
    <row r="176" spans="1:14" x14ac:dyDescent="0.25">
      <c r="A176" s="23">
        <v>43273</v>
      </c>
      <c r="B176">
        <v>26.161000000000001</v>
      </c>
      <c r="C176" t="s">
        <v>19</v>
      </c>
      <c r="D176">
        <v>0.80799999999999994</v>
      </c>
      <c r="E176">
        <v>21.138088</v>
      </c>
      <c r="F176" t="s">
        <v>13</v>
      </c>
      <c r="G176">
        <v>0.78</v>
      </c>
      <c r="H176">
        <v>16.487708640000001</v>
      </c>
      <c r="I176" t="s">
        <v>10</v>
      </c>
      <c r="J176">
        <v>3.2000000000000001E-2</v>
      </c>
      <c r="K176">
        <v>0.52760667648000004</v>
      </c>
      <c r="L176" t="s">
        <v>36</v>
      </c>
      <c r="M176">
        <v>0.22699999999999998</v>
      </c>
      <c r="N176">
        <v>3.7427098612799998</v>
      </c>
    </row>
    <row r="177" spans="1:14" x14ac:dyDescent="0.25">
      <c r="A177" s="23">
        <v>43274</v>
      </c>
      <c r="B177">
        <v>26.161000000000001</v>
      </c>
      <c r="C177" t="s">
        <v>19</v>
      </c>
      <c r="D177">
        <v>0.80799999999999994</v>
      </c>
      <c r="E177">
        <v>21.138088</v>
      </c>
      <c r="F177" t="s">
        <v>13</v>
      </c>
      <c r="G177">
        <v>0.78</v>
      </c>
      <c r="H177">
        <v>16.487708640000001</v>
      </c>
      <c r="I177" t="s">
        <v>9</v>
      </c>
      <c r="J177">
        <v>0.111</v>
      </c>
      <c r="K177">
        <v>1.8301356590400002</v>
      </c>
      <c r="L177" t="s">
        <v>37</v>
      </c>
      <c r="M177">
        <v>0.182</v>
      </c>
      <c r="N177">
        <v>3.00076297248</v>
      </c>
    </row>
    <row r="178" spans="1:14" x14ac:dyDescent="0.25">
      <c r="A178" s="23">
        <v>43275</v>
      </c>
      <c r="B178">
        <v>26.161000000000001</v>
      </c>
      <c r="C178" t="s">
        <v>19</v>
      </c>
      <c r="D178">
        <v>0.80799999999999994</v>
      </c>
      <c r="E178">
        <v>21.138088</v>
      </c>
      <c r="F178" t="s">
        <v>13</v>
      </c>
      <c r="G178">
        <v>0.78</v>
      </c>
      <c r="H178">
        <v>16.487708640000001</v>
      </c>
      <c r="I178" t="s">
        <v>55</v>
      </c>
      <c r="J178">
        <v>0.02</v>
      </c>
      <c r="L178" t="s">
        <v>38</v>
      </c>
      <c r="M178">
        <v>3.2000000000000001E-2</v>
      </c>
      <c r="N178">
        <v>0.52760667648000004</v>
      </c>
    </row>
    <row r="179" spans="1:14" x14ac:dyDescent="0.25">
      <c r="A179" s="23">
        <v>43276</v>
      </c>
      <c r="B179">
        <v>26.161000000000001</v>
      </c>
      <c r="C179" t="s">
        <v>19</v>
      </c>
      <c r="D179">
        <v>0.80799999999999994</v>
      </c>
      <c r="E179">
        <v>21.138088</v>
      </c>
      <c r="F179" t="s">
        <v>13</v>
      </c>
      <c r="G179">
        <v>0.78</v>
      </c>
      <c r="H179">
        <v>16.487708640000001</v>
      </c>
      <c r="L179" t="s">
        <v>39</v>
      </c>
      <c r="M179">
        <v>2.2000000000000002E-2</v>
      </c>
      <c r="N179">
        <v>0.36272959008000005</v>
      </c>
    </row>
    <row r="180" spans="1:14" x14ac:dyDescent="0.25">
      <c r="A180" s="23">
        <v>43277</v>
      </c>
      <c r="B180">
        <v>26.161000000000001</v>
      </c>
      <c r="C180" t="s">
        <v>19</v>
      </c>
      <c r="D180">
        <v>0.80799999999999994</v>
      </c>
      <c r="E180">
        <v>21.138088</v>
      </c>
      <c r="F180" t="s">
        <v>50</v>
      </c>
      <c r="G180">
        <v>0.80900000000000005</v>
      </c>
      <c r="H180">
        <v>17.100713192000001</v>
      </c>
      <c r="I180" t="s">
        <v>11</v>
      </c>
      <c r="J180">
        <v>4.2000000000000003E-2</v>
      </c>
      <c r="K180">
        <v>0.71822995406400003</v>
      </c>
      <c r="L180" t="s">
        <v>32</v>
      </c>
      <c r="M180">
        <v>0</v>
      </c>
      <c r="N180">
        <v>0</v>
      </c>
    </row>
    <row r="181" spans="1:14" x14ac:dyDescent="0.25">
      <c r="A181" s="23">
        <v>43278</v>
      </c>
      <c r="B181">
        <v>26.161000000000001</v>
      </c>
      <c r="C181" t="s">
        <v>19</v>
      </c>
      <c r="D181">
        <v>0.80799999999999994</v>
      </c>
      <c r="E181">
        <v>21.138088</v>
      </c>
      <c r="F181" t="s">
        <v>17</v>
      </c>
      <c r="G181">
        <v>0.80900000000000005</v>
      </c>
      <c r="H181">
        <v>17.100713192000001</v>
      </c>
      <c r="I181" t="s">
        <v>12</v>
      </c>
      <c r="J181">
        <v>0.11199999999999999</v>
      </c>
      <c r="K181">
        <v>1.9152798775039999</v>
      </c>
      <c r="L181" t="s">
        <v>33</v>
      </c>
      <c r="M181">
        <v>0.03</v>
      </c>
      <c r="N181">
        <v>0.51302139576000005</v>
      </c>
    </row>
    <row r="182" spans="1:14" x14ac:dyDescent="0.25">
      <c r="A182" s="23">
        <v>43279</v>
      </c>
      <c r="B182">
        <v>26.161000000000001</v>
      </c>
      <c r="C182" t="s">
        <v>19</v>
      </c>
      <c r="D182">
        <v>0.80799999999999994</v>
      </c>
      <c r="E182">
        <v>21.138088</v>
      </c>
      <c r="F182" t="s">
        <v>17</v>
      </c>
      <c r="G182">
        <v>0.80900000000000005</v>
      </c>
      <c r="H182">
        <v>17.100713192000001</v>
      </c>
      <c r="I182" t="s">
        <v>7</v>
      </c>
      <c r="J182">
        <v>9.6999999999999989E-2</v>
      </c>
      <c r="K182">
        <v>1.6587691796239998</v>
      </c>
      <c r="L182" t="s">
        <v>34</v>
      </c>
      <c r="M182">
        <v>0.16800000000000001</v>
      </c>
      <c r="N182">
        <v>2.8729198162560001</v>
      </c>
    </row>
    <row r="183" spans="1:14" x14ac:dyDescent="0.25">
      <c r="A183" s="23">
        <v>43280</v>
      </c>
      <c r="B183">
        <v>26.161000000000001</v>
      </c>
      <c r="C183" t="s">
        <v>19</v>
      </c>
      <c r="D183">
        <v>0.80799999999999994</v>
      </c>
      <c r="E183">
        <v>21.138088</v>
      </c>
      <c r="F183" t="s">
        <v>17</v>
      </c>
      <c r="G183">
        <v>0.80900000000000005</v>
      </c>
      <c r="H183">
        <v>17.100713192000001</v>
      </c>
      <c r="I183" t="s">
        <v>8</v>
      </c>
      <c r="J183">
        <v>0.55500000000000005</v>
      </c>
      <c r="K183">
        <v>9.4908958215600006</v>
      </c>
      <c r="L183" t="s">
        <v>35</v>
      </c>
      <c r="M183">
        <v>0.252</v>
      </c>
      <c r="N183">
        <v>4.3093797243839997</v>
      </c>
    </row>
    <row r="184" spans="1:14" x14ac:dyDescent="0.25">
      <c r="A184" s="23">
        <v>43281</v>
      </c>
      <c r="B184">
        <v>26.161000000000001</v>
      </c>
      <c r="C184" t="s">
        <v>19</v>
      </c>
      <c r="D184">
        <v>0.80799999999999994</v>
      </c>
      <c r="E184">
        <v>21.138088</v>
      </c>
      <c r="F184" t="s">
        <v>17</v>
      </c>
      <c r="G184">
        <v>0.80900000000000005</v>
      </c>
      <c r="H184">
        <v>17.100713192000001</v>
      </c>
      <c r="I184" t="s">
        <v>10</v>
      </c>
      <c r="J184">
        <v>9.1999999999999998E-2</v>
      </c>
      <c r="K184">
        <v>1.573265613664</v>
      </c>
      <c r="L184" t="s">
        <v>36</v>
      </c>
      <c r="M184">
        <v>0.29699999999999999</v>
      </c>
      <c r="N184">
        <v>4.3093797243839997</v>
      </c>
    </row>
    <row r="185" spans="1:14" x14ac:dyDescent="0.25">
      <c r="A185" s="23">
        <v>43282</v>
      </c>
      <c r="B185">
        <v>26.161000000000001</v>
      </c>
      <c r="C185" t="s">
        <v>19</v>
      </c>
      <c r="D185">
        <v>0.80799999999999994</v>
      </c>
      <c r="E185">
        <v>21.138088</v>
      </c>
      <c r="F185" t="s">
        <v>17</v>
      </c>
      <c r="G185">
        <v>0.80900000000000005</v>
      </c>
      <c r="H185">
        <v>17.100713192000001</v>
      </c>
      <c r="I185" t="s">
        <v>9</v>
      </c>
      <c r="J185">
        <v>7.8E-2</v>
      </c>
      <c r="K185">
        <v>1.333855628976</v>
      </c>
      <c r="L185" t="s">
        <v>37</v>
      </c>
      <c r="M185">
        <v>0.20199999999999999</v>
      </c>
      <c r="N185">
        <v>5.0789118180240003</v>
      </c>
    </row>
    <row r="186" spans="1:14" x14ac:dyDescent="0.25">
      <c r="A186" s="23">
        <v>43283</v>
      </c>
      <c r="B186">
        <v>26.161000000000001</v>
      </c>
      <c r="C186" t="s">
        <v>19</v>
      </c>
      <c r="D186">
        <v>0.80799999999999994</v>
      </c>
      <c r="E186">
        <v>21.138088</v>
      </c>
      <c r="F186" t="s">
        <v>17</v>
      </c>
      <c r="G186">
        <v>0.80900000000000005</v>
      </c>
      <c r="H186">
        <v>17.100713192000001</v>
      </c>
      <c r="I186" t="s">
        <v>55</v>
      </c>
      <c r="J186">
        <v>2.3E-2</v>
      </c>
      <c r="L186" t="s">
        <v>38</v>
      </c>
      <c r="M186">
        <v>0.03</v>
      </c>
      <c r="N186">
        <v>3.4543440647839998</v>
      </c>
    </row>
    <row r="187" spans="1:14" x14ac:dyDescent="0.25">
      <c r="A187" s="23">
        <v>43284</v>
      </c>
      <c r="B187">
        <v>26.161000000000001</v>
      </c>
      <c r="C187" t="s">
        <v>19</v>
      </c>
      <c r="D187">
        <v>0.80799999999999994</v>
      </c>
      <c r="E187">
        <v>21.138088</v>
      </c>
      <c r="F187" t="s">
        <v>17</v>
      </c>
      <c r="G187">
        <v>0.80900000000000005</v>
      </c>
      <c r="H187">
        <v>17.100713192000001</v>
      </c>
      <c r="L187" t="s">
        <v>39</v>
      </c>
      <c r="M187">
        <v>0.02</v>
      </c>
      <c r="N187">
        <v>0.51302139576000005</v>
      </c>
    </row>
    <row r="188" spans="1:14" x14ac:dyDescent="0.25">
      <c r="A188" s="23">
        <v>43285</v>
      </c>
      <c r="B188">
        <v>26.161000000000001</v>
      </c>
      <c r="C188" t="s">
        <v>19</v>
      </c>
      <c r="D188">
        <v>0.80799999999999994</v>
      </c>
      <c r="E188">
        <v>21.138088</v>
      </c>
      <c r="F188" t="s">
        <v>49</v>
      </c>
      <c r="G188">
        <v>0.85099999999999998</v>
      </c>
      <c r="H188">
        <v>17.988512887999999</v>
      </c>
      <c r="I188" t="s">
        <v>11</v>
      </c>
      <c r="J188">
        <v>0.245</v>
      </c>
      <c r="K188">
        <v>4.4071856575599995</v>
      </c>
      <c r="L188" t="s">
        <v>32</v>
      </c>
      <c r="M188">
        <v>8.1000000000000003E-2</v>
      </c>
      <c r="N188">
        <v>1.4570695439279999</v>
      </c>
    </row>
    <row r="189" spans="1:14" x14ac:dyDescent="0.25">
      <c r="A189" s="23">
        <v>43286</v>
      </c>
      <c r="B189">
        <v>26.161000000000001</v>
      </c>
      <c r="C189" t="s">
        <v>19</v>
      </c>
      <c r="D189">
        <v>0.80799999999999994</v>
      </c>
      <c r="E189">
        <v>21.138088</v>
      </c>
      <c r="F189" t="s">
        <v>18</v>
      </c>
      <c r="G189">
        <v>0.85099999999999998</v>
      </c>
      <c r="H189">
        <v>17.988512887999999</v>
      </c>
      <c r="I189" t="s">
        <v>12</v>
      </c>
      <c r="J189">
        <v>8.4000000000000005E-2</v>
      </c>
      <c r="K189">
        <v>1.511035082592</v>
      </c>
      <c r="L189" t="s">
        <v>33</v>
      </c>
      <c r="M189">
        <v>0.12300000000000001</v>
      </c>
      <c r="N189">
        <v>2.2125870852239999</v>
      </c>
    </row>
    <row r="190" spans="1:14" x14ac:dyDescent="0.25">
      <c r="A190" s="23">
        <v>43287</v>
      </c>
      <c r="B190">
        <v>26.161000000000001</v>
      </c>
      <c r="C190" t="s">
        <v>19</v>
      </c>
      <c r="D190">
        <v>0.80799999999999994</v>
      </c>
      <c r="E190">
        <v>21.138088</v>
      </c>
      <c r="F190" t="s">
        <v>18</v>
      </c>
      <c r="G190">
        <v>0.85099999999999998</v>
      </c>
      <c r="H190">
        <v>17.988512887999999</v>
      </c>
      <c r="I190" t="s">
        <v>7</v>
      </c>
      <c r="J190">
        <v>0.16200000000000001</v>
      </c>
      <c r="K190">
        <v>2.9141390878559998</v>
      </c>
      <c r="L190" t="s">
        <v>34</v>
      </c>
      <c r="M190">
        <v>0.14499999999999999</v>
      </c>
      <c r="N190">
        <v>2.6083343687599996</v>
      </c>
    </row>
    <row r="191" spans="1:14" x14ac:dyDescent="0.25">
      <c r="A191" s="23">
        <v>43288</v>
      </c>
      <c r="B191">
        <v>26.161000000000001</v>
      </c>
      <c r="C191" t="s">
        <v>19</v>
      </c>
      <c r="D191">
        <v>0.80799999999999994</v>
      </c>
      <c r="E191">
        <v>21.138088</v>
      </c>
      <c r="F191" t="s">
        <v>18</v>
      </c>
      <c r="G191">
        <v>0.85099999999999998</v>
      </c>
      <c r="H191">
        <v>17.988512887999999</v>
      </c>
      <c r="I191" t="s">
        <v>8</v>
      </c>
      <c r="J191">
        <v>0.34799999999999998</v>
      </c>
      <c r="K191">
        <v>6.2600024850239988</v>
      </c>
      <c r="L191" t="s">
        <v>35</v>
      </c>
      <c r="M191">
        <v>0.23100000000000001</v>
      </c>
      <c r="N191">
        <v>4.155346477128</v>
      </c>
    </row>
    <row r="192" spans="1:14" x14ac:dyDescent="0.25">
      <c r="A192" s="23">
        <v>43289</v>
      </c>
      <c r="B192">
        <v>26.161000000000001</v>
      </c>
      <c r="C192" t="s">
        <v>19</v>
      </c>
      <c r="D192">
        <v>0.80799999999999994</v>
      </c>
      <c r="E192">
        <v>21.138088</v>
      </c>
      <c r="F192" t="s">
        <v>18</v>
      </c>
      <c r="G192">
        <v>0.85099999999999998</v>
      </c>
      <c r="H192">
        <v>17.988512887999999</v>
      </c>
      <c r="I192" t="s">
        <v>10</v>
      </c>
      <c r="J192">
        <v>0.03</v>
      </c>
      <c r="K192">
        <v>0.5396553866399999</v>
      </c>
      <c r="L192" t="s">
        <v>36</v>
      </c>
      <c r="M192">
        <v>0.19600000000000001</v>
      </c>
      <c r="N192">
        <v>3.5257485260479999</v>
      </c>
    </row>
    <row r="193" spans="1:14" x14ac:dyDescent="0.25">
      <c r="A193" s="23">
        <v>43290</v>
      </c>
      <c r="B193">
        <v>26.161000000000001</v>
      </c>
      <c r="C193" t="s">
        <v>19</v>
      </c>
      <c r="D193">
        <v>0.80799999999999994</v>
      </c>
      <c r="E193">
        <v>21.138088</v>
      </c>
      <c r="F193" t="s">
        <v>18</v>
      </c>
      <c r="G193">
        <v>0.85099999999999998</v>
      </c>
      <c r="H193">
        <v>17.988512887999999</v>
      </c>
      <c r="I193" t="s">
        <v>9</v>
      </c>
      <c r="J193">
        <v>8.6999999999999994E-2</v>
      </c>
      <c r="K193">
        <v>1.5650006212559997</v>
      </c>
      <c r="L193" t="s">
        <v>37</v>
      </c>
      <c r="M193">
        <v>0.159</v>
      </c>
      <c r="N193">
        <v>2.860173549192</v>
      </c>
    </row>
    <row r="194" spans="1:14" x14ac:dyDescent="0.25">
      <c r="A194" s="23">
        <v>43291</v>
      </c>
      <c r="B194">
        <v>26.161000000000001</v>
      </c>
      <c r="C194" t="s">
        <v>19</v>
      </c>
      <c r="D194">
        <v>0.80799999999999994</v>
      </c>
      <c r="E194">
        <v>21.138088</v>
      </c>
      <c r="F194" t="s">
        <v>18</v>
      </c>
      <c r="G194">
        <v>0.85099999999999998</v>
      </c>
      <c r="H194">
        <v>17.988512887999999</v>
      </c>
      <c r="I194" t="s">
        <v>55</v>
      </c>
      <c r="J194">
        <v>0.02</v>
      </c>
      <c r="L194" t="s">
        <v>38</v>
      </c>
      <c r="M194">
        <v>3.7000000000000005E-2</v>
      </c>
      <c r="N194">
        <v>0.66557497685600009</v>
      </c>
    </row>
    <row r="195" spans="1:14" x14ac:dyDescent="0.25">
      <c r="A195" s="23">
        <v>43292</v>
      </c>
      <c r="B195">
        <v>26.161000000000001</v>
      </c>
      <c r="C195" t="s">
        <v>19</v>
      </c>
      <c r="D195">
        <v>0.80799999999999994</v>
      </c>
      <c r="E195">
        <v>21.138088</v>
      </c>
      <c r="F195" t="s">
        <v>18</v>
      </c>
      <c r="G195">
        <v>0.85099999999999998</v>
      </c>
      <c r="H195">
        <v>17.988512887999999</v>
      </c>
      <c r="L195" t="s">
        <v>39</v>
      </c>
      <c r="M195">
        <v>2.7999999999999997E-2</v>
      </c>
      <c r="N195">
        <v>0.50367836086399986</v>
      </c>
    </row>
    <row r="196" spans="1:14" x14ac:dyDescent="0.25">
      <c r="A196" s="23">
        <v>43293</v>
      </c>
      <c r="B196">
        <v>26.295000000000002</v>
      </c>
      <c r="C196" t="s">
        <v>2</v>
      </c>
      <c r="D196">
        <v>0.16899999999999998</v>
      </c>
      <c r="E196">
        <v>4.4438550000000001</v>
      </c>
      <c r="F196" t="s">
        <v>14</v>
      </c>
      <c r="G196">
        <v>0.20199999999999999</v>
      </c>
      <c r="H196">
        <v>0.89765870999999997</v>
      </c>
      <c r="I196" t="s">
        <v>11</v>
      </c>
      <c r="J196">
        <v>9.1999999999999998E-2</v>
      </c>
      <c r="K196">
        <v>8.2584601319999992E-2</v>
      </c>
      <c r="L196" t="s">
        <v>32</v>
      </c>
      <c r="M196">
        <v>0.01</v>
      </c>
      <c r="N196">
        <v>8.9765871000000007E-3</v>
      </c>
    </row>
    <row r="197" spans="1:14" x14ac:dyDescent="0.25">
      <c r="A197" s="23">
        <v>43294</v>
      </c>
      <c r="B197">
        <v>26.295000000000002</v>
      </c>
      <c r="C197" t="s">
        <v>2</v>
      </c>
      <c r="D197">
        <v>0.16899999999999998</v>
      </c>
      <c r="E197">
        <v>4.4438550000000001</v>
      </c>
      <c r="F197" t="s">
        <v>43</v>
      </c>
      <c r="G197">
        <v>0.20199999999999999</v>
      </c>
      <c r="H197">
        <v>0.89765870999999997</v>
      </c>
      <c r="I197" t="s">
        <v>12</v>
      </c>
      <c r="J197">
        <v>2.6000000000000002E-2</v>
      </c>
      <c r="K197">
        <v>2.3339126460000002E-2</v>
      </c>
      <c r="L197" t="s">
        <v>33</v>
      </c>
      <c r="M197">
        <v>9.4E-2</v>
      </c>
      <c r="N197">
        <v>8.4379918740000004E-2</v>
      </c>
    </row>
    <row r="198" spans="1:14" x14ac:dyDescent="0.25">
      <c r="A198" s="23">
        <v>43295</v>
      </c>
      <c r="B198">
        <v>26.295000000000002</v>
      </c>
      <c r="C198" t="s">
        <v>2</v>
      </c>
      <c r="D198">
        <v>0.16899999999999998</v>
      </c>
      <c r="E198">
        <v>4.4438550000000001</v>
      </c>
      <c r="F198" t="s">
        <v>14</v>
      </c>
      <c r="G198">
        <v>0.20199999999999999</v>
      </c>
      <c r="H198">
        <v>0.89765870999999997</v>
      </c>
      <c r="I198" t="s">
        <v>7</v>
      </c>
      <c r="J198">
        <v>4.2999999999999997E-2</v>
      </c>
      <c r="K198">
        <v>3.8599324529999993E-2</v>
      </c>
      <c r="L198" t="s">
        <v>34</v>
      </c>
      <c r="M198">
        <v>0.11599999999999999</v>
      </c>
      <c r="N198">
        <v>0.10412841035999999</v>
      </c>
    </row>
    <row r="199" spans="1:14" x14ac:dyDescent="0.25">
      <c r="A199" s="23">
        <v>43296</v>
      </c>
      <c r="B199">
        <v>26.295000000000002</v>
      </c>
      <c r="C199" t="s">
        <v>2</v>
      </c>
      <c r="D199">
        <v>0.16899999999999998</v>
      </c>
      <c r="E199">
        <v>4.4438550000000001</v>
      </c>
      <c r="F199" t="s">
        <v>14</v>
      </c>
      <c r="G199">
        <v>0.20199999999999999</v>
      </c>
      <c r="H199">
        <v>0.89765870999999997</v>
      </c>
      <c r="I199" t="s">
        <v>8</v>
      </c>
      <c r="J199">
        <v>0.31</v>
      </c>
      <c r="K199">
        <v>0.27827420009999998</v>
      </c>
      <c r="L199" t="s">
        <v>35</v>
      </c>
      <c r="M199">
        <v>0.253</v>
      </c>
      <c r="N199">
        <v>0.22710765362999999</v>
      </c>
    </row>
    <row r="200" spans="1:14" x14ac:dyDescent="0.25">
      <c r="A200" s="23">
        <v>43297</v>
      </c>
      <c r="B200">
        <v>26.295000000000002</v>
      </c>
      <c r="C200" t="s">
        <v>2</v>
      </c>
      <c r="D200">
        <v>0.16899999999999998</v>
      </c>
      <c r="E200">
        <v>4.4438550000000001</v>
      </c>
      <c r="F200" t="s">
        <v>14</v>
      </c>
      <c r="G200">
        <v>0.20199999999999999</v>
      </c>
      <c r="H200">
        <v>0.89765870999999997</v>
      </c>
      <c r="I200" t="s">
        <v>10</v>
      </c>
      <c r="J200">
        <v>5.5E-2</v>
      </c>
      <c r="K200">
        <v>4.937122905E-2</v>
      </c>
      <c r="L200" t="s">
        <v>36</v>
      </c>
      <c r="M200">
        <v>0.24299999999999999</v>
      </c>
      <c r="N200">
        <v>0.21813106653</v>
      </c>
    </row>
    <row r="201" spans="1:14" x14ac:dyDescent="0.25">
      <c r="A201" s="23">
        <v>43298</v>
      </c>
      <c r="B201">
        <v>26.295000000000002</v>
      </c>
      <c r="C201" t="s">
        <v>2</v>
      </c>
      <c r="D201">
        <v>0.16899999999999998</v>
      </c>
      <c r="E201">
        <v>4.4438550000000001</v>
      </c>
      <c r="F201" t="s">
        <v>14</v>
      </c>
      <c r="G201">
        <v>0.20199999999999999</v>
      </c>
      <c r="H201">
        <v>0.89765870999999997</v>
      </c>
      <c r="I201" t="s">
        <v>9</v>
      </c>
      <c r="J201">
        <v>0.43099999999999999</v>
      </c>
      <c r="K201">
        <v>0.38689090400999998</v>
      </c>
      <c r="L201" t="s">
        <v>37</v>
      </c>
      <c r="M201">
        <v>0.26800000000000002</v>
      </c>
      <c r="N201">
        <v>0.24057253428</v>
      </c>
    </row>
    <row r="202" spans="1:14" x14ac:dyDescent="0.25">
      <c r="A202" s="23">
        <v>43299</v>
      </c>
      <c r="B202">
        <v>26.295000000000002</v>
      </c>
      <c r="C202" t="s">
        <v>2</v>
      </c>
      <c r="D202">
        <v>0.16899999999999998</v>
      </c>
      <c r="E202">
        <v>4.4438550000000001</v>
      </c>
      <c r="F202" t="s">
        <v>14</v>
      </c>
      <c r="G202">
        <v>0.20199999999999999</v>
      </c>
      <c r="H202">
        <v>0.89765870999999997</v>
      </c>
      <c r="I202" t="s">
        <v>55</v>
      </c>
      <c r="J202">
        <v>4.4000000000000004E-2</v>
      </c>
      <c r="K202">
        <v>3.9496983240000005E-2</v>
      </c>
      <c r="L202" t="s">
        <v>38</v>
      </c>
      <c r="M202">
        <v>1.1000000000000001E-2</v>
      </c>
      <c r="N202">
        <v>9.8742458100000013E-3</v>
      </c>
    </row>
    <row r="203" spans="1:14" x14ac:dyDescent="0.25">
      <c r="A203" s="23">
        <v>43300</v>
      </c>
      <c r="B203">
        <v>26.295000000000002</v>
      </c>
      <c r="C203" t="s">
        <v>2</v>
      </c>
      <c r="D203">
        <v>0.16899999999999998</v>
      </c>
      <c r="E203">
        <v>4.4438550000000001</v>
      </c>
      <c r="F203" t="s">
        <v>14</v>
      </c>
      <c r="G203">
        <v>0.20199999999999999</v>
      </c>
      <c r="H203">
        <v>0.89765870999999997</v>
      </c>
      <c r="L203" t="s">
        <v>39</v>
      </c>
      <c r="M203">
        <v>4.0000000000000001E-3</v>
      </c>
      <c r="N203">
        <v>3.5906348399999998E-3</v>
      </c>
    </row>
    <row r="204" spans="1:14" x14ac:dyDescent="0.25">
      <c r="A204" s="23">
        <v>43301</v>
      </c>
      <c r="B204">
        <v>26.295000000000002</v>
      </c>
      <c r="C204" t="s">
        <v>2</v>
      </c>
      <c r="D204">
        <v>0.16899999999999998</v>
      </c>
      <c r="E204">
        <v>4.4438550000000001</v>
      </c>
      <c r="F204" t="s">
        <v>44</v>
      </c>
      <c r="G204">
        <v>0.19699999999999998</v>
      </c>
      <c r="H204">
        <v>0.87543943499999999</v>
      </c>
      <c r="I204" t="s">
        <v>11</v>
      </c>
      <c r="J204">
        <v>1.1000000000000001E-2</v>
      </c>
      <c r="K204">
        <v>9.6298337850000016E-3</v>
      </c>
      <c r="L204" t="s">
        <v>32</v>
      </c>
      <c r="M204">
        <v>0</v>
      </c>
      <c r="N204">
        <v>0</v>
      </c>
    </row>
    <row r="205" spans="1:14" x14ac:dyDescent="0.25">
      <c r="A205" s="23">
        <v>43302</v>
      </c>
      <c r="B205">
        <v>26.295000000000002</v>
      </c>
      <c r="C205" t="s">
        <v>2</v>
      </c>
      <c r="D205">
        <v>0.16899999999999998</v>
      </c>
      <c r="E205">
        <v>4.4438550000000001</v>
      </c>
      <c r="F205" t="s">
        <v>15</v>
      </c>
      <c r="G205">
        <v>0.19699999999999998</v>
      </c>
      <c r="H205">
        <v>0.87543943499999999</v>
      </c>
      <c r="I205" t="s">
        <v>12</v>
      </c>
      <c r="J205">
        <v>1.3999999999999999E-2</v>
      </c>
      <c r="K205">
        <v>1.2256152089999998E-2</v>
      </c>
      <c r="L205" t="s">
        <v>33</v>
      </c>
      <c r="M205">
        <v>0</v>
      </c>
      <c r="N205">
        <v>0</v>
      </c>
    </row>
    <row r="206" spans="1:14" x14ac:dyDescent="0.25">
      <c r="A206" s="23">
        <v>43303</v>
      </c>
      <c r="B206">
        <v>26.295000000000002</v>
      </c>
      <c r="C206" t="s">
        <v>2</v>
      </c>
      <c r="D206">
        <v>0.16899999999999998</v>
      </c>
      <c r="E206">
        <v>4.4438550000000001</v>
      </c>
      <c r="F206" t="s">
        <v>15</v>
      </c>
      <c r="G206">
        <v>0.19699999999999998</v>
      </c>
      <c r="H206">
        <v>0.87543943499999999</v>
      </c>
      <c r="I206" t="s">
        <v>7</v>
      </c>
      <c r="J206">
        <v>2.8999999999999998E-2</v>
      </c>
      <c r="K206">
        <v>2.5387743614999996E-2</v>
      </c>
      <c r="L206" t="s">
        <v>34</v>
      </c>
      <c r="M206">
        <v>0.23399999999999999</v>
      </c>
      <c r="N206">
        <v>0.20485282779</v>
      </c>
    </row>
    <row r="207" spans="1:14" x14ac:dyDescent="0.25">
      <c r="A207" s="23">
        <v>43304</v>
      </c>
      <c r="B207">
        <v>26.295000000000002</v>
      </c>
      <c r="C207" t="s">
        <v>2</v>
      </c>
      <c r="D207">
        <v>0.16899999999999998</v>
      </c>
      <c r="E207">
        <v>4.4438550000000001</v>
      </c>
      <c r="F207" t="s">
        <v>15</v>
      </c>
      <c r="G207">
        <v>0.19699999999999998</v>
      </c>
      <c r="H207">
        <v>0.87543943499999999</v>
      </c>
      <c r="I207" t="s">
        <v>8</v>
      </c>
      <c r="J207">
        <v>0.34799999999999998</v>
      </c>
      <c r="K207">
        <v>0.30465292338</v>
      </c>
      <c r="L207" t="s">
        <v>35</v>
      </c>
      <c r="M207">
        <v>0.317</v>
      </c>
      <c r="N207">
        <v>0.27751430089500001</v>
      </c>
    </row>
    <row r="208" spans="1:14" x14ac:dyDescent="0.25">
      <c r="A208" s="23">
        <v>43305</v>
      </c>
      <c r="B208">
        <v>26.295000000000002</v>
      </c>
      <c r="C208" t="s">
        <v>2</v>
      </c>
      <c r="D208">
        <v>0.16899999999999998</v>
      </c>
      <c r="E208">
        <v>4.4438550000000001</v>
      </c>
      <c r="F208" t="s">
        <v>15</v>
      </c>
      <c r="G208">
        <v>0.19699999999999998</v>
      </c>
      <c r="H208">
        <v>0.87543943499999999</v>
      </c>
      <c r="I208" t="s">
        <v>10</v>
      </c>
      <c r="J208">
        <v>3.4000000000000002E-2</v>
      </c>
      <c r="K208">
        <v>2.9764940790000003E-2</v>
      </c>
      <c r="L208" t="s">
        <v>36</v>
      </c>
      <c r="M208">
        <v>0.24399999999999999</v>
      </c>
      <c r="N208">
        <v>0.21360722214</v>
      </c>
    </row>
    <row r="209" spans="1:14" x14ac:dyDescent="0.25">
      <c r="A209" s="23">
        <v>43306</v>
      </c>
      <c r="B209">
        <v>26.295000000000002</v>
      </c>
      <c r="C209" t="s">
        <v>2</v>
      </c>
      <c r="D209">
        <v>0.16899999999999998</v>
      </c>
      <c r="E209">
        <v>4.4438550000000001</v>
      </c>
      <c r="F209" t="s">
        <v>15</v>
      </c>
      <c r="G209">
        <v>0.19699999999999998</v>
      </c>
      <c r="H209">
        <v>0.87543943499999999</v>
      </c>
      <c r="I209" t="s">
        <v>9</v>
      </c>
      <c r="J209">
        <v>0.56299999999999994</v>
      </c>
      <c r="K209">
        <v>0.49287240190499992</v>
      </c>
      <c r="L209" t="s">
        <v>37</v>
      </c>
      <c r="M209">
        <v>0.20499999999999999</v>
      </c>
      <c r="N209">
        <v>0.17946508417499998</v>
      </c>
    </row>
    <row r="210" spans="1:14" x14ac:dyDescent="0.25">
      <c r="A210" s="23">
        <v>43307</v>
      </c>
      <c r="B210">
        <v>26.295000000000002</v>
      </c>
      <c r="C210" t="s">
        <v>2</v>
      </c>
      <c r="D210">
        <v>0.16899999999999998</v>
      </c>
      <c r="E210">
        <v>4.4438550000000001</v>
      </c>
      <c r="F210" t="s">
        <v>15</v>
      </c>
      <c r="G210">
        <v>0.19699999999999998</v>
      </c>
      <c r="H210">
        <v>0.87543943499999999</v>
      </c>
      <c r="I210" t="s">
        <v>55</v>
      </c>
      <c r="J210">
        <v>0</v>
      </c>
      <c r="K210">
        <v>0</v>
      </c>
      <c r="L210" t="s">
        <v>38</v>
      </c>
      <c r="M210">
        <v>0</v>
      </c>
      <c r="N210">
        <v>0</v>
      </c>
    </row>
    <row r="211" spans="1:14" x14ac:dyDescent="0.25">
      <c r="A211" s="23">
        <v>43308</v>
      </c>
      <c r="B211">
        <v>26.295000000000002</v>
      </c>
      <c r="C211" t="s">
        <v>2</v>
      </c>
      <c r="D211">
        <v>0.16899999999999998</v>
      </c>
      <c r="E211">
        <v>4.4438550000000001</v>
      </c>
      <c r="F211" t="s">
        <v>15</v>
      </c>
      <c r="G211">
        <v>0.19699999999999998</v>
      </c>
      <c r="H211">
        <v>0.87543943499999999</v>
      </c>
      <c r="J211" t="s">
        <v>56</v>
      </c>
      <c r="L211" t="s">
        <v>39</v>
      </c>
      <c r="M211">
        <v>0</v>
      </c>
      <c r="N211">
        <v>0</v>
      </c>
    </row>
    <row r="212" spans="1:14" x14ac:dyDescent="0.25">
      <c r="A212" s="23">
        <v>43309</v>
      </c>
      <c r="B212">
        <v>26.295000000000002</v>
      </c>
      <c r="C212" t="s">
        <v>2</v>
      </c>
      <c r="D212">
        <v>0.16899999999999998</v>
      </c>
      <c r="E212">
        <v>4.4438550000000001</v>
      </c>
      <c r="F212" t="s">
        <v>45</v>
      </c>
      <c r="G212">
        <v>0.17499999999999999</v>
      </c>
      <c r="H212">
        <v>0.77767462499999995</v>
      </c>
      <c r="I212" t="s">
        <v>11</v>
      </c>
      <c r="J212">
        <v>9.5000000000000001E-2</v>
      </c>
      <c r="K212">
        <v>7.3879089374999998E-2</v>
      </c>
      <c r="L212" t="s">
        <v>32</v>
      </c>
      <c r="M212">
        <v>1.8000000000000002E-2</v>
      </c>
      <c r="N212">
        <v>1.3998143250000001E-2</v>
      </c>
    </row>
    <row r="213" spans="1:14" x14ac:dyDescent="0.25">
      <c r="A213" s="23">
        <v>43310</v>
      </c>
      <c r="B213">
        <v>26.295000000000002</v>
      </c>
      <c r="C213" t="s">
        <v>2</v>
      </c>
      <c r="D213">
        <v>0.16899999999999998</v>
      </c>
      <c r="E213">
        <v>4.4438550000000001</v>
      </c>
      <c r="F213" t="s">
        <v>16</v>
      </c>
      <c r="G213">
        <v>0.17499999999999999</v>
      </c>
      <c r="H213">
        <v>0.77767462499999995</v>
      </c>
      <c r="I213" t="s">
        <v>12</v>
      </c>
      <c r="J213">
        <v>6.9999999999999993E-3</v>
      </c>
      <c r="K213">
        <v>5.4437223749999987E-3</v>
      </c>
      <c r="L213" t="s">
        <v>33</v>
      </c>
      <c r="M213">
        <v>8.5000000000000006E-2</v>
      </c>
      <c r="N213">
        <v>6.6102343125000004E-2</v>
      </c>
    </row>
    <row r="214" spans="1:14" x14ac:dyDescent="0.25">
      <c r="A214" s="23">
        <v>43311</v>
      </c>
      <c r="B214">
        <v>26.295000000000002</v>
      </c>
      <c r="C214" t="s">
        <v>2</v>
      </c>
      <c r="D214">
        <v>0.16899999999999998</v>
      </c>
      <c r="E214">
        <v>4.4438550000000001</v>
      </c>
      <c r="F214" t="s">
        <v>16</v>
      </c>
      <c r="G214">
        <v>0.17499999999999999</v>
      </c>
      <c r="H214">
        <v>0.77767462499999995</v>
      </c>
      <c r="I214" t="s">
        <v>7</v>
      </c>
      <c r="J214">
        <v>5.0999999999999997E-2</v>
      </c>
      <c r="K214">
        <v>3.9661405874999993E-2</v>
      </c>
      <c r="L214" t="s">
        <v>34</v>
      </c>
      <c r="M214">
        <v>0.16899999999999998</v>
      </c>
      <c r="N214">
        <v>0.13142701162499998</v>
      </c>
    </row>
    <row r="215" spans="1:14" x14ac:dyDescent="0.25">
      <c r="A215" s="23">
        <v>43312</v>
      </c>
      <c r="B215">
        <v>26.295000000000002</v>
      </c>
      <c r="C215" t="s">
        <v>2</v>
      </c>
      <c r="D215">
        <v>0.16899999999999998</v>
      </c>
      <c r="E215">
        <v>4.4438550000000001</v>
      </c>
      <c r="F215" t="s">
        <v>16</v>
      </c>
      <c r="G215">
        <v>0.17499999999999999</v>
      </c>
      <c r="H215">
        <v>0.77767462499999995</v>
      </c>
      <c r="I215" t="s">
        <v>8</v>
      </c>
      <c r="J215">
        <v>0.307</v>
      </c>
      <c r="K215">
        <v>0.23874610987499997</v>
      </c>
      <c r="L215" t="s">
        <v>35</v>
      </c>
      <c r="M215">
        <v>0.21</v>
      </c>
      <c r="N215">
        <v>0.16331167124999998</v>
      </c>
    </row>
    <row r="216" spans="1:14" x14ac:dyDescent="0.25">
      <c r="A216" s="23">
        <v>43313</v>
      </c>
      <c r="B216">
        <v>26.295000000000002</v>
      </c>
      <c r="C216" t="s">
        <v>2</v>
      </c>
      <c r="D216">
        <v>0.16899999999999998</v>
      </c>
      <c r="E216">
        <v>4.4438550000000001</v>
      </c>
      <c r="F216" t="s">
        <v>16</v>
      </c>
      <c r="G216">
        <v>0.17499999999999999</v>
      </c>
      <c r="H216">
        <v>0.77767462499999995</v>
      </c>
      <c r="I216" t="s">
        <v>10</v>
      </c>
      <c r="J216">
        <v>8.6999999999999994E-2</v>
      </c>
      <c r="K216">
        <v>6.7657692374999995E-2</v>
      </c>
      <c r="L216" t="s">
        <v>36</v>
      </c>
      <c r="M216">
        <v>0.26500000000000001</v>
      </c>
      <c r="N216">
        <v>0.20608377562499999</v>
      </c>
    </row>
    <row r="217" spans="1:14" x14ac:dyDescent="0.25">
      <c r="A217" s="23">
        <v>43314</v>
      </c>
      <c r="B217">
        <v>26.295000000000002</v>
      </c>
      <c r="C217" t="s">
        <v>2</v>
      </c>
      <c r="D217">
        <v>0.16899999999999998</v>
      </c>
      <c r="E217">
        <v>4.4438550000000001</v>
      </c>
      <c r="F217" t="s">
        <v>16</v>
      </c>
      <c r="G217">
        <v>0.17499999999999999</v>
      </c>
      <c r="H217">
        <v>0.77767462499999995</v>
      </c>
      <c r="I217" t="s">
        <v>9</v>
      </c>
      <c r="J217">
        <v>0.441</v>
      </c>
      <c r="K217">
        <v>0.34295450962499996</v>
      </c>
      <c r="L217" t="s">
        <v>37</v>
      </c>
      <c r="M217">
        <v>0.23499999999999999</v>
      </c>
      <c r="N217">
        <v>0.18275353687499998</v>
      </c>
    </row>
    <row r="218" spans="1:14" x14ac:dyDescent="0.25">
      <c r="A218" s="23">
        <v>43315</v>
      </c>
      <c r="B218">
        <v>26.295000000000002</v>
      </c>
      <c r="C218" t="s">
        <v>2</v>
      </c>
      <c r="D218">
        <v>0.16899999999999998</v>
      </c>
      <c r="E218">
        <v>4.4438550000000001</v>
      </c>
      <c r="F218" t="s">
        <v>16</v>
      </c>
      <c r="G218">
        <v>0.17499999999999999</v>
      </c>
      <c r="H218">
        <v>0.77767462499999995</v>
      </c>
      <c r="I218" t="s">
        <v>55</v>
      </c>
      <c r="J218">
        <v>1.1000000000000001E-2</v>
      </c>
      <c r="K218">
        <v>8.5544208749999996E-3</v>
      </c>
      <c r="L218" t="s">
        <v>38</v>
      </c>
      <c r="M218">
        <v>1.1000000000000001E-2</v>
      </c>
      <c r="N218">
        <v>8.5544208749999996E-3</v>
      </c>
    </row>
    <row r="219" spans="1:14" x14ac:dyDescent="0.25">
      <c r="A219" s="23">
        <v>43316</v>
      </c>
      <c r="B219">
        <v>26.295000000000002</v>
      </c>
      <c r="C219" t="s">
        <v>2</v>
      </c>
      <c r="D219">
        <v>0.16899999999999998</v>
      </c>
      <c r="E219">
        <v>4.4438550000000001</v>
      </c>
      <c r="F219" t="s">
        <v>16</v>
      </c>
      <c r="G219">
        <v>0.17499999999999999</v>
      </c>
      <c r="H219">
        <v>0.77767462499999995</v>
      </c>
      <c r="L219" t="s">
        <v>39</v>
      </c>
      <c r="M219">
        <v>6.0000000000000001E-3</v>
      </c>
      <c r="N219">
        <v>4.66604775E-3</v>
      </c>
    </row>
    <row r="220" spans="1:14" x14ac:dyDescent="0.25">
      <c r="A220" s="23">
        <v>43317</v>
      </c>
      <c r="B220">
        <v>26.295000000000002</v>
      </c>
      <c r="C220" t="s">
        <v>2</v>
      </c>
      <c r="D220">
        <v>0.16899999999999998</v>
      </c>
      <c r="E220">
        <v>4.4438550000000001</v>
      </c>
      <c r="F220" t="s">
        <v>46</v>
      </c>
      <c r="G220">
        <v>0.191</v>
      </c>
      <c r="H220">
        <v>0.84877630500000001</v>
      </c>
      <c r="I220" t="s">
        <v>11</v>
      </c>
      <c r="J220">
        <v>0.28699999999999998</v>
      </c>
      <c r="K220">
        <v>0.24359879953499999</v>
      </c>
      <c r="L220" t="s">
        <v>32</v>
      </c>
      <c r="M220">
        <v>2.3E-2</v>
      </c>
      <c r="N220">
        <v>1.9521855014999999E-2</v>
      </c>
    </row>
    <row r="221" spans="1:14" x14ac:dyDescent="0.25">
      <c r="A221" s="23">
        <v>43318</v>
      </c>
      <c r="B221">
        <v>26.295000000000002</v>
      </c>
      <c r="C221" t="s">
        <v>2</v>
      </c>
      <c r="D221">
        <v>0.16899999999999998</v>
      </c>
      <c r="E221">
        <v>4.4438550000000001</v>
      </c>
      <c r="F221" t="s">
        <v>13</v>
      </c>
      <c r="G221">
        <v>0.191</v>
      </c>
      <c r="H221">
        <v>0.84877630500000001</v>
      </c>
      <c r="I221" t="s">
        <v>12</v>
      </c>
      <c r="J221">
        <v>3.7000000000000005E-2</v>
      </c>
      <c r="K221">
        <v>3.1404723285000005E-2</v>
      </c>
      <c r="L221" t="s">
        <v>33</v>
      </c>
      <c r="M221">
        <v>6.9000000000000006E-2</v>
      </c>
      <c r="N221">
        <v>5.8565565045000004E-2</v>
      </c>
    </row>
    <row r="222" spans="1:14" x14ac:dyDescent="0.25">
      <c r="A222" s="23">
        <v>43319</v>
      </c>
      <c r="B222">
        <v>26.295000000000002</v>
      </c>
      <c r="C222" t="s">
        <v>2</v>
      </c>
      <c r="D222">
        <v>0.16899999999999998</v>
      </c>
      <c r="E222">
        <v>4.4438550000000001</v>
      </c>
      <c r="F222" t="s">
        <v>13</v>
      </c>
      <c r="G222">
        <v>0.191</v>
      </c>
      <c r="H222">
        <v>0.84877630500000001</v>
      </c>
      <c r="I222" t="s">
        <v>7</v>
      </c>
      <c r="J222">
        <v>9.6999999999999989E-2</v>
      </c>
      <c r="K222">
        <v>8.2331301584999989E-2</v>
      </c>
      <c r="L222" t="s">
        <v>34</v>
      </c>
      <c r="M222">
        <v>0.109</v>
      </c>
      <c r="N222">
        <v>9.2516617245000002E-2</v>
      </c>
    </row>
    <row r="223" spans="1:14" x14ac:dyDescent="0.25">
      <c r="A223" s="23">
        <v>43320</v>
      </c>
      <c r="B223">
        <v>26.295000000000002</v>
      </c>
      <c r="C223" t="s">
        <v>2</v>
      </c>
      <c r="D223">
        <v>0.16899999999999998</v>
      </c>
      <c r="E223">
        <v>4.4438550000000001</v>
      </c>
      <c r="F223" t="s">
        <v>13</v>
      </c>
      <c r="G223">
        <v>0.191</v>
      </c>
      <c r="H223">
        <v>0.84877630500000001</v>
      </c>
      <c r="I223" t="s">
        <v>8</v>
      </c>
      <c r="J223">
        <v>0.34899999999999998</v>
      </c>
      <c r="K223">
        <v>0.29622293044499998</v>
      </c>
      <c r="L223" t="s">
        <v>35</v>
      </c>
      <c r="M223">
        <v>0.29399999999999998</v>
      </c>
      <c r="N223">
        <v>0.24954023367</v>
      </c>
    </row>
    <row r="224" spans="1:14" x14ac:dyDescent="0.25">
      <c r="A224" s="23">
        <v>43321</v>
      </c>
      <c r="B224">
        <v>26.295000000000002</v>
      </c>
      <c r="C224" t="s">
        <v>2</v>
      </c>
      <c r="D224">
        <v>0.16899999999999998</v>
      </c>
      <c r="E224">
        <v>4.4438550000000001</v>
      </c>
      <c r="F224" t="s">
        <v>13</v>
      </c>
      <c r="G224">
        <v>0.191</v>
      </c>
      <c r="H224">
        <v>0.84877630500000001</v>
      </c>
      <c r="I224" t="s">
        <v>10</v>
      </c>
      <c r="J224">
        <v>3.7999999999999999E-2</v>
      </c>
      <c r="K224">
        <v>3.2253499589999998E-2</v>
      </c>
      <c r="L224" t="s">
        <v>36</v>
      </c>
      <c r="M224">
        <v>0.26700000000000002</v>
      </c>
      <c r="N224">
        <v>0.22662327343500002</v>
      </c>
    </row>
    <row r="225" spans="1:14" x14ac:dyDescent="0.25">
      <c r="A225" s="23">
        <v>43322</v>
      </c>
      <c r="B225">
        <v>26.295000000000002</v>
      </c>
      <c r="C225" t="s">
        <v>2</v>
      </c>
      <c r="D225">
        <v>0.16899999999999998</v>
      </c>
      <c r="E225">
        <v>4.4438550000000001</v>
      </c>
      <c r="F225" t="s">
        <v>13</v>
      </c>
      <c r="G225">
        <v>0.191</v>
      </c>
      <c r="H225">
        <v>0.84877630500000001</v>
      </c>
      <c r="I225" t="s">
        <v>9</v>
      </c>
      <c r="J225">
        <v>0.183</v>
      </c>
      <c r="K225">
        <v>0.155326063815</v>
      </c>
      <c r="L225" t="s">
        <v>37</v>
      </c>
      <c r="M225">
        <v>0.20899999999999999</v>
      </c>
      <c r="N225">
        <v>0.22662327343500002</v>
      </c>
    </row>
    <row r="226" spans="1:14" x14ac:dyDescent="0.25">
      <c r="A226" s="23">
        <v>43323</v>
      </c>
      <c r="B226">
        <v>26.295000000000002</v>
      </c>
      <c r="C226" t="s">
        <v>2</v>
      </c>
      <c r="D226">
        <v>0.16899999999999998</v>
      </c>
      <c r="E226">
        <v>4.4438550000000001</v>
      </c>
      <c r="F226" t="s">
        <v>13</v>
      </c>
      <c r="G226">
        <v>0.191</v>
      </c>
      <c r="H226">
        <v>0.84877630500000001</v>
      </c>
      <c r="I226" t="s">
        <v>55</v>
      </c>
      <c r="J226">
        <v>9.0000000000000011E-3</v>
      </c>
      <c r="L226" t="s">
        <v>38</v>
      </c>
      <c r="M226">
        <v>2.1000000000000001E-2</v>
      </c>
      <c r="N226">
        <v>0.17739424774499998</v>
      </c>
    </row>
    <row r="227" spans="1:14" x14ac:dyDescent="0.25">
      <c r="A227" s="23">
        <v>43324</v>
      </c>
      <c r="B227">
        <v>26.295000000000002</v>
      </c>
      <c r="C227" t="s">
        <v>2</v>
      </c>
      <c r="D227">
        <v>0.16899999999999998</v>
      </c>
      <c r="E227">
        <v>4.4438550000000001</v>
      </c>
      <c r="F227" t="s">
        <v>13</v>
      </c>
      <c r="G227">
        <v>0.191</v>
      </c>
      <c r="H227">
        <v>0.84877630500000001</v>
      </c>
      <c r="L227" t="s">
        <v>39</v>
      </c>
      <c r="M227">
        <v>6.9999999999999993E-3</v>
      </c>
      <c r="N227">
        <v>1.7824302405000002E-2</v>
      </c>
    </row>
    <row r="228" spans="1:14" x14ac:dyDescent="0.25">
      <c r="A228" s="23">
        <v>43325</v>
      </c>
      <c r="B228">
        <v>26.295000000000002</v>
      </c>
      <c r="C228" t="s">
        <v>2</v>
      </c>
      <c r="D228">
        <v>0.16899999999999998</v>
      </c>
      <c r="E228">
        <v>4.4438550000000001</v>
      </c>
      <c r="F228" t="s">
        <v>47</v>
      </c>
      <c r="G228">
        <v>0.17199999999999999</v>
      </c>
      <c r="H228">
        <v>0.76434305999999996</v>
      </c>
      <c r="I228" t="s">
        <v>11</v>
      </c>
      <c r="J228">
        <v>4.8000000000000001E-2</v>
      </c>
      <c r="K228">
        <v>3.6688466879999999E-2</v>
      </c>
      <c r="L228" t="s">
        <v>32</v>
      </c>
      <c r="M228">
        <v>0</v>
      </c>
      <c r="N228">
        <v>0</v>
      </c>
    </row>
    <row r="229" spans="1:14" x14ac:dyDescent="0.25">
      <c r="A229" s="23">
        <v>43326</v>
      </c>
      <c r="B229">
        <v>26.295000000000002</v>
      </c>
      <c r="C229" t="s">
        <v>2</v>
      </c>
      <c r="D229">
        <v>0.16899999999999998</v>
      </c>
      <c r="E229">
        <v>4.4438550000000001</v>
      </c>
      <c r="F229" t="s">
        <v>17</v>
      </c>
      <c r="G229">
        <v>0.17199999999999999</v>
      </c>
      <c r="H229">
        <v>0.76434305999999996</v>
      </c>
      <c r="I229" t="s">
        <v>12</v>
      </c>
      <c r="J229">
        <v>5.2000000000000005E-2</v>
      </c>
      <c r="K229">
        <v>3.9745839120000001E-2</v>
      </c>
      <c r="L229" t="s">
        <v>33</v>
      </c>
      <c r="M229">
        <v>7.8E-2</v>
      </c>
      <c r="N229">
        <v>5.9618758679999995E-2</v>
      </c>
    </row>
    <row r="230" spans="1:14" x14ac:dyDescent="0.25">
      <c r="A230" s="23">
        <v>43327</v>
      </c>
      <c r="B230">
        <v>26.295000000000002</v>
      </c>
      <c r="C230" t="s">
        <v>2</v>
      </c>
      <c r="D230">
        <v>0.16899999999999998</v>
      </c>
      <c r="E230">
        <v>4.4438550000000001</v>
      </c>
      <c r="F230" t="s">
        <v>17</v>
      </c>
      <c r="G230">
        <v>0.17199999999999999</v>
      </c>
      <c r="H230">
        <v>0.76434305999999996</v>
      </c>
      <c r="I230" t="s">
        <v>7</v>
      </c>
      <c r="J230">
        <v>0.13800000000000001</v>
      </c>
      <c r="K230">
        <v>0.10547934228</v>
      </c>
      <c r="L230" t="s">
        <v>34</v>
      </c>
      <c r="M230">
        <v>0</v>
      </c>
      <c r="N230">
        <v>0</v>
      </c>
    </row>
    <row r="231" spans="1:14" x14ac:dyDescent="0.25">
      <c r="A231" s="23">
        <v>43328</v>
      </c>
      <c r="B231">
        <v>26.295000000000002</v>
      </c>
      <c r="C231" t="s">
        <v>2</v>
      </c>
      <c r="D231">
        <v>0.16899999999999998</v>
      </c>
      <c r="E231">
        <v>4.4438550000000001</v>
      </c>
      <c r="F231" t="s">
        <v>17</v>
      </c>
      <c r="G231">
        <v>0.17199999999999999</v>
      </c>
      <c r="H231">
        <v>0.76434305999999996</v>
      </c>
      <c r="I231" t="s">
        <v>8</v>
      </c>
      <c r="J231">
        <v>0.23899999999999999</v>
      </c>
      <c r="K231">
        <v>0.18267799133999998</v>
      </c>
      <c r="L231" t="s">
        <v>35</v>
      </c>
      <c r="M231">
        <v>0.29199999999999998</v>
      </c>
      <c r="N231">
        <v>0.22318817351999998</v>
      </c>
    </row>
    <row r="232" spans="1:14" x14ac:dyDescent="0.25">
      <c r="A232" s="23">
        <v>43329</v>
      </c>
      <c r="B232">
        <v>26.295000000000002</v>
      </c>
      <c r="C232" t="s">
        <v>2</v>
      </c>
      <c r="D232">
        <v>0.16899999999999998</v>
      </c>
      <c r="E232">
        <v>4.4438550000000001</v>
      </c>
      <c r="F232" t="s">
        <v>17</v>
      </c>
      <c r="G232">
        <v>0.17199999999999999</v>
      </c>
      <c r="H232">
        <v>0.76434305999999996</v>
      </c>
      <c r="I232" t="s">
        <v>10</v>
      </c>
      <c r="J232">
        <v>0.193</v>
      </c>
      <c r="K232">
        <v>0.14751821058</v>
      </c>
      <c r="L232" t="s">
        <v>36</v>
      </c>
      <c r="M232">
        <v>0.33399999999999996</v>
      </c>
      <c r="N232">
        <v>0.25529058203999994</v>
      </c>
    </row>
    <row r="233" spans="1:14" x14ac:dyDescent="0.25">
      <c r="A233" s="23">
        <v>43330</v>
      </c>
      <c r="B233">
        <v>26.295000000000002</v>
      </c>
      <c r="C233" t="s">
        <v>2</v>
      </c>
      <c r="D233">
        <v>0.16899999999999998</v>
      </c>
      <c r="E233">
        <v>4.4438550000000001</v>
      </c>
      <c r="F233" t="s">
        <v>17</v>
      </c>
      <c r="G233">
        <v>0.17199999999999999</v>
      </c>
      <c r="H233">
        <v>0.76434305999999996</v>
      </c>
      <c r="I233" t="s">
        <v>9</v>
      </c>
      <c r="J233">
        <v>0.33100000000000002</v>
      </c>
      <c r="K233">
        <v>0.25299755285999997</v>
      </c>
      <c r="L233" t="s">
        <v>37</v>
      </c>
      <c r="M233">
        <v>0.29600000000000004</v>
      </c>
      <c r="N233">
        <v>0.22624554576000003</v>
      </c>
    </row>
    <row r="234" spans="1:14" x14ac:dyDescent="0.25">
      <c r="A234" s="23">
        <v>43331</v>
      </c>
      <c r="B234">
        <v>26.295000000000002</v>
      </c>
      <c r="C234" t="s">
        <v>2</v>
      </c>
      <c r="D234">
        <v>0.16899999999999998</v>
      </c>
      <c r="E234">
        <v>4.4438550000000001</v>
      </c>
      <c r="F234" t="s">
        <v>17</v>
      </c>
      <c r="G234">
        <v>0.17199999999999999</v>
      </c>
      <c r="H234">
        <v>0.76434305999999996</v>
      </c>
      <c r="I234" t="s">
        <v>55</v>
      </c>
      <c r="J234">
        <v>0</v>
      </c>
      <c r="L234" t="s">
        <v>38</v>
      </c>
      <c r="M234">
        <v>0</v>
      </c>
      <c r="N234">
        <v>0</v>
      </c>
    </row>
    <row r="235" spans="1:14" x14ac:dyDescent="0.25">
      <c r="A235" s="23">
        <v>43332</v>
      </c>
      <c r="B235">
        <v>26.295000000000002</v>
      </c>
      <c r="C235" t="s">
        <v>2</v>
      </c>
      <c r="D235">
        <v>0.16899999999999998</v>
      </c>
      <c r="E235">
        <v>4.4438550000000001</v>
      </c>
      <c r="F235" t="s">
        <v>17</v>
      </c>
      <c r="G235">
        <v>0.17199999999999999</v>
      </c>
      <c r="H235">
        <v>0.76434305999999996</v>
      </c>
      <c r="L235" t="s">
        <v>39</v>
      </c>
      <c r="M235">
        <v>0</v>
      </c>
      <c r="N235">
        <v>0</v>
      </c>
    </row>
    <row r="236" spans="1:14" x14ac:dyDescent="0.25">
      <c r="A236" s="23">
        <v>43333</v>
      </c>
      <c r="B236">
        <v>26.295000000000002</v>
      </c>
      <c r="C236" t="s">
        <v>2</v>
      </c>
      <c r="D236">
        <v>0.16899999999999998</v>
      </c>
      <c r="E236">
        <v>4.4438550000000001</v>
      </c>
      <c r="F236" t="s">
        <v>18</v>
      </c>
      <c r="G236">
        <v>0.11599999999999999</v>
      </c>
      <c r="H236">
        <v>0.51548717999999993</v>
      </c>
      <c r="I236" t="s">
        <v>11</v>
      </c>
      <c r="J236">
        <v>0.44</v>
      </c>
      <c r="K236">
        <v>0.22681435919999998</v>
      </c>
      <c r="L236" t="s">
        <v>32</v>
      </c>
      <c r="M236">
        <v>7.4999999999999997E-2</v>
      </c>
      <c r="N236">
        <v>3.8661538499999995E-2</v>
      </c>
    </row>
    <row r="237" spans="1:14" x14ac:dyDescent="0.25">
      <c r="A237" s="23">
        <v>43334</v>
      </c>
      <c r="B237">
        <v>26.295000000000002</v>
      </c>
      <c r="C237" t="s">
        <v>2</v>
      </c>
      <c r="D237">
        <v>0.16899999999999998</v>
      </c>
      <c r="E237">
        <v>4.4438550000000001</v>
      </c>
      <c r="F237" t="s">
        <v>18</v>
      </c>
      <c r="G237">
        <v>0.11599999999999999</v>
      </c>
      <c r="H237">
        <v>0.51548717999999993</v>
      </c>
      <c r="I237" t="s">
        <v>12</v>
      </c>
      <c r="J237">
        <v>0.04</v>
      </c>
      <c r="K237">
        <v>2.0619487199999998E-2</v>
      </c>
      <c r="L237" t="s">
        <v>33</v>
      </c>
      <c r="M237">
        <v>8.900000000000001E-2</v>
      </c>
      <c r="N237">
        <v>4.5878359020000002E-2</v>
      </c>
    </row>
    <row r="238" spans="1:14" x14ac:dyDescent="0.25">
      <c r="A238" s="23">
        <v>43335</v>
      </c>
      <c r="B238">
        <v>26.295000000000002</v>
      </c>
      <c r="C238" t="s">
        <v>2</v>
      </c>
      <c r="D238">
        <v>0.16899999999999998</v>
      </c>
      <c r="E238">
        <v>4.4438550000000001</v>
      </c>
      <c r="F238" t="s">
        <v>18</v>
      </c>
      <c r="G238">
        <v>0.11599999999999999</v>
      </c>
      <c r="H238">
        <v>0.51548717999999993</v>
      </c>
      <c r="I238" t="s">
        <v>7</v>
      </c>
      <c r="J238">
        <v>0.105</v>
      </c>
      <c r="K238">
        <v>5.4126153899999994E-2</v>
      </c>
      <c r="L238" t="s">
        <v>34</v>
      </c>
      <c r="M238">
        <v>0.113</v>
      </c>
      <c r="N238">
        <v>5.8250051339999998E-2</v>
      </c>
    </row>
    <row r="239" spans="1:14" x14ac:dyDescent="0.25">
      <c r="A239" s="23">
        <v>43336</v>
      </c>
      <c r="B239">
        <v>26.295000000000002</v>
      </c>
      <c r="C239" t="s">
        <v>2</v>
      </c>
      <c r="D239">
        <v>0.16899999999999998</v>
      </c>
      <c r="E239">
        <v>4.4438550000000001</v>
      </c>
      <c r="F239" t="s">
        <v>18</v>
      </c>
      <c r="G239">
        <v>0.11599999999999999</v>
      </c>
      <c r="H239">
        <v>0.51548717999999993</v>
      </c>
      <c r="I239" t="s">
        <v>8</v>
      </c>
      <c r="J239">
        <v>0.20300000000000001</v>
      </c>
      <c r="K239">
        <v>7.2168205199999984E-3</v>
      </c>
      <c r="L239" t="s">
        <v>35</v>
      </c>
      <c r="M239">
        <v>0.23</v>
      </c>
      <c r="N239">
        <v>0.11856205139999999</v>
      </c>
    </row>
    <row r="240" spans="1:14" x14ac:dyDescent="0.25">
      <c r="A240" s="23">
        <v>43337</v>
      </c>
      <c r="B240">
        <v>26.295000000000002</v>
      </c>
      <c r="C240" t="s">
        <v>2</v>
      </c>
      <c r="D240">
        <v>0.16899999999999998</v>
      </c>
      <c r="E240">
        <v>4.4438550000000001</v>
      </c>
      <c r="F240" t="s">
        <v>18</v>
      </c>
      <c r="G240">
        <v>0.11599999999999999</v>
      </c>
      <c r="H240">
        <v>0.51548717999999993</v>
      </c>
      <c r="I240" t="s">
        <v>10</v>
      </c>
      <c r="J240">
        <v>4.7E-2</v>
      </c>
      <c r="K240">
        <v>0.10464389753999999</v>
      </c>
      <c r="L240" t="s">
        <v>36</v>
      </c>
      <c r="M240">
        <v>0.27200000000000002</v>
      </c>
      <c r="N240">
        <v>0.14021251295999998</v>
      </c>
    </row>
    <row r="241" spans="1:14" x14ac:dyDescent="0.25">
      <c r="A241" s="23">
        <v>43338</v>
      </c>
      <c r="B241">
        <v>26.295000000000002</v>
      </c>
      <c r="C241" t="s">
        <v>2</v>
      </c>
      <c r="D241">
        <v>0.16899999999999998</v>
      </c>
      <c r="E241">
        <v>4.4438550000000001</v>
      </c>
      <c r="F241" t="s">
        <v>48</v>
      </c>
      <c r="G241">
        <v>0.11599999999999999</v>
      </c>
      <c r="H241">
        <v>0.51548717999999993</v>
      </c>
      <c r="I241" t="s">
        <v>9</v>
      </c>
      <c r="J241">
        <v>0.15</v>
      </c>
      <c r="K241">
        <v>7.732307699999999E-2</v>
      </c>
      <c r="L241" t="s">
        <v>37</v>
      </c>
      <c r="M241">
        <v>0.159</v>
      </c>
      <c r="N241">
        <v>8.1962461619999996E-2</v>
      </c>
    </row>
    <row r="242" spans="1:14" x14ac:dyDescent="0.25">
      <c r="A242" s="23">
        <v>43339</v>
      </c>
      <c r="B242">
        <v>26.295000000000002</v>
      </c>
      <c r="C242" t="s">
        <v>2</v>
      </c>
      <c r="D242">
        <v>0.16899999999999998</v>
      </c>
      <c r="E242">
        <v>4.4438550000000001</v>
      </c>
      <c r="F242" t="s">
        <v>18</v>
      </c>
      <c r="G242">
        <v>0.11599999999999999</v>
      </c>
      <c r="H242">
        <v>0.51548717999999993</v>
      </c>
      <c r="I242" t="s">
        <v>55</v>
      </c>
      <c r="J242">
        <v>1.3999999999999999E-2</v>
      </c>
      <c r="K242">
        <v>7.2168205199999984E-3</v>
      </c>
      <c r="L242" t="s">
        <v>38</v>
      </c>
      <c r="M242">
        <v>3.4000000000000002E-2</v>
      </c>
      <c r="N242">
        <v>1.7526564119999997E-2</v>
      </c>
    </row>
    <row r="243" spans="1:14" x14ac:dyDescent="0.25">
      <c r="A243" s="23">
        <v>43340</v>
      </c>
      <c r="B243">
        <v>26.295000000000002</v>
      </c>
      <c r="C243" t="s">
        <v>2</v>
      </c>
      <c r="D243">
        <v>0.16899999999999998</v>
      </c>
      <c r="E243">
        <v>4.4438550000000001</v>
      </c>
      <c r="F243" t="s">
        <v>18</v>
      </c>
      <c r="G243">
        <v>0.11599999999999999</v>
      </c>
      <c r="H243">
        <v>0.51548717999999993</v>
      </c>
      <c r="L243" t="s">
        <v>39</v>
      </c>
      <c r="M243">
        <v>2.7999999999999997E-2</v>
      </c>
      <c r="N243">
        <v>1.4433641039999997E-2</v>
      </c>
    </row>
    <row r="244" spans="1:14" x14ac:dyDescent="0.25">
      <c r="A244" s="23">
        <v>43341</v>
      </c>
      <c r="B244">
        <v>26.295000000000002</v>
      </c>
      <c r="C244" t="s">
        <v>19</v>
      </c>
      <c r="D244">
        <v>0.83099999999999996</v>
      </c>
      <c r="E244">
        <v>21.851144999999999</v>
      </c>
      <c r="F244" t="s">
        <v>54</v>
      </c>
      <c r="G244">
        <v>0.79799999999999993</v>
      </c>
      <c r="H244">
        <v>17.437213709999998</v>
      </c>
      <c r="I244" t="s">
        <v>11</v>
      </c>
      <c r="J244">
        <v>0.126</v>
      </c>
      <c r="K244">
        <v>2.1970889274599998</v>
      </c>
      <c r="L244" t="s">
        <v>32</v>
      </c>
      <c r="M244">
        <v>4.5999999999999999E-2</v>
      </c>
      <c r="N244">
        <v>0.80211183065999991</v>
      </c>
    </row>
    <row r="245" spans="1:14" x14ac:dyDescent="0.25">
      <c r="A245" s="23">
        <v>43342</v>
      </c>
      <c r="B245">
        <v>26.295000000000002</v>
      </c>
      <c r="C245" t="s">
        <v>19</v>
      </c>
      <c r="D245">
        <v>0.83099999999999996</v>
      </c>
      <c r="E245">
        <v>21.851144999999999</v>
      </c>
      <c r="F245" t="s">
        <v>14</v>
      </c>
      <c r="G245">
        <v>0.79799999999999993</v>
      </c>
      <c r="H245">
        <v>17.437213709999998</v>
      </c>
      <c r="I245" t="s">
        <v>12</v>
      </c>
      <c r="J245">
        <v>7.0999999999999994E-2</v>
      </c>
      <c r="K245">
        <v>1.2380421734099998</v>
      </c>
      <c r="L245" t="s">
        <v>33</v>
      </c>
      <c r="M245">
        <v>8.4000000000000005E-2</v>
      </c>
      <c r="N245">
        <v>1.46472595164</v>
      </c>
    </row>
    <row r="246" spans="1:14" x14ac:dyDescent="0.25">
      <c r="A246" s="23">
        <v>43343</v>
      </c>
      <c r="B246">
        <v>26.295000000000002</v>
      </c>
      <c r="C246" t="s">
        <v>19</v>
      </c>
      <c r="D246">
        <v>0.83099999999999996</v>
      </c>
      <c r="E246">
        <v>21.851144999999999</v>
      </c>
      <c r="F246" t="s">
        <v>14</v>
      </c>
      <c r="G246">
        <v>0.79799999999999993</v>
      </c>
      <c r="H246">
        <v>17.437213709999998</v>
      </c>
      <c r="I246" t="s">
        <v>7</v>
      </c>
      <c r="J246">
        <v>0.16</v>
      </c>
      <c r="K246">
        <v>2.7899541935999999</v>
      </c>
      <c r="L246" t="s">
        <v>34</v>
      </c>
      <c r="M246">
        <v>0.151</v>
      </c>
      <c r="N246">
        <v>2.6330192702099997</v>
      </c>
    </row>
    <row r="247" spans="1:14" x14ac:dyDescent="0.25">
      <c r="A247" s="23">
        <v>43344</v>
      </c>
      <c r="B247">
        <v>26.295000000000002</v>
      </c>
      <c r="C247" t="s">
        <v>19</v>
      </c>
      <c r="D247">
        <v>0.83099999999999996</v>
      </c>
      <c r="E247">
        <v>21.851144999999999</v>
      </c>
      <c r="F247" t="s">
        <v>14</v>
      </c>
      <c r="G247">
        <v>0.79799999999999993</v>
      </c>
      <c r="H247">
        <v>17.437213709999998</v>
      </c>
      <c r="I247" t="s">
        <v>8</v>
      </c>
      <c r="J247">
        <v>0.36499999999999999</v>
      </c>
      <c r="K247">
        <v>6.3645830041499991</v>
      </c>
      <c r="L247" t="s">
        <v>35</v>
      </c>
      <c r="M247">
        <v>0.249</v>
      </c>
      <c r="N247">
        <v>4.3418662137899995</v>
      </c>
    </row>
    <row r="248" spans="1:14" x14ac:dyDescent="0.25">
      <c r="A248" s="23">
        <v>43345</v>
      </c>
      <c r="B248">
        <v>26.295000000000002</v>
      </c>
      <c r="C248" t="s">
        <v>19</v>
      </c>
      <c r="D248">
        <v>0.83099999999999996</v>
      </c>
      <c r="E248">
        <v>21.851144999999999</v>
      </c>
      <c r="F248" t="s">
        <v>14</v>
      </c>
      <c r="G248">
        <v>0.79799999999999993</v>
      </c>
      <c r="H248">
        <v>17.437213709999998</v>
      </c>
      <c r="I248" t="s">
        <v>10</v>
      </c>
      <c r="J248">
        <v>3.1E-2</v>
      </c>
      <c r="K248">
        <v>0.54055362500999993</v>
      </c>
      <c r="L248" t="s">
        <v>36</v>
      </c>
      <c r="M248">
        <v>0.218</v>
      </c>
      <c r="N248">
        <v>3.8013125887799997</v>
      </c>
    </row>
    <row r="249" spans="1:14" x14ac:dyDescent="0.25">
      <c r="A249" s="23">
        <v>43346</v>
      </c>
      <c r="B249">
        <v>26.295000000000002</v>
      </c>
      <c r="C249" t="s">
        <v>19</v>
      </c>
      <c r="D249">
        <v>0.83099999999999996</v>
      </c>
      <c r="E249">
        <v>21.851144999999999</v>
      </c>
      <c r="F249" t="s">
        <v>14</v>
      </c>
      <c r="G249">
        <v>0.79799999999999993</v>
      </c>
      <c r="H249">
        <v>17.437213709999998</v>
      </c>
      <c r="I249" t="s">
        <v>9</v>
      </c>
      <c r="J249">
        <v>0.22500000000000001</v>
      </c>
      <c r="K249">
        <v>0.40105591532999996</v>
      </c>
      <c r="L249" t="s">
        <v>37</v>
      </c>
      <c r="M249">
        <v>0.21199999999999999</v>
      </c>
      <c r="N249">
        <v>3.6966893065199997</v>
      </c>
    </row>
    <row r="250" spans="1:14" x14ac:dyDescent="0.25">
      <c r="A250" s="23">
        <v>43347</v>
      </c>
      <c r="B250">
        <v>26.295000000000002</v>
      </c>
      <c r="C250" t="s">
        <v>19</v>
      </c>
      <c r="D250">
        <v>0.83099999999999996</v>
      </c>
      <c r="E250">
        <v>21.851144999999999</v>
      </c>
      <c r="F250" t="s">
        <v>14</v>
      </c>
      <c r="G250">
        <v>0.79799999999999993</v>
      </c>
      <c r="H250">
        <v>17.437213709999998</v>
      </c>
      <c r="I250" t="s">
        <v>55</v>
      </c>
      <c r="J250">
        <v>2.3E-2</v>
      </c>
      <c r="L250" t="s">
        <v>38</v>
      </c>
      <c r="M250">
        <v>2.6000000000000002E-2</v>
      </c>
      <c r="N250">
        <v>0.45336755645999999</v>
      </c>
    </row>
    <row r="251" spans="1:14" x14ac:dyDescent="0.25">
      <c r="A251" s="23">
        <v>43348</v>
      </c>
      <c r="B251">
        <v>26.295000000000002</v>
      </c>
      <c r="C251" t="s">
        <v>19</v>
      </c>
      <c r="D251">
        <v>0.83099999999999996</v>
      </c>
      <c r="E251">
        <v>21.851144999999999</v>
      </c>
      <c r="F251" t="s">
        <v>14</v>
      </c>
      <c r="G251">
        <v>0.79799999999999993</v>
      </c>
      <c r="H251">
        <v>17.437213709999998</v>
      </c>
      <c r="L251" t="s">
        <v>39</v>
      </c>
      <c r="M251">
        <v>1.3999999999999999E-2</v>
      </c>
      <c r="N251">
        <v>0.24412099193999995</v>
      </c>
    </row>
    <row r="252" spans="1:14" x14ac:dyDescent="0.25">
      <c r="A252" s="23">
        <v>43349</v>
      </c>
      <c r="B252">
        <v>26.295000000000002</v>
      </c>
      <c r="C252" t="s">
        <v>19</v>
      </c>
      <c r="D252">
        <v>0.83099999999999996</v>
      </c>
      <c r="E252">
        <v>21.851144999999999</v>
      </c>
      <c r="F252" t="s">
        <v>52</v>
      </c>
      <c r="G252">
        <v>0.80299999999999994</v>
      </c>
      <c r="H252">
        <v>17.546469434999999</v>
      </c>
      <c r="I252" t="s">
        <v>11</v>
      </c>
      <c r="J252">
        <v>4.8000000000000001E-2</v>
      </c>
      <c r="K252">
        <v>0.84223053287999994</v>
      </c>
      <c r="L252" t="s">
        <v>32</v>
      </c>
      <c r="M252">
        <v>0.02</v>
      </c>
      <c r="N252">
        <v>0.35092938869999996</v>
      </c>
    </row>
    <row r="253" spans="1:14" x14ac:dyDescent="0.25">
      <c r="A253" s="23">
        <v>43350</v>
      </c>
      <c r="B253">
        <v>26.295000000000002</v>
      </c>
      <c r="C253" t="s">
        <v>19</v>
      </c>
      <c r="D253">
        <v>0.83099999999999996</v>
      </c>
      <c r="E253">
        <v>21.851144999999999</v>
      </c>
      <c r="F253" t="s">
        <v>15</v>
      </c>
      <c r="G253">
        <v>0.80299999999999994</v>
      </c>
      <c r="H253">
        <v>17.546469434999999</v>
      </c>
      <c r="I253" t="s">
        <v>12</v>
      </c>
      <c r="J253">
        <v>5.2999999999999999E-2</v>
      </c>
      <c r="K253">
        <v>0.92996288005499994</v>
      </c>
      <c r="L253" t="s">
        <v>33</v>
      </c>
      <c r="M253">
        <v>0.05</v>
      </c>
      <c r="N253">
        <v>0.87732347175000003</v>
      </c>
    </row>
    <row r="254" spans="1:14" x14ac:dyDescent="0.25">
      <c r="A254" s="23">
        <v>43351</v>
      </c>
      <c r="B254">
        <v>26.295000000000002</v>
      </c>
      <c r="C254" t="s">
        <v>19</v>
      </c>
      <c r="D254">
        <v>0.83099999999999996</v>
      </c>
      <c r="E254">
        <v>21.851144999999999</v>
      </c>
      <c r="F254" t="s">
        <v>15</v>
      </c>
      <c r="G254">
        <v>0.80299999999999994</v>
      </c>
      <c r="H254">
        <v>17.546469434999999</v>
      </c>
      <c r="I254" t="s">
        <v>7</v>
      </c>
      <c r="J254">
        <v>8.8000000000000009E-2</v>
      </c>
      <c r="K254">
        <v>1.54408931028</v>
      </c>
      <c r="L254" t="s">
        <v>34</v>
      </c>
      <c r="M254">
        <v>0.20800000000000002</v>
      </c>
      <c r="N254">
        <v>3.64966564248</v>
      </c>
    </row>
    <row r="255" spans="1:14" x14ac:dyDescent="0.25">
      <c r="A255" s="23">
        <v>43352</v>
      </c>
      <c r="B255">
        <v>26.295000000000002</v>
      </c>
      <c r="C255" t="s">
        <v>19</v>
      </c>
      <c r="D255">
        <v>0.83099999999999996</v>
      </c>
      <c r="E255">
        <v>21.851144999999999</v>
      </c>
      <c r="F255" t="s">
        <v>15</v>
      </c>
      <c r="G255">
        <v>0.80299999999999994</v>
      </c>
      <c r="H255">
        <v>17.546469434999999</v>
      </c>
      <c r="I255" t="s">
        <v>8</v>
      </c>
      <c r="J255">
        <v>0.38299999999999995</v>
      </c>
      <c r="K255">
        <v>6.720297793604999</v>
      </c>
      <c r="L255" t="s">
        <v>35</v>
      </c>
      <c r="M255">
        <v>0.28800000000000003</v>
      </c>
      <c r="N255">
        <v>5.0533831972800005</v>
      </c>
    </row>
    <row r="256" spans="1:14" x14ac:dyDescent="0.25">
      <c r="A256" s="23">
        <v>43353</v>
      </c>
      <c r="B256">
        <v>26.295000000000002</v>
      </c>
      <c r="C256" t="s">
        <v>19</v>
      </c>
      <c r="D256">
        <v>0.83099999999999996</v>
      </c>
      <c r="E256">
        <v>21.851144999999999</v>
      </c>
      <c r="F256" t="s">
        <v>15</v>
      </c>
      <c r="G256">
        <v>0.80299999999999994</v>
      </c>
      <c r="H256">
        <v>17.546469434999999</v>
      </c>
      <c r="I256" t="s">
        <v>10</v>
      </c>
      <c r="J256">
        <v>6.7000000000000004E-2</v>
      </c>
      <c r="K256">
        <v>1.1756134521449999</v>
      </c>
      <c r="L256" t="s">
        <v>36</v>
      </c>
      <c r="M256">
        <v>0.22500000000000001</v>
      </c>
      <c r="N256">
        <v>3.9479556228749999</v>
      </c>
    </row>
    <row r="257" spans="1:14" x14ac:dyDescent="0.25">
      <c r="A257" s="23">
        <v>43354</v>
      </c>
      <c r="B257">
        <v>26.295000000000002</v>
      </c>
      <c r="C257" t="s">
        <v>19</v>
      </c>
      <c r="D257">
        <v>0.83099999999999996</v>
      </c>
      <c r="E257">
        <v>21.851144999999999</v>
      </c>
      <c r="F257" t="s">
        <v>15</v>
      </c>
      <c r="G257">
        <v>0.80299999999999994</v>
      </c>
      <c r="H257">
        <v>17.546469434999999</v>
      </c>
      <c r="I257" t="s">
        <v>9</v>
      </c>
      <c r="J257">
        <v>0.316</v>
      </c>
      <c r="K257">
        <v>5.54468434146</v>
      </c>
      <c r="L257" t="s">
        <v>37</v>
      </c>
      <c r="M257">
        <v>0.19399999999999998</v>
      </c>
      <c r="N257">
        <v>3.4040150703899994</v>
      </c>
    </row>
    <row r="258" spans="1:14" x14ac:dyDescent="0.25">
      <c r="A258" s="23">
        <v>43355</v>
      </c>
      <c r="B258">
        <v>26.295000000000002</v>
      </c>
      <c r="C258" t="s">
        <v>19</v>
      </c>
      <c r="D258">
        <v>0.83099999999999996</v>
      </c>
      <c r="E258">
        <v>21.851144999999999</v>
      </c>
      <c r="F258" t="s">
        <v>15</v>
      </c>
      <c r="G258">
        <v>0.80299999999999994</v>
      </c>
      <c r="H258">
        <v>17.546469434999999</v>
      </c>
      <c r="I258" t="s">
        <v>55</v>
      </c>
      <c r="J258">
        <v>4.4999999999999998E-2</v>
      </c>
      <c r="L258" t="s">
        <v>38</v>
      </c>
      <c r="M258">
        <v>3.0000000000000001E-3</v>
      </c>
      <c r="N258">
        <v>5.2639408304999996E-2</v>
      </c>
    </row>
    <row r="259" spans="1:14" x14ac:dyDescent="0.25">
      <c r="A259" s="23">
        <v>43356</v>
      </c>
      <c r="B259">
        <v>26.295000000000002</v>
      </c>
      <c r="C259" t="s">
        <v>19</v>
      </c>
      <c r="D259">
        <v>0.83099999999999996</v>
      </c>
      <c r="E259">
        <v>21.851144999999999</v>
      </c>
      <c r="F259" t="s">
        <v>15</v>
      </c>
      <c r="G259">
        <v>0.80299999999999994</v>
      </c>
      <c r="H259">
        <v>17.546469434999999</v>
      </c>
      <c r="L259" t="s">
        <v>39</v>
      </c>
      <c r="M259">
        <v>1.2E-2</v>
      </c>
      <c r="N259">
        <v>0.21055763321999998</v>
      </c>
    </row>
    <row r="260" spans="1:14" x14ac:dyDescent="0.25">
      <c r="A260" s="23">
        <v>43357</v>
      </c>
      <c r="B260">
        <v>26.295000000000002</v>
      </c>
      <c r="C260" t="s">
        <v>19</v>
      </c>
      <c r="D260">
        <v>0.83099999999999996</v>
      </c>
      <c r="E260">
        <v>21.851144999999999</v>
      </c>
      <c r="F260" t="s">
        <v>53</v>
      </c>
      <c r="G260">
        <v>0.82499999999999996</v>
      </c>
      <c r="H260">
        <v>18.027194625</v>
      </c>
      <c r="I260" t="s">
        <v>11</v>
      </c>
      <c r="J260">
        <v>0.128</v>
      </c>
      <c r="K260">
        <v>2.3074809119999999</v>
      </c>
      <c r="L260" t="s">
        <v>32</v>
      </c>
      <c r="M260">
        <v>4.9000000000000002E-2</v>
      </c>
      <c r="N260">
        <v>0.883332536625</v>
      </c>
    </row>
    <row r="261" spans="1:14" x14ac:dyDescent="0.25">
      <c r="A261" s="23">
        <v>43358</v>
      </c>
      <c r="B261">
        <v>26.295000000000002</v>
      </c>
      <c r="C261" t="s">
        <v>19</v>
      </c>
      <c r="D261">
        <v>0.83099999999999996</v>
      </c>
      <c r="E261">
        <v>21.851144999999999</v>
      </c>
      <c r="F261" t="s">
        <v>16</v>
      </c>
      <c r="G261">
        <v>0.82499999999999996</v>
      </c>
      <c r="H261">
        <v>18.027194625</v>
      </c>
      <c r="I261" t="s">
        <v>12</v>
      </c>
      <c r="J261">
        <v>6.6000000000000003E-2</v>
      </c>
      <c r="K261">
        <v>1.18979484525</v>
      </c>
      <c r="L261" t="s">
        <v>33</v>
      </c>
      <c r="M261">
        <v>9.3000000000000013E-2</v>
      </c>
      <c r="N261">
        <v>1.6765291001250002</v>
      </c>
    </row>
    <row r="262" spans="1:14" x14ac:dyDescent="0.25">
      <c r="A262" s="23">
        <v>43359</v>
      </c>
      <c r="B262">
        <v>26.295000000000002</v>
      </c>
      <c r="C262" t="s">
        <v>19</v>
      </c>
      <c r="D262">
        <v>0.83099999999999996</v>
      </c>
      <c r="E262">
        <v>21.851144999999999</v>
      </c>
      <c r="F262" t="s">
        <v>16</v>
      </c>
      <c r="G262">
        <v>0.82499999999999996</v>
      </c>
      <c r="H262">
        <v>18.027194625</v>
      </c>
      <c r="I262" t="s">
        <v>7</v>
      </c>
      <c r="J262">
        <v>0.17399999999999999</v>
      </c>
      <c r="K262">
        <v>3.1367318647499998</v>
      </c>
      <c r="L262" t="s">
        <v>34</v>
      </c>
      <c r="M262">
        <v>0.159</v>
      </c>
      <c r="N262">
        <v>2.866323945375</v>
      </c>
    </row>
    <row r="263" spans="1:14" x14ac:dyDescent="0.25">
      <c r="A263" s="23">
        <v>43360</v>
      </c>
      <c r="B263">
        <v>26.295000000000002</v>
      </c>
      <c r="C263" t="s">
        <v>19</v>
      </c>
      <c r="D263">
        <v>0.83099999999999996</v>
      </c>
      <c r="E263">
        <v>21.851144999999999</v>
      </c>
      <c r="F263" t="s">
        <v>16</v>
      </c>
      <c r="G263">
        <v>0.82499999999999996</v>
      </c>
      <c r="H263">
        <v>18.027194625</v>
      </c>
      <c r="I263" t="s">
        <v>8</v>
      </c>
      <c r="J263">
        <v>0.36099999999999999</v>
      </c>
      <c r="K263">
        <v>6.5078172596249999</v>
      </c>
      <c r="L263" t="s">
        <v>35</v>
      </c>
      <c r="M263">
        <v>0.23300000000000001</v>
      </c>
      <c r="N263">
        <v>4.200336347625</v>
      </c>
    </row>
    <row r="264" spans="1:14" x14ac:dyDescent="0.25">
      <c r="A264" s="23">
        <v>43361</v>
      </c>
      <c r="B264">
        <v>26.295000000000002</v>
      </c>
      <c r="C264" t="s">
        <v>19</v>
      </c>
      <c r="D264">
        <v>0.83099999999999996</v>
      </c>
      <c r="E264">
        <v>21.851144999999999</v>
      </c>
      <c r="F264" t="s">
        <v>16</v>
      </c>
      <c r="G264">
        <v>0.82499999999999996</v>
      </c>
      <c r="H264">
        <v>18.027194625</v>
      </c>
      <c r="I264" t="s">
        <v>10</v>
      </c>
      <c r="J264">
        <v>3.7000000000000005E-2</v>
      </c>
      <c r="K264">
        <v>0.66700620112500009</v>
      </c>
      <c r="L264" t="s">
        <v>36</v>
      </c>
      <c r="M264">
        <v>0.22399999999999998</v>
      </c>
      <c r="N264">
        <v>4.0380915959999992</v>
      </c>
    </row>
    <row r="265" spans="1:14" x14ac:dyDescent="0.25">
      <c r="A265" s="23">
        <v>43362</v>
      </c>
      <c r="B265">
        <v>26.295000000000002</v>
      </c>
      <c r="C265" t="s">
        <v>19</v>
      </c>
      <c r="D265">
        <v>0.83099999999999996</v>
      </c>
      <c r="E265">
        <v>21.851144999999999</v>
      </c>
      <c r="F265" t="s">
        <v>16</v>
      </c>
      <c r="G265">
        <v>0.82499999999999996</v>
      </c>
      <c r="H265">
        <v>18.027194625</v>
      </c>
      <c r="I265" t="s">
        <v>9</v>
      </c>
      <c r="J265">
        <v>0.21600000000000003</v>
      </c>
      <c r="K265">
        <v>3.8938740390000004</v>
      </c>
      <c r="L265" t="s">
        <v>37</v>
      </c>
      <c r="M265">
        <v>0.20300000000000001</v>
      </c>
      <c r="N265">
        <v>3.659520508875</v>
      </c>
    </row>
    <row r="266" spans="1:14" x14ac:dyDescent="0.25">
      <c r="A266" s="23">
        <v>43363</v>
      </c>
      <c r="B266">
        <v>26.295000000000002</v>
      </c>
      <c r="C266" t="s">
        <v>19</v>
      </c>
      <c r="D266">
        <v>0.83099999999999996</v>
      </c>
      <c r="E266">
        <v>21.851144999999999</v>
      </c>
      <c r="F266" t="s">
        <v>16</v>
      </c>
      <c r="G266">
        <v>0.82499999999999996</v>
      </c>
      <c r="H266">
        <v>18.027194625</v>
      </c>
      <c r="I266" t="s">
        <v>55</v>
      </c>
      <c r="J266">
        <v>1.7000000000000001E-2</v>
      </c>
      <c r="L266" t="s">
        <v>38</v>
      </c>
      <c r="M266">
        <v>2.7000000000000003E-2</v>
      </c>
      <c r="N266">
        <v>0.48673425487500005</v>
      </c>
    </row>
    <row r="267" spans="1:14" x14ac:dyDescent="0.25">
      <c r="A267" s="23">
        <v>43364</v>
      </c>
      <c r="B267">
        <v>26.295000000000002</v>
      </c>
      <c r="C267" t="s">
        <v>19</v>
      </c>
      <c r="D267">
        <v>0.83099999999999996</v>
      </c>
      <c r="E267">
        <v>21.851144999999999</v>
      </c>
      <c r="F267" t="s">
        <v>16</v>
      </c>
      <c r="G267">
        <v>0.82499999999999996</v>
      </c>
      <c r="H267">
        <v>18.027194625</v>
      </c>
      <c r="L267" t="s">
        <v>39</v>
      </c>
      <c r="M267">
        <v>1.3000000000000001E-2</v>
      </c>
      <c r="N267">
        <v>0.23435353012500001</v>
      </c>
    </row>
    <row r="268" spans="1:14" x14ac:dyDescent="0.25">
      <c r="A268" s="23">
        <v>43365</v>
      </c>
      <c r="B268">
        <v>26.295000000000002</v>
      </c>
      <c r="C268" t="s">
        <v>19</v>
      </c>
      <c r="D268">
        <v>0.83099999999999996</v>
      </c>
      <c r="E268">
        <v>21.851144999999999</v>
      </c>
      <c r="F268" t="s">
        <v>51</v>
      </c>
      <c r="G268">
        <v>0.80900000000000005</v>
      </c>
      <c r="H268">
        <v>17.677576304999999</v>
      </c>
      <c r="I268" t="s">
        <v>11</v>
      </c>
      <c r="J268">
        <v>0.19600000000000001</v>
      </c>
      <c r="K268">
        <v>3.46480495578</v>
      </c>
      <c r="L268" t="s">
        <v>32</v>
      </c>
      <c r="M268">
        <v>0.05</v>
      </c>
      <c r="N268">
        <v>0.88387881525000001</v>
      </c>
    </row>
    <row r="269" spans="1:14" x14ac:dyDescent="0.25">
      <c r="A269" s="23">
        <v>43366</v>
      </c>
      <c r="B269">
        <v>26.295000000000002</v>
      </c>
      <c r="C269" t="s">
        <v>19</v>
      </c>
      <c r="D269">
        <v>0.83099999999999996</v>
      </c>
      <c r="E269">
        <v>21.851144999999999</v>
      </c>
      <c r="F269" t="s">
        <v>13</v>
      </c>
      <c r="G269">
        <v>0.80900000000000005</v>
      </c>
      <c r="H269">
        <v>17.677576304999999</v>
      </c>
      <c r="I269" t="s">
        <v>12</v>
      </c>
      <c r="J269">
        <v>9.6999999999999989E-2</v>
      </c>
      <c r="K269">
        <v>1.7147249015849997</v>
      </c>
      <c r="L269" t="s">
        <v>33</v>
      </c>
      <c r="M269">
        <v>0.1</v>
      </c>
      <c r="N269">
        <v>1.7677576305</v>
      </c>
    </row>
    <row r="270" spans="1:14" x14ac:dyDescent="0.25">
      <c r="A270" s="23">
        <v>43367</v>
      </c>
      <c r="B270">
        <v>26.295000000000002</v>
      </c>
      <c r="C270" t="s">
        <v>19</v>
      </c>
      <c r="D270">
        <v>0.83099999999999996</v>
      </c>
      <c r="E270">
        <v>21.851144999999999</v>
      </c>
      <c r="F270" t="s">
        <v>13</v>
      </c>
      <c r="G270">
        <v>0.80900000000000005</v>
      </c>
      <c r="H270">
        <v>17.677576304999999</v>
      </c>
      <c r="I270" t="s">
        <v>7</v>
      </c>
      <c r="J270">
        <v>0.17800000000000002</v>
      </c>
      <c r="K270">
        <v>3.1466085822900003</v>
      </c>
      <c r="L270" t="s">
        <v>34</v>
      </c>
      <c r="M270">
        <v>0.13900000000000001</v>
      </c>
      <c r="N270">
        <v>2.457183106395</v>
      </c>
    </row>
    <row r="271" spans="1:14" x14ac:dyDescent="0.25">
      <c r="A271" s="23">
        <v>43368</v>
      </c>
      <c r="B271">
        <v>26.295000000000002</v>
      </c>
      <c r="C271" t="s">
        <v>19</v>
      </c>
      <c r="D271">
        <v>0.83099999999999996</v>
      </c>
      <c r="E271">
        <v>21.851144999999999</v>
      </c>
      <c r="F271" t="s">
        <v>13</v>
      </c>
      <c r="G271">
        <v>0.80900000000000005</v>
      </c>
      <c r="H271">
        <v>17.677576304999999</v>
      </c>
      <c r="I271" t="s">
        <v>8</v>
      </c>
      <c r="J271">
        <v>0.35799999999999998</v>
      </c>
      <c r="K271">
        <v>6.328572317189999</v>
      </c>
      <c r="L271" t="s">
        <v>35</v>
      </c>
      <c r="M271">
        <v>0.245</v>
      </c>
      <c r="N271">
        <v>4.331006194725</v>
      </c>
    </row>
    <row r="272" spans="1:14" x14ac:dyDescent="0.25">
      <c r="A272" s="23">
        <v>43369</v>
      </c>
      <c r="B272">
        <v>26.295000000000002</v>
      </c>
      <c r="C272" t="s">
        <v>19</v>
      </c>
      <c r="D272">
        <v>0.83099999999999996</v>
      </c>
      <c r="E272">
        <v>21.851144999999999</v>
      </c>
      <c r="F272" t="s">
        <v>13</v>
      </c>
      <c r="G272">
        <v>0.80900000000000005</v>
      </c>
      <c r="H272">
        <v>17.677576304999999</v>
      </c>
      <c r="I272" t="s">
        <v>10</v>
      </c>
      <c r="J272">
        <v>2.7999999999999997E-2</v>
      </c>
      <c r="K272">
        <v>0.49497213653999994</v>
      </c>
      <c r="L272" t="s">
        <v>36</v>
      </c>
      <c r="M272">
        <v>0.222</v>
      </c>
      <c r="N272">
        <v>3.9244219397099998</v>
      </c>
    </row>
    <row r="273" spans="1:14" x14ac:dyDescent="0.25">
      <c r="A273" s="23">
        <v>43370</v>
      </c>
      <c r="B273">
        <v>26.295000000000002</v>
      </c>
      <c r="C273" t="s">
        <v>19</v>
      </c>
      <c r="D273">
        <v>0.83099999999999996</v>
      </c>
      <c r="E273">
        <v>21.851144999999999</v>
      </c>
      <c r="F273" t="s">
        <v>13</v>
      </c>
      <c r="G273">
        <v>0.80900000000000005</v>
      </c>
      <c r="H273">
        <v>17.677576304999999</v>
      </c>
      <c r="I273" t="s">
        <v>9</v>
      </c>
      <c r="J273">
        <v>0.122</v>
      </c>
      <c r="K273">
        <v>2.15666430921</v>
      </c>
      <c r="L273" t="s">
        <v>37</v>
      </c>
      <c r="M273">
        <v>0.19399999999999998</v>
      </c>
      <c r="N273">
        <v>3.4294498031699994</v>
      </c>
    </row>
    <row r="274" spans="1:14" x14ac:dyDescent="0.25">
      <c r="A274" s="23">
        <v>43371</v>
      </c>
      <c r="B274">
        <v>26.295000000000002</v>
      </c>
      <c r="C274" t="s">
        <v>19</v>
      </c>
      <c r="D274">
        <v>0.83099999999999996</v>
      </c>
      <c r="E274">
        <v>21.851144999999999</v>
      </c>
      <c r="F274" t="s">
        <v>13</v>
      </c>
      <c r="G274">
        <v>0.80900000000000005</v>
      </c>
      <c r="H274">
        <v>17.677576304999999</v>
      </c>
      <c r="I274" t="s">
        <v>55</v>
      </c>
      <c r="J274">
        <v>2.2000000000000002E-2</v>
      </c>
      <c r="L274" t="s">
        <v>38</v>
      </c>
      <c r="M274">
        <v>0.03</v>
      </c>
      <c r="N274">
        <v>0.53032728914999994</v>
      </c>
    </row>
    <row r="275" spans="1:14" x14ac:dyDescent="0.25">
      <c r="A275" s="23">
        <v>43372</v>
      </c>
      <c r="B275">
        <v>26.295000000000002</v>
      </c>
      <c r="C275" t="s">
        <v>19</v>
      </c>
      <c r="D275">
        <v>0.83099999999999996</v>
      </c>
      <c r="E275">
        <v>21.851144999999999</v>
      </c>
      <c r="F275" t="s">
        <v>13</v>
      </c>
      <c r="G275">
        <v>0.80900000000000005</v>
      </c>
      <c r="H275">
        <v>17.677576304999999</v>
      </c>
      <c r="L275" t="s">
        <v>39</v>
      </c>
      <c r="M275">
        <v>0.02</v>
      </c>
      <c r="N275">
        <v>0.35355152609999996</v>
      </c>
    </row>
    <row r="276" spans="1:14" x14ac:dyDescent="0.25">
      <c r="A276" s="23">
        <v>43373</v>
      </c>
      <c r="B276">
        <v>26.295000000000002</v>
      </c>
      <c r="C276" t="s">
        <v>19</v>
      </c>
      <c r="D276">
        <v>0.83099999999999996</v>
      </c>
      <c r="E276">
        <v>21.851144999999999</v>
      </c>
      <c r="F276" t="s">
        <v>50</v>
      </c>
      <c r="G276">
        <v>0.82799999999999996</v>
      </c>
      <c r="H276">
        <v>18.092748059999998</v>
      </c>
      <c r="I276" t="s">
        <v>11</v>
      </c>
      <c r="J276">
        <v>9.4E-2</v>
      </c>
      <c r="K276">
        <v>1.7007183176399998</v>
      </c>
      <c r="L276" t="s">
        <v>32</v>
      </c>
      <c r="M276">
        <v>4.2000000000000003E-2</v>
      </c>
      <c r="N276">
        <v>0.75989541851999998</v>
      </c>
    </row>
    <row r="277" spans="1:14" x14ac:dyDescent="0.25">
      <c r="A277" s="23">
        <v>43374</v>
      </c>
      <c r="B277">
        <v>26.295000000000002</v>
      </c>
      <c r="C277" t="s">
        <v>19</v>
      </c>
      <c r="D277">
        <v>0.83099999999999996</v>
      </c>
      <c r="E277">
        <v>21.851144999999999</v>
      </c>
      <c r="F277" t="s">
        <v>17</v>
      </c>
      <c r="G277">
        <v>0.82799999999999996</v>
      </c>
      <c r="H277">
        <v>18.092748059999998</v>
      </c>
      <c r="I277" t="s">
        <v>12</v>
      </c>
      <c r="J277">
        <v>0.10800000000000001</v>
      </c>
      <c r="K277">
        <v>1.9540167904800001</v>
      </c>
      <c r="L277" t="s">
        <v>33</v>
      </c>
      <c r="M277">
        <v>9.4E-2</v>
      </c>
      <c r="N277">
        <v>1.7007183176399998</v>
      </c>
    </row>
    <row r="278" spans="1:14" x14ac:dyDescent="0.25">
      <c r="A278" s="23">
        <v>43375</v>
      </c>
      <c r="B278">
        <v>26.295000000000002</v>
      </c>
      <c r="C278" t="s">
        <v>19</v>
      </c>
      <c r="D278">
        <v>0.83099999999999996</v>
      </c>
      <c r="E278">
        <v>21.851144999999999</v>
      </c>
      <c r="F278" t="s">
        <v>17</v>
      </c>
      <c r="G278">
        <v>0.82799999999999996</v>
      </c>
      <c r="H278">
        <v>18.092748059999998</v>
      </c>
      <c r="I278" t="s">
        <v>7</v>
      </c>
      <c r="J278">
        <v>0.155</v>
      </c>
      <c r="K278">
        <v>2.8043759492999998</v>
      </c>
      <c r="L278" t="s">
        <v>34</v>
      </c>
      <c r="M278">
        <v>0.154</v>
      </c>
      <c r="N278">
        <v>2.7862832012399998</v>
      </c>
    </row>
    <row r="279" spans="1:14" x14ac:dyDescent="0.25">
      <c r="A279" s="23">
        <v>43376</v>
      </c>
      <c r="B279">
        <v>26.295000000000002</v>
      </c>
      <c r="C279" t="s">
        <v>19</v>
      </c>
      <c r="D279">
        <v>0.83099999999999996</v>
      </c>
      <c r="E279">
        <v>21.851144999999999</v>
      </c>
      <c r="F279" t="s">
        <v>17</v>
      </c>
      <c r="G279">
        <v>0.82799999999999996</v>
      </c>
      <c r="H279">
        <v>18.092748059999998</v>
      </c>
      <c r="I279" t="s">
        <v>8</v>
      </c>
      <c r="J279">
        <v>0.35899999999999999</v>
      </c>
      <c r="K279">
        <v>6.4952965535399994</v>
      </c>
      <c r="L279" t="s">
        <v>35</v>
      </c>
      <c r="M279">
        <v>0.25</v>
      </c>
      <c r="N279">
        <v>4.5231870149999995</v>
      </c>
    </row>
    <row r="280" spans="1:14" x14ac:dyDescent="0.25">
      <c r="A280" s="23">
        <v>43377</v>
      </c>
      <c r="B280">
        <v>26.295000000000002</v>
      </c>
      <c r="C280" t="s">
        <v>19</v>
      </c>
      <c r="D280">
        <v>0.83099999999999996</v>
      </c>
      <c r="E280">
        <v>21.851144999999999</v>
      </c>
      <c r="F280" t="s">
        <v>17</v>
      </c>
      <c r="G280">
        <v>0.82799999999999996</v>
      </c>
      <c r="H280">
        <v>18.092748059999998</v>
      </c>
      <c r="I280" t="s">
        <v>10</v>
      </c>
      <c r="J280">
        <v>6.7000000000000004E-2</v>
      </c>
      <c r="K280">
        <v>1.2122141200199998</v>
      </c>
      <c r="L280" t="s">
        <v>36</v>
      </c>
      <c r="M280">
        <v>0.27200000000000002</v>
      </c>
      <c r="N280">
        <v>4.5231870149999995</v>
      </c>
    </row>
    <row r="281" spans="1:14" x14ac:dyDescent="0.25">
      <c r="A281" s="23">
        <v>43378</v>
      </c>
      <c r="B281">
        <v>26.295000000000002</v>
      </c>
      <c r="C281" t="s">
        <v>19</v>
      </c>
      <c r="D281">
        <v>0.83099999999999996</v>
      </c>
      <c r="E281">
        <v>21.851144999999999</v>
      </c>
      <c r="F281" t="s">
        <v>17</v>
      </c>
      <c r="G281">
        <v>0.82799999999999996</v>
      </c>
      <c r="H281">
        <v>18.092748059999998</v>
      </c>
      <c r="I281" t="s">
        <v>9</v>
      </c>
      <c r="J281">
        <v>0.183</v>
      </c>
      <c r="K281">
        <v>3.3109728949799995</v>
      </c>
      <c r="L281" t="s">
        <v>37</v>
      </c>
      <c r="M281">
        <v>0.17100000000000001</v>
      </c>
      <c r="N281">
        <v>4.92122747232</v>
      </c>
    </row>
    <row r="282" spans="1:14" x14ac:dyDescent="0.25">
      <c r="A282" s="23">
        <v>43379</v>
      </c>
      <c r="B282">
        <v>26.295000000000002</v>
      </c>
      <c r="C282" t="s">
        <v>19</v>
      </c>
      <c r="D282">
        <v>0.83099999999999996</v>
      </c>
      <c r="E282">
        <v>21.851144999999999</v>
      </c>
      <c r="F282" t="s">
        <v>17</v>
      </c>
      <c r="G282">
        <v>0.82799999999999996</v>
      </c>
      <c r="H282">
        <v>18.092748059999998</v>
      </c>
      <c r="I282" t="s">
        <v>55</v>
      </c>
      <c r="J282">
        <v>3.2000000000000001E-2</v>
      </c>
      <c r="L282" t="s">
        <v>38</v>
      </c>
      <c r="M282">
        <v>6.0000000000000001E-3</v>
      </c>
      <c r="N282">
        <v>3.0938599182599997</v>
      </c>
    </row>
    <row r="283" spans="1:14" x14ac:dyDescent="0.25">
      <c r="A283" s="23">
        <v>43380</v>
      </c>
      <c r="B283">
        <v>26.295000000000002</v>
      </c>
      <c r="C283" t="s">
        <v>19</v>
      </c>
      <c r="D283">
        <v>0.83099999999999996</v>
      </c>
      <c r="E283">
        <v>21.851144999999999</v>
      </c>
      <c r="F283" t="s">
        <v>17</v>
      </c>
      <c r="G283">
        <v>0.82799999999999996</v>
      </c>
      <c r="H283">
        <v>18.092748059999998</v>
      </c>
      <c r="L283" t="s">
        <v>39</v>
      </c>
      <c r="M283">
        <v>6.0000000000000001E-3</v>
      </c>
      <c r="N283">
        <v>0.10855648835999999</v>
      </c>
    </row>
    <row r="284" spans="1:14" x14ac:dyDescent="0.25">
      <c r="A284" s="23">
        <v>43381</v>
      </c>
      <c r="B284">
        <v>26.295000000000002</v>
      </c>
      <c r="C284" t="s">
        <v>19</v>
      </c>
      <c r="D284">
        <v>0.83099999999999996</v>
      </c>
      <c r="E284">
        <v>21.851144999999999</v>
      </c>
      <c r="F284" t="s">
        <v>49</v>
      </c>
      <c r="G284">
        <v>0.88400000000000001</v>
      </c>
      <c r="H284">
        <v>19.31641218</v>
      </c>
      <c r="I284" t="s">
        <v>11</v>
      </c>
      <c r="J284">
        <v>0.251</v>
      </c>
      <c r="K284">
        <v>4.8484194571800003</v>
      </c>
      <c r="L284" t="s">
        <v>32</v>
      </c>
      <c r="M284">
        <v>8.3000000000000004E-2</v>
      </c>
      <c r="N284">
        <v>1.6032622109400001</v>
      </c>
    </row>
    <row r="285" spans="1:14" x14ac:dyDescent="0.25">
      <c r="A285" s="23">
        <v>43382</v>
      </c>
      <c r="B285">
        <v>26.295000000000002</v>
      </c>
      <c r="C285" t="s">
        <v>19</v>
      </c>
      <c r="D285">
        <v>0.83099999999999996</v>
      </c>
      <c r="E285">
        <v>21.851144999999999</v>
      </c>
      <c r="F285" t="s">
        <v>18</v>
      </c>
      <c r="G285">
        <v>0.88400000000000001</v>
      </c>
      <c r="H285">
        <v>19.31641218</v>
      </c>
      <c r="I285" t="s">
        <v>12</v>
      </c>
      <c r="J285">
        <v>7.2999999999999995E-2</v>
      </c>
      <c r="K285">
        <v>1.4100980891399999</v>
      </c>
      <c r="L285" t="s">
        <v>33</v>
      </c>
      <c r="M285">
        <v>0.13200000000000001</v>
      </c>
      <c r="N285">
        <v>2.54976640776</v>
      </c>
    </row>
    <row r="286" spans="1:14" x14ac:dyDescent="0.25">
      <c r="A286" s="23">
        <v>43383</v>
      </c>
      <c r="B286">
        <v>26.295000000000002</v>
      </c>
      <c r="C286" t="s">
        <v>19</v>
      </c>
      <c r="D286">
        <v>0.83099999999999996</v>
      </c>
      <c r="E286">
        <v>21.851144999999999</v>
      </c>
      <c r="F286" t="s">
        <v>18</v>
      </c>
      <c r="G286">
        <v>0.88400000000000001</v>
      </c>
      <c r="H286">
        <v>19.31641218</v>
      </c>
      <c r="I286" t="s">
        <v>7</v>
      </c>
      <c r="J286">
        <v>0.19899999999999998</v>
      </c>
      <c r="K286">
        <v>3.8439660238199997</v>
      </c>
      <c r="L286" t="s">
        <v>34</v>
      </c>
      <c r="M286">
        <v>0.14199999999999999</v>
      </c>
      <c r="N286">
        <v>2.7429305295599997</v>
      </c>
    </row>
    <row r="287" spans="1:14" x14ac:dyDescent="0.25">
      <c r="A287" s="23">
        <v>43384</v>
      </c>
      <c r="B287">
        <v>26.295000000000002</v>
      </c>
      <c r="C287" t="s">
        <v>19</v>
      </c>
      <c r="D287">
        <v>0.83099999999999996</v>
      </c>
      <c r="E287">
        <v>21.851144999999999</v>
      </c>
      <c r="F287" t="s">
        <v>18</v>
      </c>
      <c r="G287">
        <v>0.88400000000000001</v>
      </c>
      <c r="H287">
        <v>19.31641218</v>
      </c>
      <c r="I287" t="s">
        <v>8</v>
      </c>
      <c r="J287">
        <v>0.35</v>
      </c>
      <c r="K287">
        <v>6.7607442629999994</v>
      </c>
      <c r="L287" t="s">
        <v>35</v>
      </c>
      <c r="M287">
        <v>0.22399999999999998</v>
      </c>
      <c r="N287">
        <v>4.32687632832</v>
      </c>
    </row>
    <row r="288" spans="1:14" x14ac:dyDescent="0.25">
      <c r="A288" s="23">
        <v>43385</v>
      </c>
      <c r="B288">
        <v>26.295000000000002</v>
      </c>
      <c r="C288" t="s">
        <v>19</v>
      </c>
      <c r="D288">
        <v>0.83099999999999996</v>
      </c>
      <c r="E288">
        <v>21.851144999999999</v>
      </c>
      <c r="F288" t="s">
        <v>18</v>
      </c>
      <c r="G288">
        <v>0.88400000000000001</v>
      </c>
      <c r="H288">
        <v>19.31641218</v>
      </c>
      <c r="I288" t="s">
        <v>10</v>
      </c>
      <c r="J288">
        <v>2.5000000000000001E-2</v>
      </c>
      <c r="K288">
        <v>0.48291030450000005</v>
      </c>
      <c r="L288" t="s">
        <v>36</v>
      </c>
      <c r="M288">
        <v>0.20100000000000001</v>
      </c>
      <c r="N288">
        <v>3.8825988481800002</v>
      </c>
    </row>
    <row r="289" spans="1:14" x14ac:dyDescent="0.25">
      <c r="A289" s="23">
        <v>43386</v>
      </c>
      <c r="B289">
        <v>26.295000000000002</v>
      </c>
      <c r="C289" t="s">
        <v>19</v>
      </c>
      <c r="D289">
        <v>0.83099999999999996</v>
      </c>
      <c r="E289">
        <v>21.851144999999999</v>
      </c>
      <c r="F289" t="s">
        <v>18</v>
      </c>
      <c r="G289">
        <v>0.88400000000000001</v>
      </c>
      <c r="H289">
        <v>19.31641218</v>
      </c>
      <c r="I289" t="s">
        <v>9</v>
      </c>
      <c r="J289">
        <v>7.9000000000000001E-2</v>
      </c>
      <c r="K289">
        <v>1.52599656222</v>
      </c>
      <c r="L289" t="s">
        <v>37</v>
      </c>
      <c r="M289">
        <v>0.155</v>
      </c>
      <c r="N289">
        <v>2.9940438879000002</v>
      </c>
    </row>
    <row r="290" spans="1:14" x14ac:dyDescent="0.25">
      <c r="A290" s="23">
        <v>43387</v>
      </c>
      <c r="B290">
        <v>26.295000000000002</v>
      </c>
      <c r="C290" t="s">
        <v>19</v>
      </c>
      <c r="D290">
        <v>0.83099999999999996</v>
      </c>
      <c r="E290">
        <v>21.851144999999999</v>
      </c>
      <c r="F290" t="s">
        <v>18</v>
      </c>
      <c r="G290">
        <v>0.88400000000000001</v>
      </c>
      <c r="H290">
        <v>19.31641218</v>
      </c>
      <c r="I290" t="s">
        <v>55</v>
      </c>
      <c r="J290">
        <v>2.2000000000000002E-2</v>
      </c>
      <c r="L290" t="s">
        <v>38</v>
      </c>
      <c r="M290">
        <v>3.7000000000000005E-2</v>
      </c>
      <c r="N290">
        <v>0.71470725066000007</v>
      </c>
    </row>
    <row r="291" spans="1:14" x14ac:dyDescent="0.25">
      <c r="A291" s="23">
        <v>43388</v>
      </c>
      <c r="B291">
        <v>26.295000000000002</v>
      </c>
      <c r="C291" t="s">
        <v>19</v>
      </c>
      <c r="D291">
        <v>0.83099999999999996</v>
      </c>
      <c r="E291">
        <v>21.851144999999999</v>
      </c>
      <c r="F291" t="s">
        <v>18</v>
      </c>
      <c r="G291">
        <v>0.88400000000000001</v>
      </c>
      <c r="H291">
        <v>19.31641218</v>
      </c>
      <c r="L291" t="s">
        <v>39</v>
      </c>
      <c r="M291">
        <v>2.6000000000000002E-2</v>
      </c>
      <c r="N291">
        <v>0.50222671668000007</v>
      </c>
    </row>
    <row r="292" spans="1:14" ht="26.4" x14ac:dyDescent="0.25">
      <c r="A292" s="23">
        <v>43389</v>
      </c>
      <c r="B292" s="4">
        <v>25.536000000000001</v>
      </c>
      <c r="C292" s="4" t="s">
        <v>2</v>
      </c>
      <c r="D292" s="5">
        <f t="shared" ref="D292:D339" si="0">16.8/100</f>
        <v>0.16800000000000001</v>
      </c>
      <c r="E292" s="6">
        <f>D292*B292</f>
        <v>4.2900480000000005</v>
      </c>
      <c r="F292" s="6" t="s">
        <v>14</v>
      </c>
      <c r="G292" s="5">
        <f>19.5/100</f>
        <v>0.19500000000000001</v>
      </c>
      <c r="H292" s="5">
        <f>E292*G292</f>
        <v>0.83655936000000009</v>
      </c>
      <c r="I292" s="6" t="s">
        <v>11</v>
      </c>
      <c r="J292" s="6">
        <f>10/100</f>
        <v>0.1</v>
      </c>
      <c r="K292" s="7">
        <f>J292*H292</f>
        <v>8.3655936000000014E-2</v>
      </c>
      <c r="L292" s="2" t="s">
        <v>32</v>
      </c>
      <c r="M292" s="2">
        <f>1.8/100</f>
        <v>1.8000000000000002E-2</v>
      </c>
      <c r="N292" s="2">
        <f>M292*H292</f>
        <v>1.5058068480000004E-2</v>
      </c>
    </row>
    <row r="293" spans="1:14" x14ac:dyDescent="0.25">
      <c r="A293" s="23">
        <v>43390</v>
      </c>
      <c r="B293" s="4">
        <v>25.536000000000001</v>
      </c>
      <c r="C293" s="4" t="s">
        <v>2</v>
      </c>
      <c r="D293" s="5">
        <f t="shared" si="0"/>
        <v>0.16800000000000001</v>
      </c>
      <c r="E293" s="6">
        <f>D293*B293</f>
        <v>4.2900480000000005</v>
      </c>
      <c r="F293" s="6" t="s">
        <v>43</v>
      </c>
      <c r="G293" s="5">
        <f t="shared" ref="G293:G299" si="1">19.5/100</f>
        <v>0.19500000000000001</v>
      </c>
      <c r="H293" s="5">
        <f>E293*G293</f>
        <v>0.83655936000000009</v>
      </c>
      <c r="I293" s="6" t="s">
        <v>12</v>
      </c>
      <c r="J293" s="6">
        <f>1.7/100</f>
        <v>1.7000000000000001E-2</v>
      </c>
      <c r="K293" s="8">
        <f t="shared" ref="K293:K298" si="2">H293*J293</f>
        <v>1.4221509120000003E-2</v>
      </c>
      <c r="L293" s="2" t="s">
        <v>33</v>
      </c>
      <c r="M293" s="2">
        <f>7.3/100</f>
        <v>7.2999999999999995E-2</v>
      </c>
      <c r="N293" s="2">
        <f t="shared" ref="N293:N299" si="3">M293*H293</f>
        <v>6.1068833280000005E-2</v>
      </c>
    </row>
    <row r="294" spans="1:14" x14ac:dyDescent="0.25">
      <c r="A294" s="23">
        <v>43391</v>
      </c>
      <c r="B294" s="4">
        <v>25.536000000000001</v>
      </c>
      <c r="C294" s="4" t="s">
        <v>2</v>
      </c>
      <c r="D294" s="5">
        <f t="shared" si="0"/>
        <v>0.16800000000000001</v>
      </c>
      <c r="E294" s="6">
        <f t="shared" ref="E294:E380" si="4">D294*B294</f>
        <v>4.2900480000000005</v>
      </c>
      <c r="F294" s="6" t="s">
        <v>14</v>
      </c>
      <c r="G294" s="5">
        <f t="shared" si="1"/>
        <v>0.19500000000000001</v>
      </c>
      <c r="H294" s="5">
        <f t="shared" ref="H294:H299" si="5">E294*G294</f>
        <v>0.83655936000000009</v>
      </c>
      <c r="I294" s="6" t="s">
        <v>7</v>
      </c>
      <c r="J294" s="14">
        <f>6.8/100</f>
        <v>6.8000000000000005E-2</v>
      </c>
      <c r="K294" s="8">
        <f t="shared" si="2"/>
        <v>5.6886036480000013E-2</v>
      </c>
      <c r="L294" s="2" t="s">
        <v>34</v>
      </c>
      <c r="M294" s="2">
        <f>8.4/100</f>
        <v>8.4000000000000005E-2</v>
      </c>
      <c r="N294" s="2">
        <f t="shared" si="3"/>
        <v>7.0270986240000013E-2</v>
      </c>
    </row>
    <row r="295" spans="1:14" x14ac:dyDescent="0.25">
      <c r="A295" s="23">
        <v>43392</v>
      </c>
      <c r="B295" s="4">
        <v>25.536000000000001</v>
      </c>
      <c r="C295" s="4" t="s">
        <v>2</v>
      </c>
      <c r="D295" s="5">
        <f t="shared" si="0"/>
        <v>0.16800000000000001</v>
      </c>
      <c r="E295" s="6">
        <f t="shared" si="4"/>
        <v>4.2900480000000005</v>
      </c>
      <c r="F295" s="6" t="s">
        <v>14</v>
      </c>
      <c r="G295" s="5">
        <f t="shared" si="1"/>
        <v>0.19500000000000001</v>
      </c>
      <c r="H295" s="5">
        <f t="shared" si="5"/>
        <v>0.83655936000000009</v>
      </c>
      <c r="I295" s="6" t="s">
        <v>8</v>
      </c>
      <c r="J295" s="6">
        <f>35/100</f>
        <v>0.35</v>
      </c>
      <c r="K295" s="8">
        <f t="shared" si="2"/>
        <v>0.29279577600000001</v>
      </c>
      <c r="L295" s="2" t="s">
        <v>35</v>
      </c>
      <c r="M295" s="2">
        <f>23.7/100</f>
        <v>0.23699999999999999</v>
      </c>
      <c r="N295" s="2">
        <f t="shared" si="3"/>
        <v>0.19826456832</v>
      </c>
    </row>
    <row r="296" spans="1:14" x14ac:dyDescent="0.25">
      <c r="A296" s="23">
        <v>43393</v>
      </c>
      <c r="B296" s="4">
        <v>25.536000000000001</v>
      </c>
      <c r="C296" s="4" t="s">
        <v>2</v>
      </c>
      <c r="D296" s="5">
        <f t="shared" si="0"/>
        <v>0.16800000000000001</v>
      </c>
      <c r="E296" s="6">
        <f t="shared" si="4"/>
        <v>4.2900480000000005</v>
      </c>
      <c r="F296" s="6" t="s">
        <v>14</v>
      </c>
      <c r="G296" s="5">
        <f t="shared" si="1"/>
        <v>0.19500000000000001</v>
      </c>
      <c r="H296" s="5">
        <f t="shared" si="5"/>
        <v>0.83655936000000009</v>
      </c>
      <c r="I296" s="6" t="s">
        <v>10</v>
      </c>
      <c r="J296" s="6">
        <f>4.7/100</f>
        <v>4.7E-2</v>
      </c>
      <c r="K296" s="8">
        <f t="shared" si="2"/>
        <v>3.9318289920000006E-2</v>
      </c>
      <c r="L296" s="2" t="s">
        <v>36</v>
      </c>
      <c r="M296" s="2">
        <f>25.8/100</f>
        <v>0.25800000000000001</v>
      </c>
      <c r="N296" s="2">
        <f t="shared" si="3"/>
        <v>0.21583231488000001</v>
      </c>
    </row>
    <row r="297" spans="1:14" x14ac:dyDescent="0.25">
      <c r="A297" s="23">
        <v>43394</v>
      </c>
      <c r="B297" s="4">
        <v>25.536000000000001</v>
      </c>
      <c r="C297" s="4" t="s">
        <v>2</v>
      </c>
      <c r="D297" s="5">
        <f t="shared" si="0"/>
        <v>0.16800000000000001</v>
      </c>
      <c r="E297" s="6">
        <f>D297*B297</f>
        <v>4.2900480000000005</v>
      </c>
      <c r="F297" s="6" t="s">
        <v>14</v>
      </c>
      <c r="G297" s="5">
        <f t="shared" si="1"/>
        <v>0.19500000000000001</v>
      </c>
      <c r="H297" s="5">
        <f t="shared" si="5"/>
        <v>0.83655936000000009</v>
      </c>
      <c r="I297" s="6" t="s">
        <v>9</v>
      </c>
      <c r="J297" s="6">
        <f>41.4/100</f>
        <v>0.41399999999999998</v>
      </c>
      <c r="K297" s="8">
        <f t="shared" si="2"/>
        <v>0.34633557504000001</v>
      </c>
      <c r="L297" s="2" t="s">
        <v>37</v>
      </c>
      <c r="M297" s="2">
        <f>30.6/100</f>
        <v>0.30599999999999999</v>
      </c>
      <c r="N297" s="2">
        <f t="shared" si="3"/>
        <v>0.25598716416</v>
      </c>
    </row>
    <row r="298" spans="1:14" x14ac:dyDescent="0.25">
      <c r="A298" s="23">
        <v>43395</v>
      </c>
      <c r="B298" s="4">
        <v>25.536000000000001</v>
      </c>
      <c r="C298" s="4" t="s">
        <v>2</v>
      </c>
      <c r="D298" s="5">
        <f t="shared" si="0"/>
        <v>0.16800000000000001</v>
      </c>
      <c r="E298" s="6">
        <f t="shared" si="4"/>
        <v>4.2900480000000005</v>
      </c>
      <c r="F298" s="6" t="s">
        <v>14</v>
      </c>
      <c r="G298" s="5">
        <f t="shared" si="1"/>
        <v>0.19500000000000001</v>
      </c>
      <c r="H298" s="5">
        <f t="shared" si="5"/>
        <v>0.83655936000000009</v>
      </c>
      <c r="I298" s="6" t="s">
        <v>55</v>
      </c>
      <c r="J298" s="6">
        <f>0.4/100</f>
        <v>4.0000000000000001E-3</v>
      </c>
      <c r="K298" s="8">
        <f t="shared" si="2"/>
        <v>3.3462374400000006E-3</v>
      </c>
      <c r="L298" s="2" t="s">
        <v>38</v>
      </c>
      <c r="M298" s="2">
        <f>1.8/100</f>
        <v>1.8000000000000002E-2</v>
      </c>
      <c r="N298" s="2">
        <f t="shared" si="3"/>
        <v>1.5058068480000004E-2</v>
      </c>
    </row>
    <row r="299" spans="1:14" x14ac:dyDescent="0.25">
      <c r="A299" s="23">
        <v>43396</v>
      </c>
      <c r="B299" s="4">
        <v>25.536000000000001</v>
      </c>
      <c r="C299" s="4" t="s">
        <v>2</v>
      </c>
      <c r="D299" s="5">
        <f t="shared" si="0"/>
        <v>0.16800000000000001</v>
      </c>
      <c r="E299" s="6">
        <f t="shared" si="4"/>
        <v>4.2900480000000005</v>
      </c>
      <c r="F299" s="6" t="s">
        <v>14</v>
      </c>
      <c r="G299" s="5">
        <f t="shared" si="1"/>
        <v>0.19500000000000001</v>
      </c>
      <c r="H299" s="5">
        <f t="shared" si="5"/>
        <v>0.83655936000000009</v>
      </c>
      <c r="I299" s="6"/>
      <c r="J299" s="6"/>
      <c r="K299" s="8"/>
      <c r="L299" s="2" t="s">
        <v>39</v>
      </c>
      <c r="M299" s="2">
        <f>0.5/100</f>
        <v>5.0000000000000001E-3</v>
      </c>
      <c r="N299" s="2">
        <f t="shared" si="3"/>
        <v>4.1827968000000002E-3</v>
      </c>
    </row>
    <row r="300" spans="1:14" x14ac:dyDescent="0.25">
      <c r="A300" s="23">
        <v>43397</v>
      </c>
      <c r="B300" s="4">
        <v>25.536000000000001</v>
      </c>
      <c r="C300" s="4" t="s">
        <v>2</v>
      </c>
      <c r="D300" s="5">
        <f t="shared" si="0"/>
        <v>0.16800000000000001</v>
      </c>
      <c r="E300" s="6">
        <f t="shared" si="4"/>
        <v>4.2900480000000005</v>
      </c>
      <c r="F300" s="6" t="s">
        <v>44</v>
      </c>
      <c r="G300" s="8">
        <f>14.6/100</f>
        <v>0.14599999999999999</v>
      </c>
      <c r="H300" s="6">
        <f>G300*E300</f>
        <v>0.62634700799999998</v>
      </c>
      <c r="I300" s="6" t="s">
        <v>11</v>
      </c>
      <c r="J300" s="6">
        <f>1.4/100</f>
        <v>1.3999999999999999E-2</v>
      </c>
      <c r="K300" s="8">
        <f>J300*H300</f>
        <v>8.7688581119999987E-3</v>
      </c>
      <c r="L300" s="2" t="s">
        <v>32</v>
      </c>
      <c r="M300" s="2">
        <f>0/100</f>
        <v>0</v>
      </c>
      <c r="N300" s="2">
        <f>M300*H300</f>
        <v>0</v>
      </c>
    </row>
    <row r="301" spans="1:14" x14ac:dyDescent="0.25">
      <c r="A301" s="23">
        <v>43398</v>
      </c>
      <c r="B301" s="4">
        <v>25.536000000000001</v>
      </c>
      <c r="C301" s="4" t="s">
        <v>2</v>
      </c>
      <c r="D301" s="5">
        <f t="shared" si="0"/>
        <v>0.16800000000000001</v>
      </c>
      <c r="E301" s="6">
        <f t="shared" si="4"/>
        <v>4.2900480000000005</v>
      </c>
      <c r="F301" s="6" t="s">
        <v>15</v>
      </c>
      <c r="G301" s="8">
        <f t="shared" ref="G301:G307" si="6">14.6/100</f>
        <v>0.14599999999999999</v>
      </c>
      <c r="H301" s="6">
        <f t="shared" ref="H301:H307" si="7">G301*E301</f>
        <v>0.62634700799999998</v>
      </c>
      <c r="I301" s="6" t="s">
        <v>12</v>
      </c>
      <c r="J301" s="6">
        <f>2.8/100</f>
        <v>2.7999999999999997E-2</v>
      </c>
      <c r="K301" s="8">
        <f t="shared" ref="K301:K305" si="8">J301*H301</f>
        <v>1.7537716223999997E-2</v>
      </c>
      <c r="L301" s="2" t="s">
        <v>33</v>
      </c>
      <c r="M301" s="2">
        <f>3.7/100</f>
        <v>3.7000000000000005E-2</v>
      </c>
      <c r="N301" s="2">
        <f t="shared" ref="N301:N307" si="9">M301*H301</f>
        <v>2.3174839296000001E-2</v>
      </c>
    </row>
    <row r="302" spans="1:14" x14ac:dyDescent="0.25">
      <c r="A302" s="23">
        <v>43399</v>
      </c>
      <c r="B302" s="4">
        <v>25.536000000000001</v>
      </c>
      <c r="C302" s="4" t="s">
        <v>2</v>
      </c>
      <c r="D302" s="5">
        <f t="shared" si="0"/>
        <v>0.16800000000000001</v>
      </c>
      <c r="E302" s="6">
        <f t="shared" si="4"/>
        <v>4.2900480000000005</v>
      </c>
      <c r="F302" s="6" t="s">
        <v>15</v>
      </c>
      <c r="G302" s="8">
        <f t="shared" si="6"/>
        <v>0.14599999999999999</v>
      </c>
      <c r="H302" s="6">
        <f t="shared" si="7"/>
        <v>0.62634700799999998</v>
      </c>
      <c r="I302" s="6" t="s">
        <v>7</v>
      </c>
      <c r="J302" s="6">
        <f>0/100</f>
        <v>0</v>
      </c>
      <c r="K302" s="8">
        <f t="shared" si="8"/>
        <v>0</v>
      </c>
      <c r="L302" s="2" t="s">
        <v>34</v>
      </c>
      <c r="M302" s="2">
        <f>12.3/100</f>
        <v>0.12300000000000001</v>
      </c>
      <c r="N302" s="2">
        <f t="shared" si="9"/>
        <v>7.7040681984000006E-2</v>
      </c>
    </row>
    <row r="303" spans="1:14" x14ac:dyDescent="0.25">
      <c r="A303" s="23">
        <v>43400</v>
      </c>
      <c r="B303" s="4">
        <v>25.536000000000001</v>
      </c>
      <c r="C303" s="4" t="s">
        <v>2</v>
      </c>
      <c r="D303" s="5">
        <f t="shared" si="0"/>
        <v>0.16800000000000001</v>
      </c>
      <c r="E303" s="6">
        <f t="shared" si="4"/>
        <v>4.2900480000000005</v>
      </c>
      <c r="F303" s="6" t="s">
        <v>15</v>
      </c>
      <c r="G303" s="8">
        <f t="shared" si="6"/>
        <v>0.14599999999999999</v>
      </c>
      <c r="H303" s="6">
        <f t="shared" si="7"/>
        <v>0.62634700799999998</v>
      </c>
      <c r="I303" s="6" t="s">
        <v>8</v>
      </c>
      <c r="J303" s="6">
        <f>34.5/100</f>
        <v>0.34499999999999997</v>
      </c>
      <c r="K303" s="8">
        <f>J303*H303</f>
        <v>0.21608971775999997</v>
      </c>
      <c r="L303" s="2" t="s">
        <v>35</v>
      </c>
      <c r="M303" s="2">
        <f>43.8/100</f>
        <v>0.43799999999999994</v>
      </c>
      <c r="N303" s="2">
        <f t="shared" si="9"/>
        <v>0.27433998950399996</v>
      </c>
    </row>
    <row r="304" spans="1:14" x14ac:dyDescent="0.25">
      <c r="A304" s="23">
        <v>43401</v>
      </c>
      <c r="B304" s="4">
        <v>25.536000000000001</v>
      </c>
      <c r="C304" s="4" t="s">
        <v>2</v>
      </c>
      <c r="D304" s="5">
        <f t="shared" si="0"/>
        <v>0.16800000000000001</v>
      </c>
      <c r="E304" s="6">
        <f t="shared" si="4"/>
        <v>4.2900480000000005</v>
      </c>
      <c r="F304" s="6" t="s">
        <v>15</v>
      </c>
      <c r="G304" s="8">
        <f t="shared" si="6"/>
        <v>0.14599999999999999</v>
      </c>
      <c r="H304" s="6">
        <f t="shared" si="7"/>
        <v>0.62634700799999998</v>
      </c>
      <c r="I304" s="6" t="s">
        <v>10</v>
      </c>
      <c r="J304" s="6">
        <f>3.5/100</f>
        <v>3.5000000000000003E-2</v>
      </c>
      <c r="K304" s="8">
        <f t="shared" si="8"/>
        <v>2.1922145280000003E-2</v>
      </c>
      <c r="L304" s="2" t="s">
        <v>36</v>
      </c>
      <c r="M304" s="2">
        <f>9.5/100</f>
        <v>9.5000000000000001E-2</v>
      </c>
      <c r="N304" s="2">
        <f t="shared" si="9"/>
        <v>5.9502965759999998E-2</v>
      </c>
    </row>
    <row r="305" spans="1:14" x14ac:dyDescent="0.25">
      <c r="A305" s="23">
        <v>43402</v>
      </c>
      <c r="B305" s="4">
        <v>25.536000000000001</v>
      </c>
      <c r="C305" s="4" t="s">
        <v>2</v>
      </c>
      <c r="D305" s="5">
        <f t="shared" si="0"/>
        <v>0.16800000000000001</v>
      </c>
      <c r="E305" s="6">
        <f t="shared" si="4"/>
        <v>4.2900480000000005</v>
      </c>
      <c r="F305" s="6" t="s">
        <v>15</v>
      </c>
      <c r="G305" s="8">
        <f t="shared" si="6"/>
        <v>0.14599999999999999</v>
      </c>
      <c r="H305" s="6">
        <f t="shared" si="7"/>
        <v>0.62634700799999998</v>
      </c>
      <c r="I305" s="6" t="s">
        <v>9</v>
      </c>
      <c r="J305" s="6">
        <f>57.7/100</f>
        <v>0.57700000000000007</v>
      </c>
      <c r="K305" s="8">
        <f t="shared" si="8"/>
        <v>0.36140222361600005</v>
      </c>
      <c r="L305" s="2" t="s">
        <v>37</v>
      </c>
      <c r="M305" s="2">
        <f>30.7/100</f>
        <v>0.307</v>
      </c>
      <c r="N305" s="2">
        <f t="shared" si="9"/>
        <v>0.192288531456</v>
      </c>
    </row>
    <row r="306" spans="1:14" x14ac:dyDescent="0.25">
      <c r="A306" s="23">
        <v>43403</v>
      </c>
      <c r="B306" s="4">
        <v>25.536000000000001</v>
      </c>
      <c r="C306" s="4" t="s">
        <v>2</v>
      </c>
      <c r="D306" s="5">
        <f t="shared" si="0"/>
        <v>0.16800000000000001</v>
      </c>
      <c r="E306" s="6">
        <f t="shared" si="4"/>
        <v>4.2900480000000005</v>
      </c>
      <c r="F306" s="6" t="s">
        <v>15</v>
      </c>
      <c r="G306" s="8">
        <f t="shared" si="6"/>
        <v>0.14599999999999999</v>
      </c>
      <c r="H306" s="6">
        <f t="shared" si="7"/>
        <v>0.62634700799999998</v>
      </c>
      <c r="I306" s="6" t="s">
        <v>55</v>
      </c>
      <c r="J306" s="6">
        <f>0/100</f>
        <v>0</v>
      </c>
      <c r="K306" s="8">
        <f>J306*H306</f>
        <v>0</v>
      </c>
      <c r="L306" s="2" t="s">
        <v>38</v>
      </c>
      <c r="M306" s="2">
        <f>0/100</f>
        <v>0</v>
      </c>
      <c r="N306" s="2">
        <f>M306*H306</f>
        <v>0</v>
      </c>
    </row>
    <row r="307" spans="1:14" x14ac:dyDescent="0.25">
      <c r="A307" s="23">
        <v>43404</v>
      </c>
      <c r="B307" s="4">
        <v>25.536000000000001</v>
      </c>
      <c r="C307" s="4" t="s">
        <v>2</v>
      </c>
      <c r="D307" s="5">
        <f t="shared" si="0"/>
        <v>0.16800000000000001</v>
      </c>
      <c r="E307" s="6">
        <f t="shared" si="4"/>
        <v>4.2900480000000005</v>
      </c>
      <c r="F307" s="6" t="s">
        <v>15</v>
      </c>
      <c r="G307" s="8">
        <f t="shared" si="6"/>
        <v>0.14599999999999999</v>
      </c>
      <c r="H307" s="6">
        <f t="shared" si="7"/>
        <v>0.62634700799999998</v>
      </c>
      <c r="I307" s="6"/>
      <c r="J307" s="6" t="s">
        <v>56</v>
      </c>
      <c r="K307" s="8"/>
      <c r="L307" s="2" t="s">
        <v>39</v>
      </c>
      <c r="M307" s="2">
        <f>0/100</f>
        <v>0</v>
      </c>
      <c r="N307" s="2">
        <f t="shared" si="9"/>
        <v>0</v>
      </c>
    </row>
    <row r="308" spans="1:14" x14ac:dyDescent="0.25">
      <c r="A308" s="23">
        <v>43405</v>
      </c>
      <c r="B308" s="4">
        <v>25.536000000000001</v>
      </c>
      <c r="C308" s="4" t="s">
        <v>2</v>
      </c>
      <c r="D308" s="5">
        <f t="shared" si="0"/>
        <v>0.16800000000000001</v>
      </c>
      <c r="E308" s="6">
        <f t="shared" si="4"/>
        <v>4.2900480000000005</v>
      </c>
      <c r="F308" s="6" t="s">
        <v>45</v>
      </c>
      <c r="G308" s="6">
        <f>16.7/100</f>
        <v>0.16699999999999998</v>
      </c>
      <c r="H308" s="6">
        <f>G308*E308</f>
        <v>0.71643801600000001</v>
      </c>
      <c r="I308" s="6" t="s">
        <v>11</v>
      </c>
      <c r="J308" s="6">
        <f>13.3/100</f>
        <v>0.13300000000000001</v>
      </c>
      <c r="K308" s="6">
        <f>J308*H308</f>
        <v>9.5286256128000013E-2</v>
      </c>
      <c r="L308" s="2" t="s">
        <v>32</v>
      </c>
      <c r="M308" s="2">
        <f>2.1/100</f>
        <v>2.1000000000000001E-2</v>
      </c>
      <c r="N308" s="2">
        <f>M308*H308</f>
        <v>1.5045198336000001E-2</v>
      </c>
    </row>
    <row r="309" spans="1:14" x14ac:dyDescent="0.25">
      <c r="A309" s="23">
        <v>43406</v>
      </c>
      <c r="B309" s="4">
        <v>25.536000000000001</v>
      </c>
      <c r="C309" s="4" t="s">
        <v>2</v>
      </c>
      <c r="D309" s="5">
        <f t="shared" si="0"/>
        <v>0.16800000000000001</v>
      </c>
      <c r="E309" s="6">
        <f t="shared" si="4"/>
        <v>4.2900480000000005</v>
      </c>
      <c r="F309" s="6" t="s">
        <v>16</v>
      </c>
      <c r="G309" s="6">
        <f t="shared" ref="G309:G315" si="10">16.7/100</f>
        <v>0.16699999999999998</v>
      </c>
      <c r="H309" s="6">
        <f t="shared" ref="H309:H386" si="11">G309*E309</f>
        <v>0.71643801600000001</v>
      </c>
      <c r="I309" s="6" t="s">
        <v>12</v>
      </c>
      <c r="J309" s="6">
        <f>4.4/100</f>
        <v>4.4000000000000004E-2</v>
      </c>
      <c r="K309" s="6">
        <f t="shared" ref="K309:K314" si="12">J309*H309</f>
        <v>3.1523272704000002E-2</v>
      </c>
      <c r="L309" s="2" t="s">
        <v>33</v>
      </c>
      <c r="M309" s="2">
        <f>8.2/100</f>
        <v>8.199999999999999E-2</v>
      </c>
      <c r="N309" s="2">
        <f t="shared" ref="N309:N315" si="13">M309*H309</f>
        <v>5.8747917311999992E-2</v>
      </c>
    </row>
    <row r="310" spans="1:14" x14ac:dyDescent="0.25">
      <c r="A310" s="23">
        <v>43407</v>
      </c>
      <c r="B310" s="4">
        <v>25.536000000000001</v>
      </c>
      <c r="C310" s="4" t="s">
        <v>2</v>
      </c>
      <c r="D310" s="5">
        <f t="shared" si="0"/>
        <v>0.16800000000000001</v>
      </c>
      <c r="E310" s="6">
        <f t="shared" si="4"/>
        <v>4.2900480000000005</v>
      </c>
      <c r="F310" s="6" t="s">
        <v>16</v>
      </c>
      <c r="G310" s="6">
        <f t="shared" si="10"/>
        <v>0.16699999999999998</v>
      </c>
      <c r="H310" s="6">
        <f t="shared" si="11"/>
        <v>0.71643801600000001</v>
      </c>
      <c r="I310" s="6" t="s">
        <v>7</v>
      </c>
      <c r="J310" s="6">
        <f>5.9/100</f>
        <v>5.9000000000000004E-2</v>
      </c>
      <c r="K310" s="6">
        <f t="shared" si="12"/>
        <v>4.2269842944000005E-2</v>
      </c>
      <c r="L310" s="2" t="s">
        <v>34</v>
      </c>
      <c r="M310" s="2">
        <f>15.2/100</f>
        <v>0.152</v>
      </c>
      <c r="N310" s="2">
        <f t="shared" si="13"/>
        <v>0.108898578432</v>
      </c>
    </row>
    <row r="311" spans="1:14" x14ac:dyDescent="0.25">
      <c r="A311" s="23">
        <v>43408</v>
      </c>
      <c r="B311" s="4">
        <v>25.536000000000001</v>
      </c>
      <c r="C311" s="4" t="s">
        <v>2</v>
      </c>
      <c r="D311" s="5">
        <f t="shared" si="0"/>
        <v>0.16800000000000001</v>
      </c>
      <c r="E311" s="6">
        <f t="shared" si="4"/>
        <v>4.2900480000000005</v>
      </c>
      <c r="F311" s="6" t="s">
        <v>16</v>
      </c>
      <c r="G311" s="6">
        <f t="shared" si="10"/>
        <v>0.16699999999999998</v>
      </c>
      <c r="H311" s="6">
        <f t="shared" si="11"/>
        <v>0.71643801600000001</v>
      </c>
      <c r="I311" s="6" t="s">
        <v>8</v>
      </c>
      <c r="J311" s="6">
        <f>25.3/100</f>
        <v>0.253</v>
      </c>
      <c r="K311" s="6">
        <f t="shared" si="12"/>
        <v>0.18125881804800001</v>
      </c>
      <c r="L311" s="2" t="s">
        <v>35</v>
      </c>
      <c r="M311" s="2">
        <f>22.9/100</f>
        <v>0.22899999999999998</v>
      </c>
      <c r="N311" s="2">
        <f t="shared" si="13"/>
        <v>0.16406430566399999</v>
      </c>
    </row>
    <row r="312" spans="1:14" x14ac:dyDescent="0.25">
      <c r="A312" s="23">
        <v>43409</v>
      </c>
      <c r="B312" s="4">
        <v>25.536000000000001</v>
      </c>
      <c r="C312" s="4" t="s">
        <v>2</v>
      </c>
      <c r="D312" s="5">
        <f t="shared" si="0"/>
        <v>0.16800000000000001</v>
      </c>
      <c r="E312" s="6">
        <f t="shared" si="4"/>
        <v>4.2900480000000005</v>
      </c>
      <c r="F312" s="6" t="s">
        <v>16</v>
      </c>
      <c r="G312" s="6">
        <f t="shared" si="10"/>
        <v>0.16699999999999998</v>
      </c>
      <c r="H312" s="6">
        <f t="shared" si="11"/>
        <v>0.71643801600000001</v>
      </c>
      <c r="I312" s="6" t="s">
        <v>10</v>
      </c>
      <c r="J312" s="6">
        <f>4.8/100</f>
        <v>4.8000000000000001E-2</v>
      </c>
      <c r="K312" s="6">
        <f t="shared" si="12"/>
        <v>3.4389024768000001E-2</v>
      </c>
      <c r="L312" s="2" t="s">
        <v>36</v>
      </c>
      <c r="M312" s="2">
        <f>25.5/100</f>
        <v>0.255</v>
      </c>
      <c r="N312" s="2">
        <f t="shared" si="13"/>
        <v>0.18269169407999999</v>
      </c>
    </row>
    <row r="313" spans="1:14" x14ac:dyDescent="0.25">
      <c r="A313" s="23">
        <v>43410</v>
      </c>
      <c r="B313" s="4">
        <v>25.536000000000001</v>
      </c>
      <c r="C313" s="4" t="s">
        <v>2</v>
      </c>
      <c r="D313" s="5">
        <f t="shared" si="0"/>
        <v>0.16800000000000001</v>
      </c>
      <c r="E313" s="6">
        <f t="shared" si="4"/>
        <v>4.2900480000000005</v>
      </c>
      <c r="F313" s="6" t="s">
        <v>16</v>
      </c>
      <c r="G313" s="6">
        <f t="shared" si="10"/>
        <v>0.16699999999999998</v>
      </c>
      <c r="H313" s="6">
        <f t="shared" si="11"/>
        <v>0.71643801600000001</v>
      </c>
      <c r="I313" s="6" t="s">
        <v>9</v>
      </c>
      <c r="J313" s="6">
        <f>45.6/100</f>
        <v>0.45600000000000002</v>
      </c>
      <c r="K313" s="6">
        <f t="shared" si="12"/>
        <v>0.32669573529599999</v>
      </c>
      <c r="L313" s="2" t="s">
        <v>37</v>
      </c>
      <c r="M313" s="2">
        <f>22.9/100</f>
        <v>0.22899999999999998</v>
      </c>
      <c r="N313" s="2">
        <f t="shared" si="13"/>
        <v>0.16406430566399999</v>
      </c>
    </row>
    <row r="314" spans="1:14" x14ac:dyDescent="0.25">
      <c r="A314" s="23">
        <v>43411</v>
      </c>
      <c r="B314" s="4">
        <v>25.536000000000001</v>
      </c>
      <c r="C314" s="4" t="s">
        <v>2</v>
      </c>
      <c r="D314" s="5">
        <f t="shared" si="0"/>
        <v>0.16800000000000001</v>
      </c>
      <c r="E314" s="6">
        <f t="shared" si="4"/>
        <v>4.2900480000000005</v>
      </c>
      <c r="F314" s="6" t="s">
        <v>16</v>
      </c>
      <c r="G314" s="6">
        <f t="shared" si="10"/>
        <v>0.16699999999999998</v>
      </c>
      <c r="H314" s="6">
        <f t="shared" si="11"/>
        <v>0.71643801600000001</v>
      </c>
      <c r="I314" s="6" t="s">
        <v>55</v>
      </c>
      <c r="J314" s="6">
        <f>0.8/100</f>
        <v>8.0000000000000002E-3</v>
      </c>
      <c r="K314" s="6">
        <f t="shared" si="12"/>
        <v>5.7315041280000005E-3</v>
      </c>
      <c r="L314" s="2" t="s">
        <v>38</v>
      </c>
      <c r="M314" s="2">
        <f>1.6/100</f>
        <v>1.6E-2</v>
      </c>
      <c r="N314" s="2">
        <f t="shared" si="13"/>
        <v>1.1463008256000001E-2</v>
      </c>
    </row>
    <row r="315" spans="1:14" x14ac:dyDescent="0.25">
      <c r="A315" s="23">
        <v>43412</v>
      </c>
      <c r="B315" s="4">
        <v>25.536000000000001</v>
      </c>
      <c r="C315" s="4" t="s">
        <v>2</v>
      </c>
      <c r="D315" s="5">
        <f t="shared" si="0"/>
        <v>0.16800000000000001</v>
      </c>
      <c r="E315" s="6">
        <f t="shared" si="4"/>
        <v>4.2900480000000005</v>
      </c>
      <c r="F315" s="6" t="s">
        <v>16</v>
      </c>
      <c r="G315" s="6">
        <f t="shared" si="10"/>
        <v>0.16699999999999998</v>
      </c>
      <c r="H315" s="6">
        <f t="shared" si="11"/>
        <v>0.71643801600000001</v>
      </c>
      <c r="I315" s="6"/>
      <c r="J315" s="6"/>
      <c r="K315" s="6"/>
      <c r="L315" s="2" t="s">
        <v>39</v>
      </c>
      <c r="M315" s="2">
        <f>1.5/100</f>
        <v>1.4999999999999999E-2</v>
      </c>
      <c r="N315" s="2">
        <f t="shared" si="13"/>
        <v>1.0746570239999999E-2</v>
      </c>
    </row>
    <row r="316" spans="1:14" x14ac:dyDescent="0.25">
      <c r="A316" s="23">
        <v>43413</v>
      </c>
      <c r="B316" s="4">
        <v>25.536000000000001</v>
      </c>
      <c r="C316" s="4" t="s">
        <v>2</v>
      </c>
      <c r="D316" s="5">
        <f t="shared" si="0"/>
        <v>0.16800000000000001</v>
      </c>
      <c r="E316" s="6">
        <f t="shared" si="4"/>
        <v>4.2900480000000005</v>
      </c>
      <c r="F316" s="6" t="s">
        <v>46</v>
      </c>
      <c r="G316" s="8">
        <f>18.6/100</f>
        <v>0.18600000000000003</v>
      </c>
      <c r="H316" s="6">
        <f t="shared" si="11"/>
        <v>0.79794892800000017</v>
      </c>
      <c r="I316" s="6" t="s">
        <v>11</v>
      </c>
      <c r="J316" s="8">
        <f>30.6/100</f>
        <v>0.30599999999999999</v>
      </c>
      <c r="K316" s="8">
        <f>J316*H316</f>
        <v>0.24417237196800004</v>
      </c>
      <c r="L316" s="2" t="s">
        <v>32</v>
      </c>
      <c r="M316" s="2">
        <f>1.4/100</f>
        <v>1.3999999999999999E-2</v>
      </c>
      <c r="N316" s="2">
        <f>M316*H316</f>
        <v>1.1171284992000001E-2</v>
      </c>
    </row>
    <row r="317" spans="1:14" x14ac:dyDescent="0.25">
      <c r="A317" s="23">
        <v>43414</v>
      </c>
      <c r="B317" s="4">
        <v>25.536000000000001</v>
      </c>
      <c r="C317" s="4" t="s">
        <v>2</v>
      </c>
      <c r="D317" s="5">
        <f t="shared" si="0"/>
        <v>0.16800000000000001</v>
      </c>
      <c r="E317" s="6">
        <f t="shared" si="4"/>
        <v>4.2900480000000005</v>
      </c>
      <c r="F317" s="6" t="s">
        <v>13</v>
      </c>
      <c r="G317" s="8">
        <f t="shared" ref="G317:G323" si="14">18.6/100</f>
        <v>0.18600000000000003</v>
      </c>
      <c r="H317" s="6">
        <f t="shared" si="11"/>
        <v>0.79794892800000017</v>
      </c>
      <c r="I317" s="6" t="s">
        <v>12</v>
      </c>
      <c r="J317" s="8">
        <f>3.8/100</f>
        <v>3.7999999999999999E-2</v>
      </c>
      <c r="K317" s="8">
        <f t="shared" ref="K317:K321" si="15">J317*H317</f>
        <v>3.0322059264000004E-2</v>
      </c>
      <c r="L317" s="2" t="s">
        <v>33</v>
      </c>
      <c r="M317" s="2">
        <f>5.6/100</f>
        <v>5.5999999999999994E-2</v>
      </c>
      <c r="N317" s="2">
        <f t="shared" ref="N317:N320" si="16">M317*H317</f>
        <v>4.4685139968000005E-2</v>
      </c>
    </row>
    <row r="318" spans="1:14" x14ac:dyDescent="0.25">
      <c r="A318" s="23">
        <v>43415</v>
      </c>
      <c r="B318" s="4">
        <v>25.536000000000001</v>
      </c>
      <c r="C318" s="4" t="s">
        <v>2</v>
      </c>
      <c r="D318" s="5">
        <f t="shared" si="0"/>
        <v>0.16800000000000001</v>
      </c>
      <c r="E318" s="6">
        <f t="shared" si="4"/>
        <v>4.2900480000000005</v>
      </c>
      <c r="F318" s="6" t="s">
        <v>13</v>
      </c>
      <c r="G318" s="8">
        <f t="shared" si="14"/>
        <v>0.18600000000000003</v>
      </c>
      <c r="H318" s="6">
        <f t="shared" si="11"/>
        <v>0.79794892800000017</v>
      </c>
      <c r="I318" s="6" t="s">
        <v>7</v>
      </c>
      <c r="J318" s="8">
        <f>7.6/100</f>
        <v>7.5999999999999998E-2</v>
      </c>
      <c r="K318" s="8">
        <f t="shared" si="15"/>
        <v>6.0644118528000009E-2</v>
      </c>
      <c r="L318" s="2" t="s">
        <v>34</v>
      </c>
      <c r="M318" s="2">
        <f>10.4/100</f>
        <v>0.10400000000000001</v>
      </c>
      <c r="N318" s="2">
        <f t="shared" si="16"/>
        <v>8.2986688512000029E-2</v>
      </c>
    </row>
    <row r="319" spans="1:14" x14ac:dyDescent="0.25">
      <c r="A319" s="23">
        <v>43416</v>
      </c>
      <c r="B319" s="4">
        <v>25.536000000000001</v>
      </c>
      <c r="C319" s="4" t="s">
        <v>2</v>
      </c>
      <c r="D319" s="5">
        <f t="shared" si="0"/>
        <v>0.16800000000000001</v>
      </c>
      <c r="E319" s="6">
        <f t="shared" si="4"/>
        <v>4.2900480000000005</v>
      </c>
      <c r="F319" s="6" t="s">
        <v>13</v>
      </c>
      <c r="G319" s="8">
        <f t="shared" si="14"/>
        <v>0.18600000000000003</v>
      </c>
      <c r="H319" s="6">
        <f t="shared" si="11"/>
        <v>0.79794892800000017</v>
      </c>
      <c r="I319" s="6" t="s">
        <v>8</v>
      </c>
      <c r="J319" s="8">
        <f>30.7/100</f>
        <v>0.307</v>
      </c>
      <c r="K319" s="8">
        <f t="shared" si="15"/>
        <v>0.24497032089600004</v>
      </c>
      <c r="L319" s="2" t="s">
        <v>35</v>
      </c>
      <c r="M319" s="2">
        <f>29.3/100</f>
        <v>0.29299999999999998</v>
      </c>
      <c r="N319" s="2">
        <f t="shared" si="16"/>
        <v>0.23379903590400003</v>
      </c>
    </row>
    <row r="320" spans="1:14" x14ac:dyDescent="0.25">
      <c r="A320" s="23">
        <v>43417</v>
      </c>
      <c r="B320" s="4">
        <v>25.536000000000001</v>
      </c>
      <c r="C320" s="4" t="s">
        <v>2</v>
      </c>
      <c r="D320" s="5">
        <f t="shared" si="0"/>
        <v>0.16800000000000001</v>
      </c>
      <c r="E320" s="6">
        <f t="shared" si="4"/>
        <v>4.2900480000000005</v>
      </c>
      <c r="F320" s="6" t="s">
        <v>13</v>
      </c>
      <c r="G320" s="8">
        <f t="shared" si="14"/>
        <v>0.18600000000000003</v>
      </c>
      <c r="H320" s="6">
        <f t="shared" si="11"/>
        <v>0.79794892800000017</v>
      </c>
      <c r="I320" s="6" t="s">
        <v>10</v>
      </c>
      <c r="J320" s="8">
        <f>6/100</f>
        <v>0.06</v>
      </c>
      <c r="K320" s="8">
        <f t="shared" si="15"/>
        <v>4.787693568000001E-2</v>
      </c>
      <c r="L320" s="2" t="s">
        <v>36</v>
      </c>
      <c r="M320" s="2">
        <f>30/100</f>
        <v>0.3</v>
      </c>
      <c r="N320" s="2">
        <f t="shared" si="16"/>
        <v>0.23938467840000005</v>
      </c>
    </row>
    <row r="321" spans="1:14" x14ac:dyDescent="0.25">
      <c r="A321" s="23">
        <v>43418</v>
      </c>
      <c r="B321" s="4">
        <v>25.536000000000001</v>
      </c>
      <c r="C321" s="4" t="s">
        <v>2</v>
      </c>
      <c r="D321" s="5">
        <f t="shared" si="0"/>
        <v>0.16800000000000001</v>
      </c>
      <c r="E321" s="6">
        <f t="shared" si="4"/>
        <v>4.2900480000000005</v>
      </c>
      <c r="F321" s="6" t="s">
        <v>13</v>
      </c>
      <c r="G321" s="8">
        <f t="shared" si="14"/>
        <v>0.18600000000000003</v>
      </c>
      <c r="H321" s="6">
        <f t="shared" si="11"/>
        <v>0.79794892800000017</v>
      </c>
      <c r="I321" s="6" t="s">
        <v>9</v>
      </c>
      <c r="J321" s="8">
        <f>20.2/100</f>
        <v>0.20199999999999999</v>
      </c>
      <c r="K321" s="8">
        <f t="shared" si="15"/>
        <v>0.16118568345600001</v>
      </c>
      <c r="L321" s="2" t="s">
        <v>37</v>
      </c>
      <c r="M321" s="2">
        <f>20/100</f>
        <v>0.2</v>
      </c>
      <c r="N321" s="2">
        <f>M320*H321</f>
        <v>0.23938467840000005</v>
      </c>
    </row>
    <row r="322" spans="1:14" x14ac:dyDescent="0.25">
      <c r="A322" s="23">
        <v>43419</v>
      </c>
      <c r="B322" s="4">
        <v>25.536000000000001</v>
      </c>
      <c r="C322" s="4" t="s">
        <v>2</v>
      </c>
      <c r="D322" s="5">
        <f t="shared" si="0"/>
        <v>0.16800000000000001</v>
      </c>
      <c r="E322" s="6">
        <f t="shared" si="4"/>
        <v>4.2900480000000005</v>
      </c>
      <c r="F322" s="6" t="s">
        <v>13</v>
      </c>
      <c r="G322" s="8">
        <f t="shared" si="14"/>
        <v>0.18600000000000003</v>
      </c>
      <c r="H322" s="6">
        <f t="shared" si="11"/>
        <v>0.79794892800000017</v>
      </c>
      <c r="I322" s="6" t="s">
        <v>55</v>
      </c>
      <c r="J322" s="8">
        <f>1.1/100</f>
        <v>1.1000000000000001E-2</v>
      </c>
      <c r="K322" s="8"/>
      <c r="L322" s="2" t="s">
        <v>38</v>
      </c>
      <c r="M322" s="2">
        <f>2.6/100</f>
        <v>2.6000000000000002E-2</v>
      </c>
      <c r="N322" s="2">
        <f>M321*H322</f>
        <v>0.15958978560000003</v>
      </c>
    </row>
    <row r="323" spans="1:14" x14ac:dyDescent="0.25">
      <c r="A323" s="23">
        <v>43420</v>
      </c>
      <c r="B323" s="4">
        <v>25.536000000000001</v>
      </c>
      <c r="C323" s="4" t="s">
        <v>2</v>
      </c>
      <c r="D323" s="5">
        <f t="shared" si="0"/>
        <v>0.16800000000000001</v>
      </c>
      <c r="E323" s="6">
        <f t="shared" si="4"/>
        <v>4.2900480000000005</v>
      </c>
      <c r="F323" s="6" t="s">
        <v>13</v>
      </c>
      <c r="G323" s="8">
        <f t="shared" si="14"/>
        <v>0.18600000000000003</v>
      </c>
      <c r="H323" s="6">
        <f t="shared" si="11"/>
        <v>0.79794892800000017</v>
      </c>
      <c r="I323" s="6"/>
      <c r="J323" s="8"/>
      <c r="K323" s="8"/>
      <c r="L323" s="2" t="s">
        <v>39</v>
      </c>
      <c r="M323" s="2">
        <f>0.7/100</f>
        <v>6.9999999999999993E-3</v>
      </c>
      <c r="N323" s="2">
        <f>M322*H323</f>
        <v>2.0746672128000007E-2</v>
      </c>
    </row>
    <row r="324" spans="1:14" x14ac:dyDescent="0.25">
      <c r="A324" s="23">
        <v>43421</v>
      </c>
      <c r="B324" s="4">
        <v>25.536000000000001</v>
      </c>
      <c r="C324" s="4" t="s">
        <v>2</v>
      </c>
      <c r="D324" s="5">
        <f t="shared" si="0"/>
        <v>0.16800000000000001</v>
      </c>
      <c r="E324" s="6">
        <f t="shared" si="4"/>
        <v>4.2900480000000005</v>
      </c>
      <c r="F324" s="8" t="s">
        <v>47</v>
      </c>
      <c r="G324" s="6">
        <f>17.5/100</f>
        <v>0.17499999999999999</v>
      </c>
      <c r="H324" s="6">
        <f t="shared" si="11"/>
        <v>0.75075840000000005</v>
      </c>
      <c r="I324" s="6" t="s">
        <v>11</v>
      </c>
      <c r="J324" s="6">
        <f>0/100</f>
        <v>0</v>
      </c>
      <c r="K324" s="6">
        <f>J324*H324</f>
        <v>0</v>
      </c>
      <c r="L324" s="2" t="s">
        <v>32</v>
      </c>
      <c r="M324" s="2">
        <f>0/100</f>
        <v>0</v>
      </c>
      <c r="N324" s="2">
        <f>M324*H324</f>
        <v>0</v>
      </c>
    </row>
    <row r="325" spans="1:14" x14ac:dyDescent="0.25">
      <c r="A325" s="23">
        <v>43422</v>
      </c>
      <c r="B325" s="4">
        <v>25.536000000000001</v>
      </c>
      <c r="C325" s="4" t="s">
        <v>2</v>
      </c>
      <c r="D325" s="5">
        <f t="shared" si="0"/>
        <v>0.16800000000000001</v>
      </c>
      <c r="E325" s="6">
        <f t="shared" si="4"/>
        <v>4.2900480000000005</v>
      </c>
      <c r="F325" s="8" t="s">
        <v>17</v>
      </c>
      <c r="G325" s="6">
        <f t="shared" ref="G325:G331" si="17">17.5/100</f>
        <v>0.17499999999999999</v>
      </c>
      <c r="H325" s="6">
        <f t="shared" si="11"/>
        <v>0.75075840000000005</v>
      </c>
      <c r="I325" s="6" t="s">
        <v>12</v>
      </c>
      <c r="J325" s="6">
        <f>0/100</f>
        <v>0</v>
      </c>
      <c r="K325" s="6">
        <f t="shared" ref="K325:K329" si="18">J325*H325</f>
        <v>0</v>
      </c>
      <c r="L325" s="2" t="s">
        <v>33</v>
      </c>
      <c r="M325" s="2">
        <f>0/100</f>
        <v>0</v>
      </c>
      <c r="N325" s="2">
        <f t="shared" ref="N325:N331" si="19">M325*H325</f>
        <v>0</v>
      </c>
    </row>
    <row r="326" spans="1:14" x14ac:dyDescent="0.25">
      <c r="A326" s="23">
        <v>43423</v>
      </c>
      <c r="B326" s="4">
        <v>25.536000000000001</v>
      </c>
      <c r="C326" s="4" t="s">
        <v>2</v>
      </c>
      <c r="D326" s="5">
        <f t="shared" si="0"/>
        <v>0.16800000000000001</v>
      </c>
      <c r="E326" s="6">
        <f t="shared" si="4"/>
        <v>4.2900480000000005</v>
      </c>
      <c r="F326" s="8" t="s">
        <v>17</v>
      </c>
      <c r="G326" s="6">
        <f t="shared" si="17"/>
        <v>0.17499999999999999</v>
      </c>
      <c r="H326" s="6">
        <f t="shared" si="11"/>
        <v>0.75075840000000005</v>
      </c>
      <c r="I326" s="6" t="s">
        <v>7</v>
      </c>
      <c r="J326" s="6">
        <f>2.8/100</f>
        <v>2.7999999999999997E-2</v>
      </c>
      <c r="K326" s="6">
        <f t="shared" si="18"/>
        <v>2.1021235199999998E-2</v>
      </c>
      <c r="L326" s="2" t="s">
        <v>34</v>
      </c>
      <c r="M326" s="2">
        <f>5.3/100</f>
        <v>5.2999999999999999E-2</v>
      </c>
      <c r="N326" s="2">
        <f t="shared" si="19"/>
        <v>3.9790195200000003E-2</v>
      </c>
    </row>
    <row r="327" spans="1:14" x14ac:dyDescent="0.25">
      <c r="A327" s="23">
        <v>43424</v>
      </c>
      <c r="B327" s="4">
        <v>25.536000000000001</v>
      </c>
      <c r="C327" s="4" t="s">
        <v>2</v>
      </c>
      <c r="D327" s="5">
        <f t="shared" si="0"/>
        <v>0.16800000000000001</v>
      </c>
      <c r="E327" s="6">
        <f t="shared" si="4"/>
        <v>4.2900480000000005</v>
      </c>
      <c r="F327" s="8" t="s">
        <v>17</v>
      </c>
      <c r="G327" s="6">
        <f t="shared" si="17"/>
        <v>0.17499999999999999</v>
      </c>
      <c r="H327" s="6">
        <f t="shared" si="11"/>
        <v>0.75075840000000005</v>
      </c>
      <c r="I327" s="6" t="s">
        <v>8</v>
      </c>
      <c r="J327" s="6">
        <f>51.6/100</f>
        <v>0.51600000000000001</v>
      </c>
      <c r="K327" s="6">
        <f t="shared" si="18"/>
        <v>0.38739133440000001</v>
      </c>
      <c r="L327" s="2" t="s">
        <v>35</v>
      </c>
      <c r="M327" s="2">
        <f>33.4/100</f>
        <v>0.33399999999999996</v>
      </c>
      <c r="N327" s="2">
        <f t="shared" si="19"/>
        <v>0.25075330559999998</v>
      </c>
    </row>
    <row r="328" spans="1:14" x14ac:dyDescent="0.25">
      <c r="A328" s="23">
        <v>43425</v>
      </c>
      <c r="B328" s="4">
        <v>25.536000000000001</v>
      </c>
      <c r="C328" s="4" t="s">
        <v>2</v>
      </c>
      <c r="D328" s="5">
        <f t="shared" si="0"/>
        <v>0.16800000000000001</v>
      </c>
      <c r="E328" s="6">
        <f t="shared" si="4"/>
        <v>4.2900480000000005</v>
      </c>
      <c r="F328" s="8" t="s">
        <v>17</v>
      </c>
      <c r="G328" s="6">
        <f t="shared" si="17"/>
        <v>0.17499999999999999</v>
      </c>
      <c r="H328" s="6">
        <f t="shared" si="11"/>
        <v>0.75075840000000005</v>
      </c>
      <c r="I328" s="6" t="s">
        <v>10</v>
      </c>
      <c r="J328" s="6">
        <f>6/100</f>
        <v>0.06</v>
      </c>
      <c r="K328" s="6">
        <f t="shared" si="18"/>
        <v>4.5045504E-2</v>
      </c>
      <c r="L328" s="2" t="s">
        <v>36</v>
      </c>
      <c r="M328" s="2">
        <f>41.6/100</f>
        <v>0.41600000000000004</v>
      </c>
      <c r="N328" s="2">
        <f t="shared" si="19"/>
        <v>0.31231549440000006</v>
      </c>
    </row>
    <row r="329" spans="1:14" x14ac:dyDescent="0.25">
      <c r="A329" s="23">
        <v>43426</v>
      </c>
      <c r="B329" s="4">
        <v>25.536000000000001</v>
      </c>
      <c r="C329" s="4" t="s">
        <v>2</v>
      </c>
      <c r="D329" s="5">
        <f t="shared" si="0"/>
        <v>0.16800000000000001</v>
      </c>
      <c r="E329" s="6">
        <f t="shared" si="4"/>
        <v>4.2900480000000005</v>
      </c>
      <c r="F329" s="8" t="s">
        <v>17</v>
      </c>
      <c r="G329" s="6">
        <f t="shared" si="17"/>
        <v>0.17499999999999999</v>
      </c>
      <c r="H329" s="6">
        <f t="shared" si="11"/>
        <v>0.75075840000000005</v>
      </c>
      <c r="I329" s="6" t="s">
        <v>9</v>
      </c>
      <c r="J329" s="6">
        <f>39.7/100</f>
        <v>0.39700000000000002</v>
      </c>
      <c r="K329" s="6">
        <f t="shared" si="18"/>
        <v>0.29805108480000003</v>
      </c>
      <c r="L329" s="2" t="s">
        <v>37</v>
      </c>
      <c r="M329" s="2">
        <f>19.7/100</f>
        <v>0.19699999999999998</v>
      </c>
      <c r="N329" s="2">
        <f t="shared" si="19"/>
        <v>0.1478994048</v>
      </c>
    </row>
    <row r="330" spans="1:14" x14ac:dyDescent="0.25">
      <c r="A330" s="23">
        <v>43427</v>
      </c>
      <c r="B330" s="4">
        <v>25.536000000000001</v>
      </c>
      <c r="C330" s="4" t="s">
        <v>2</v>
      </c>
      <c r="D330" s="5">
        <f t="shared" si="0"/>
        <v>0.16800000000000001</v>
      </c>
      <c r="E330" s="6">
        <f t="shared" si="4"/>
        <v>4.2900480000000005</v>
      </c>
      <c r="F330" s="8" t="s">
        <v>17</v>
      </c>
      <c r="G330" s="6">
        <f t="shared" si="17"/>
        <v>0.17499999999999999</v>
      </c>
      <c r="H330" s="6">
        <f t="shared" si="11"/>
        <v>0.75075840000000005</v>
      </c>
      <c r="I330" s="6" t="s">
        <v>55</v>
      </c>
      <c r="J330" s="6">
        <v>0</v>
      </c>
      <c r="K330" s="6"/>
      <c r="L330" s="2" t="s">
        <v>38</v>
      </c>
      <c r="M330" s="2">
        <f>0/100</f>
        <v>0</v>
      </c>
      <c r="N330" s="2">
        <f t="shared" si="19"/>
        <v>0</v>
      </c>
    </row>
    <row r="331" spans="1:14" x14ac:dyDescent="0.25">
      <c r="A331" s="23">
        <v>43428</v>
      </c>
      <c r="B331" s="4">
        <v>25.536000000000001</v>
      </c>
      <c r="C331" s="4" t="s">
        <v>2</v>
      </c>
      <c r="D331" s="5">
        <f t="shared" si="0"/>
        <v>0.16800000000000001</v>
      </c>
      <c r="E331" s="6">
        <f t="shared" si="4"/>
        <v>4.2900480000000005</v>
      </c>
      <c r="F331" s="8" t="s">
        <v>17</v>
      </c>
      <c r="G331" s="6">
        <f t="shared" si="17"/>
        <v>0.17499999999999999</v>
      </c>
      <c r="H331" s="6">
        <f t="shared" si="11"/>
        <v>0.75075840000000005</v>
      </c>
      <c r="I331" s="6"/>
      <c r="J331" s="6"/>
      <c r="K331" s="6"/>
      <c r="L331" s="2" t="s">
        <v>39</v>
      </c>
      <c r="M331" s="2">
        <f>0/100</f>
        <v>0</v>
      </c>
      <c r="N331" s="2">
        <f t="shared" si="19"/>
        <v>0</v>
      </c>
    </row>
    <row r="332" spans="1:14" x14ac:dyDescent="0.25">
      <c r="A332" s="23">
        <v>43429</v>
      </c>
      <c r="B332" s="4">
        <v>25.536000000000001</v>
      </c>
      <c r="C332" s="4" t="s">
        <v>2</v>
      </c>
      <c r="D332" s="5">
        <f t="shared" si="0"/>
        <v>0.16800000000000001</v>
      </c>
      <c r="E332" s="6">
        <f t="shared" si="4"/>
        <v>4.2900480000000005</v>
      </c>
      <c r="F332" s="2" t="s">
        <v>18</v>
      </c>
      <c r="G332" s="6">
        <f>12.9/100</f>
        <v>0.129</v>
      </c>
      <c r="H332" s="6">
        <f t="shared" si="11"/>
        <v>0.55341619200000003</v>
      </c>
      <c r="I332" s="6" t="s">
        <v>11</v>
      </c>
      <c r="J332" s="8">
        <f>50.3/100</f>
        <v>0.503</v>
      </c>
      <c r="K332" s="6">
        <f>J332*H332</f>
        <v>0.27836834457600002</v>
      </c>
      <c r="L332" s="2" t="s">
        <v>32</v>
      </c>
      <c r="M332" s="2">
        <f>3.3/100</f>
        <v>3.3000000000000002E-2</v>
      </c>
      <c r="N332" s="2">
        <f>M332*H332</f>
        <v>1.8262734336000001E-2</v>
      </c>
    </row>
    <row r="333" spans="1:14" x14ac:dyDescent="0.25">
      <c r="A333" s="23">
        <v>43430</v>
      </c>
      <c r="B333" s="4">
        <v>25.536000000000001</v>
      </c>
      <c r="C333" s="4" t="s">
        <v>2</v>
      </c>
      <c r="D333" s="5">
        <f t="shared" si="0"/>
        <v>0.16800000000000001</v>
      </c>
      <c r="E333" s="6">
        <f t="shared" si="4"/>
        <v>4.2900480000000005</v>
      </c>
      <c r="F333" s="2" t="s">
        <v>18</v>
      </c>
      <c r="G333" s="6">
        <f t="shared" ref="G333:G339" si="20">11.6/100</f>
        <v>0.11599999999999999</v>
      </c>
      <c r="H333" s="6">
        <f t="shared" si="11"/>
        <v>0.49764556800000004</v>
      </c>
      <c r="I333" s="6" t="s">
        <v>12</v>
      </c>
      <c r="J333" s="8">
        <f>3.3/100</f>
        <v>3.3000000000000002E-2</v>
      </c>
      <c r="K333" s="6">
        <f t="shared" ref="K333:K338" si="21">J333*H333</f>
        <v>1.6422303744000003E-2</v>
      </c>
      <c r="L333" s="2" t="s">
        <v>33</v>
      </c>
      <c r="M333" s="2">
        <f>6.7/100</f>
        <v>6.7000000000000004E-2</v>
      </c>
      <c r="N333" s="2">
        <f t="shared" ref="N333:N339" si="22">M333*H333</f>
        <v>3.3342253056000005E-2</v>
      </c>
    </row>
    <row r="334" spans="1:14" x14ac:dyDescent="0.25">
      <c r="A334" s="23">
        <v>43431</v>
      </c>
      <c r="B334" s="4">
        <v>25.536000000000001</v>
      </c>
      <c r="C334" s="4" t="s">
        <v>2</v>
      </c>
      <c r="D334" s="5">
        <f t="shared" si="0"/>
        <v>0.16800000000000001</v>
      </c>
      <c r="E334" s="6">
        <f t="shared" si="4"/>
        <v>4.2900480000000005</v>
      </c>
      <c r="F334" s="2" t="s">
        <v>18</v>
      </c>
      <c r="G334" s="6">
        <f t="shared" si="20"/>
        <v>0.11599999999999999</v>
      </c>
      <c r="H334" s="6">
        <f t="shared" si="11"/>
        <v>0.49764556800000004</v>
      </c>
      <c r="I334" s="6" t="s">
        <v>7</v>
      </c>
      <c r="J334" s="8">
        <f>8.2/100</f>
        <v>8.199999999999999E-2</v>
      </c>
      <c r="K334" s="6">
        <f t="shared" si="21"/>
        <v>4.0806936576E-2</v>
      </c>
      <c r="L334" s="2" t="s">
        <v>34</v>
      </c>
      <c r="M334" s="2">
        <f>10/100</f>
        <v>0.1</v>
      </c>
      <c r="N334" s="2">
        <f t="shared" si="22"/>
        <v>4.9764556800000005E-2</v>
      </c>
    </row>
    <row r="335" spans="1:14" x14ac:dyDescent="0.25">
      <c r="A335" s="23">
        <v>43432</v>
      </c>
      <c r="B335" s="4">
        <v>25.536000000000001</v>
      </c>
      <c r="C335" s="4" t="s">
        <v>2</v>
      </c>
      <c r="D335" s="5">
        <f t="shared" si="0"/>
        <v>0.16800000000000001</v>
      </c>
      <c r="E335" s="6">
        <f t="shared" si="4"/>
        <v>4.2900480000000005</v>
      </c>
      <c r="F335" s="2" t="s">
        <v>18</v>
      </c>
      <c r="G335" s="6">
        <f t="shared" si="20"/>
        <v>0.11599999999999999</v>
      </c>
      <c r="H335" s="6">
        <f t="shared" si="11"/>
        <v>0.49764556800000004</v>
      </c>
      <c r="I335" s="6" t="s">
        <v>8</v>
      </c>
      <c r="J335" s="8">
        <f>16.4/100</f>
        <v>0.16399999999999998</v>
      </c>
      <c r="K335" s="6">
        <f>J338*H335</f>
        <v>5.4741012480000011E-3</v>
      </c>
      <c r="L335" s="2" t="s">
        <v>35</v>
      </c>
      <c r="M335" s="2">
        <f>29.6/100</f>
        <v>0.29600000000000004</v>
      </c>
      <c r="N335" s="2">
        <f t="shared" si="22"/>
        <v>0.14730308812800003</v>
      </c>
    </row>
    <row r="336" spans="1:14" x14ac:dyDescent="0.25">
      <c r="A336" s="23">
        <v>43433</v>
      </c>
      <c r="B336" s="4">
        <v>25.536000000000001</v>
      </c>
      <c r="C336" s="4" t="s">
        <v>2</v>
      </c>
      <c r="D336" s="5">
        <f t="shared" si="0"/>
        <v>0.16800000000000001</v>
      </c>
      <c r="E336" s="6">
        <f t="shared" si="4"/>
        <v>4.2900480000000005</v>
      </c>
      <c r="F336" s="2" t="s">
        <v>18</v>
      </c>
      <c r="G336" s="6">
        <f t="shared" si="20"/>
        <v>0.11599999999999999</v>
      </c>
      <c r="H336" s="6">
        <f t="shared" si="11"/>
        <v>0.49764556800000004</v>
      </c>
      <c r="I336" s="6" t="s">
        <v>10</v>
      </c>
      <c r="J336" s="8">
        <f>4.3/100</f>
        <v>4.2999999999999997E-2</v>
      </c>
      <c r="K336" s="6">
        <f>J335*H336</f>
        <v>8.1613873151999999E-2</v>
      </c>
      <c r="L336" s="2" t="s">
        <v>36</v>
      </c>
      <c r="M336" s="2">
        <f>25.8/100</f>
        <v>0.25800000000000001</v>
      </c>
      <c r="N336" s="2">
        <f t="shared" si="22"/>
        <v>0.128392556544</v>
      </c>
    </row>
    <row r="337" spans="1:14" x14ac:dyDescent="0.25">
      <c r="A337" s="23">
        <v>43434</v>
      </c>
      <c r="B337" s="4">
        <v>25.536000000000001</v>
      </c>
      <c r="C337" s="4" t="s">
        <v>2</v>
      </c>
      <c r="D337" s="5">
        <f t="shared" si="0"/>
        <v>0.16800000000000001</v>
      </c>
      <c r="E337" s="6">
        <f t="shared" si="4"/>
        <v>4.2900480000000005</v>
      </c>
      <c r="F337" s="2" t="s">
        <v>48</v>
      </c>
      <c r="G337" s="6">
        <f t="shared" si="20"/>
        <v>0.11599999999999999</v>
      </c>
      <c r="H337" s="6">
        <f t="shared" si="11"/>
        <v>0.49764556800000004</v>
      </c>
      <c r="I337" s="6" t="s">
        <v>9</v>
      </c>
      <c r="J337" s="8">
        <f>16.4/100</f>
        <v>0.16399999999999998</v>
      </c>
      <c r="K337" s="6">
        <f t="shared" si="21"/>
        <v>8.1613873151999999E-2</v>
      </c>
      <c r="L337" s="2" t="s">
        <v>37</v>
      </c>
      <c r="M337" s="2">
        <f>19.7/100</f>
        <v>0.19699999999999998</v>
      </c>
      <c r="N337" s="2">
        <f t="shared" si="22"/>
        <v>9.8036176895999999E-2</v>
      </c>
    </row>
    <row r="338" spans="1:14" x14ac:dyDescent="0.25">
      <c r="A338" s="23">
        <v>43435</v>
      </c>
      <c r="B338" s="4">
        <v>25.536000000000001</v>
      </c>
      <c r="C338" s="4" t="s">
        <v>2</v>
      </c>
      <c r="D338" s="5">
        <f t="shared" si="0"/>
        <v>0.16800000000000001</v>
      </c>
      <c r="E338" s="6">
        <f t="shared" si="4"/>
        <v>4.2900480000000005</v>
      </c>
      <c r="F338" s="2" t="s">
        <v>18</v>
      </c>
      <c r="G338" s="6">
        <f t="shared" si="20"/>
        <v>0.11599999999999999</v>
      </c>
      <c r="H338" s="6">
        <f t="shared" si="11"/>
        <v>0.49764556800000004</v>
      </c>
      <c r="I338" s="6" t="s">
        <v>55</v>
      </c>
      <c r="J338" s="8">
        <f>1.1/100</f>
        <v>1.1000000000000001E-2</v>
      </c>
      <c r="K338" s="6">
        <f t="shared" si="21"/>
        <v>5.4741012480000011E-3</v>
      </c>
      <c r="L338" s="2" t="s">
        <v>38</v>
      </c>
      <c r="M338" s="2">
        <f>3.5/100</f>
        <v>3.5000000000000003E-2</v>
      </c>
      <c r="N338" s="2">
        <f t="shared" si="22"/>
        <v>1.7417594880000001E-2</v>
      </c>
    </row>
    <row r="339" spans="1:14" x14ac:dyDescent="0.25">
      <c r="A339" s="23">
        <v>43436</v>
      </c>
      <c r="B339" s="4">
        <v>25.536000000000001</v>
      </c>
      <c r="C339" s="4" t="s">
        <v>2</v>
      </c>
      <c r="D339" s="5">
        <f t="shared" si="0"/>
        <v>0.16800000000000001</v>
      </c>
      <c r="E339" s="6">
        <f t="shared" si="4"/>
        <v>4.2900480000000005</v>
      </c>
      <c r="F339" s="2" t="s">
        <v>18</v>
      </c>
      <c r="G339" s="6">
        <f t="shared" si="20"/>
        <v>0.11599999999999999</v>
      </c>
      <c r="H339" s="6">
        <f t="shared" si="11"/>
        <v>0.49764556800000004</v>
      </c>
      <c r="I339" s="6"/>
      <c r="J339" s="6"/>
      <c r="K339" s="6"/>
      <c r="L339" s="2" t="s">
        <v>39</v>
      </c>
      <c r="M339" s="2">
        <f>1.4/100</f>
        <v>1.3999999999999999E-2</v>
      </c>
      <c r="N339" s="2">
        <f t="shared" si="22"/>
        <v>6.9670379520000002E-3</v>
      </c>
    </row>
    <row r="340" spans="1:14" x14ac:dyDescent="0.25">
      <c r="A340" s="23">
        <v>43437</v>
      </c>
      <c r="B340" s="4">
        <v>25.536000000000001</v>
      </c>
      <c r="C340" s="2" t="s">
        <v>19</v>
      </c>
      <c r="D340" s="6">
        <f>83.2/100</f>
        <v>0.83200000000000007</v>
      </c>
      <c r="E340" s="6">
        <f t="shared" si="4"/>
        <v>21.245952000000003</v>
      </c>
      <c r="F340" s="6" t="s">
        <v>54</v>
      </c>
      <c r="G340" s="6">
        <f>80.5/100</f>
        <v>0.80500000000000005</v>
      </c>
      <c r="H340" s="6">
        <f t="shared" si="11"/>
        <v>17.102991360000004</v>
      </c>
      <c r="I340" s="6" t="s">
        <v>11</v>
      </c>
      <c r="J340" s="6">
        <f>15/100</f>
        <v>0.15</v>
      </c>
      <c r="K340" s="6">
        <f>J340*H340</f>
        <v>2.5654487040000005</v>
      </c>
      <c r="L340" s="2" t="s">
        <v>32</v>
      </c>
      <c r="M340" s="2">
        <f>4.1/100</f>
        <v>4.0999999999999995E-2</v>
      </c>
      <c r="N340" s="2">
        <f>M340*H340</f>
        <v>0.70122264576000004</v>
      </c>
    </row>
    <row r="341" spans="1:14" x14ac:dyDescent="0.25">
      <c r="A341" s="23">
        <v>43438</v>
      </c>
      <c r="B341" s="4">
        <v>25.536000000000001</v>
      </c>
      <c r="C341" s="2" t="s">
        <v>19</v>
      </c>
      <c r="D341" s="6">
        <f t="shared" ref="D341:D387" si="23">83.2/100</f>
        <v>0.83200000000000007</v>
      </c>
      <c r="E341" s="6">
        <f t="shared" si="4"/>
        <v>21.245952000000003</v>
      </c>
      <c r="F341" s="6" t="s">
        <v>14</v>
      </c>
      <c r="G341" s="6">
        <f t="shared" ref="G341:G347" si="24">80.5/100</f>
        <v>0.80500000000000005</v>
      </c>
      <c r="H341" s="6">
        <f t="shared" si="11"/>
        <v>17.102991360000004</v>
      </c>
      <c r="I341" s="6" t="s">
        <v>12</v>
      </c>
      <c r="J341" s="6">
        <f>8.1/100</f>
        <v>8.1000000000000003E-2</v>
      </c>
      <c r="K341" s="6">
        <f t="shared" ref="K341:K344" si="25">J341*H341</f>
        <v>1.3853423001600005</v>
      </c>
      <c r="L341" s="2" t="s">
        <v>33</v>
      </c>
      <c r="M341" s="2">
        <f>9.1/100</f>
        <v>9.0999999999999998E-2</v>
      </c>
      <c r="N341" s="2">
        <f t="shared" ref="N341:N347" si="26">M341*H341</f>
        <v>1.5563722137600005</v>
      </c>
    </row>
    <row r="342" spans="1:14" x14ac:dyDescent="0.25">
      <c r="A342" s="23">
        <v>43439</v>
      </c>
      <c r="B342" s="4">
        <v>25.536000000000001</v>
      </c>
      <c r="C342" s="2" t="s">
        <v>19</v>
      </c>
      <c r="D342" s="6">
        <f t="shared" si="23"/>
        <v>0.83200000000000007</v>
      </c>
      <c r="E342" s="6">
        <f t="shared" si="4"/>
        <v>21.245952000000003</v>
      </c>
      <c r="F342" s="6" t="s">
        <v>14</v>
      </c>
      <c r="G342" s="6">
        <f t="shared" si="24"/>
        <v>0.80500000000000005</v>
      </c>
      <c r="H342" s="6">
        <f t="shared" si="11"/>
        <v>17.102991360000004</v>
      </c>
      <c r="I342" s="6" t="s">
        <v>7</v>
      </c>
      <c r="J342" s="14">
        <f>16.2/100</f>
        <v>0.16200000000000001</v>
      </c>
      <c r="K342" s="6">
        <f t="shared" si="25"/>
        <v>2.770684600320001</v>
      </c>
      <c r="L342" s="2" t="s">
        <v>34</v>
      </c>
      <c r="M342" s="2">
        <f>13.8/100</f>
        <v>0.13800000000000001</v>
      </c>
      <c r="N342" s="2">
        <f t="shared" si="26"/>
        <v>2.3602128076800009</v>
      </c>
    </row>
    <row r="343" spans="1:14" x14ac:dyDescent="0.25">
      <c r="A343" s="23">
        <v>43440</v>
      </c>
      <c r="B343" s="4">
        <v>25.536000000000001</v>
      </c>
      <c r="C343" s="2" t="s">
        <v>19</v>
      </c>
      <c r="D343" s="6">
        <f t="shared" si="23"/>
        <v>0.83200000000000007</v>
      </c>
      <c r="E343" s="6">
        <f t="shared" si="4"/>
        <v>21.245952000000003</v>
      </c>
      <c r="F343" s="6" t="s">
        <v>14</v>
      </c>
      <c r="G343" s="6">
        <f t="shared" si="24"/>
        <v>0.80500000000000005</v>
      </c>
      <c r="H343" s="6">
        <f t="shared" si="11"/>
        <v>17.102991360000004</v>
      </c>
      <c r="I343" s="6" t="s">
        <v>8</v>
      </c>
      <c r="J343" s="6">
        <f>34.1/100</f>
        <v>0.34100000000000003</v>
      </c>
      <c r="K343" s="6">
        <f t="shared" si="25"/>
        <v>5.8321200537600015</v>
      </c>
      <c r="L343" s="2" t="s">
        <v>35</v>
      </c>
      <c r="M343" s="2">
        <f>24.7/100</f>
        <v>0.247</v>
      </c>
      <c r="N343" s="2">
        <f t="shared" si="26"/>
        <v>4.2244388659200007</v>
      </c>
    </row>
    <row r="344" spans="1:14" x14ac:dyDescent="0.25">
      <c r="A344" s="23">
        <v>43441</v>
      </c>
      <c r="B344" s="4">
        <v>25.536000000000001</v>
      </c>
      <c r="C344" s="2" t="s">
        <v>19</v>
      </c>
      <c r="D344" s="6">
        <f t="shared" si="23"/>
        <v>0.83200000000000007</v>
      </c>
      <c r="E344" s="6">
        <f t="shared" si="4"/>
        <v>21.245952000000003</v>
      </c>
      <c r="F344" s="6" t="s">
        <v>14</v>
      </c>
      <c r="G344" s="6">
        <f t="shared" si="24"/>
        <v>0.80500000000000005</v>
      </c>
      <c r="H344" s="6">
        <f t="shared" si="11"/>
        <v>17.102991360000004</v>
      </c>
      <c r="I344" s="6" t="s">
        <v>10</v>
      </c>
      <c r="J344" s="6">
        <f>4.2/100</f>
        <v>4.2000000000000003E-2</v>
      </c>
      <c r="K344" s="6">
        <f t="shared" si="25"/>
        <v>0.71832563712000019</v>
      </c>
      <c r="L344" s="2" t="s">
        <v>36</v>
      </c>
      <c r="M344" s="2">
        <f>23.3/100</f>
        <v>0.23300000000000001</v>
      </c>
      <c r="N344" s="2">
        <f t="shared" si="26"/>
        <v>3.984996986880001</v>
      </c>
    </row>
    <row r="345" spans="1:14" x14ac:dyDescent="0.25">
      <c r="A345" s="23">
        <v>43442</v>
      </c>
      <c r="B345" s="4">
        <v>25.536000000000001</v>
      </c>
      <c r="C345" s="2" t="s">
        <v>19</v>
      </c>
      <c r="D345" s="6">
        <f t="shared" si="23"/>
        <v>0.83200000000000007</v>
      </c>
      <c r="E345" s="6">
        <f t="shared" si="4"/>
        <v>21.245952000000003</v>
      </c>
      <c r="F345" s="6" t="s">
        <v>14</v>
      </c>
      <c r="G345" s="6">
        <f t="shared" si="24"/>
        <v>0.80500000000000005</v>
      </c>
      <c r="H345" s="6">
        <f t="shared" si="11"/>
        <v>17.102991360000004</v>
      </c>
      <c r="I345" s="6" t="s">
        <v>9</v>
      </c>
      <c r="J345" s="6">
        <f>20.9/100</f>
        <v>0.20899999999999999</v>
      </c>
      <c r="K345" s="6">
        <f>J346*H345</f>
        <v>0.27364786176000006</v>
      </c>
      <c r="L345" s="2" t="s">
        <v>37</v>
      </c>
      <c r="M345" s="2">
        <f>20.4/100</f>
        <v>0.20399999999999999</v>
      </c>
      <c r="N345" s="2">
        <f t="shared" si="26"/>
        <v>3.4890102374400005</v>
      </c>
    </row>
    <row r="346" spans="1:14" x14ac:dyDescent="0.25">
      <c r="A346" s="23">
        <v>43443</v>
      </c>
      <c r="B346" s="4">
        <v>25.536000000000001</v>
      </c>
      <c r="C346" s="2" t="s">
        <v>19</v>
      </c>
      <c r="D346" s="6">
        <f t="shared" si="23"/>
        <v>0.83200000000000007</v>
      </c>
      <c r="E346" s="6">
        <f t="shared" si="4"/>
        <v>21.245952000000003</v>
      </c>
      <c r="F346" s="6" t="s">
        <v>14</v>
      </c>
      <c r="G346" s="6">
        <f t="shared" si="24"/>
        <v>0.80500000000000005</v>
      </c>
      <c r="H346" s="6">
        <f t="shared" si="11"/>
        <v>17.102991360000004</v>
      </c>
      <c r="I346" s="6" t="s">
        <v>55</v>
      </c>
      <c r="J346" s="6">
        <f>1.6/100</f>
        <v>1.6E-2</v>
      </c>
      <c r="K346" s="6"/>
      <c r="L346" s="2" t="s">
        <v>38</v>
      </c>
      <c r="M346" s="2">
        <f>3.4/100</f>
        <v>3.4000000000000002E-2</v>
      </c>
      <c r="N346" s="2">
        <f t="shared" si="26"/>
        <v>0.58150170624000019</v>
      </c>
    </row>
    <row r="347" spans="1:14" x14ac:dyDescent="0.25">
      <c r="A347" s="23">
        <v>43444</v>
      </c>
      <c r="B347" s="4">
        <v>25.536000000000001</v>
      </c>
      <c r="C347" s="2" t="s">
        <v>19</v>
      </c>
      <c r="D347" s="6">
        <f t="shared" si="23"/>
        <v>0.83200000000000007</v>
      </c>
      <c r="E347" s="6">
        <f t="shared" si="4"/>
        <v>21.245952000000003</v>
      </c>
      <c r="F347" s="6" t="s">
        <v>14</v>
      </c>
      <c r="G347" s="6">
        <f t="shared" si="24"/>
        <v>0.80500000000000005</v>
      </c>
      <c r="H347" s="6">
        <f t="shared" si="11"/>
        <v>17.102991360000004</v>
      </c>
      <c r="I347" s="6"/>
      <c r="J347" s="6"/>
      <c r="K347" s="6"/>
      <c r="L347" s="2" t="s">
        <v>39</v>
      </c>
      <c r="M347" s="2">
        <f>1.2/100</f>
        <v>1.2E-2</v>
      </c>
      <c r="N347" s="2">
        <f t="shared" si="26"/>
        <v>0.20523589632000006</v>
      </c>
    </row>
    <row r="348" spans="1:14" x14ac:dyDescent="0.25">
      <c r="A348" s="23">
        <v>43445</v>
      </c>
      <c r="B348" s="4">
        <v>25.536000000000001</v>
      </c>
      <c r="C348" s="2" t="s">
        <v>19</v>
      </c>
      <c r="D348" s="6">
        <f t="shared" si="23"/>
        <v>0.83200000000000007</v>
      </c>
      <c r="E348" s="6">
        <f t="shared" si="4"/>
        <v>21.245952000000003</v>
      </c>
      <c r="F348" s="6" t="s">
        <v>52</v>
      </c>
      <c r="G348" s="6">
        <f>85.4/100</f>
        <v>0.85400000000000009</v>
      </c>
      <c r="H348" s="6">
        <f t="shared" si="11"/>
        <v>18.144043008000004</v>
      </c>
      <c r="I348" s="6" t="s">
        <v>11</v>
      </c>
      <c r="J348" s="6">
        <f>12/100</f>
        <v>0.12</v>
      </c>
      <c r="K348" s="6">
        <f>J348*H348</f>
        <v>2.1772851609600004</v>
      </c>
      <c r="L348" s="2" t="s">
        <v>32</v>
      </c>
      <c r="M348" s="2">
        <f>0/100</f>
        <v>0</v>
      </c>
      <c r="N348" s="2">
        <f>M348*H348</f>
        <v>0</v>
      </c>
    </row>
    <row r="349" spans="1:14" x14ac:dyDescent="0.25">
      <c r="A349" s="23">
        <v>43446</v>
      </c>
      <c r="B349" s="4">
        <v>25.536000000000001</v>
      </c>
      <c r="C349" s="2" t="s">
        <v>19</v>
      </c>
      <c r="D349" s="6">
        <f t="shared" si="23"/>
        <v>0.83200000000000007</v>
      </c>
      <c r="E349" s="6">
        <f t="shared" si="4"/>
        <v>21.245952000000003</v>
      </c>
      <c r="F349" s="6" t="s">
        <v>15</v>
      </c>
      <c r="G349" s="6">
        <f t="shared" ref="G349:G355" si="27">85.4/100</f>
        <v>0.85400000000000009</v>
      </c>
      <c r="H349" s="6">
        <f t="shared" si="11"/>
        <v>18.144043008000004</v>
      </c>
      <c r="I349" s="6" t="s">
        <v>12</v>
      </c>
      <c r="J349" s="6">
        <f>6.4/100</f>
        <v>6.4000000000000001E-2</v>
      </c>
      <c r="K349" s="6">
        <f t="shared" ref="K349:K353" si="28">J349*H349</f>
        <v>1.1612187525120004</v>
      </c>
      <c r="L349" s="2" t="s">
        <v>33</v>
      </c>
      <c r="M349" s="2">
        <f>7.2/100</f>
        <v>7.2000000000000008E-2</v>
      </c>
      <c r="N349" s="2">
        <f t="shared" ref="N349:N355" si="29">M349*H349</f>
        <v>1.3063710965760005</v>
      </c>
    </row>
    <row r="350" spans="1:14" x14ac:dyDescent="0.25">
      <c r="A350" s="23">
        <v>43447</v>
      </c>
      <c r="B350" s="4">
        <v>25.536000000000001</v>
      </c>
      <c r="C350" s="2" t="s">
        <v>19</v>
      </c>
      <c r="D350" s="6">
        <f t="shared" si="23"/>
        <v>0.83200000000000007</v>
      </c>
      <c r="E350" s="6">
        <f t="shared" si="4"/>
        <v>21.245952000000003</v>
      </c>
      <c r="F350" s="6" t="s">
        <v>15</v>
      </c>
      <c r="G350" s="6">
        <f t="shared" si="27"/>
        <v>0.85400000000000009</v>
      </c>
      <c r="H350" s="6">
        <f t="shared" si="11"/>
        <v>18.144043008000004</v>
      </c>
      <c r="I350" s="6" t="s">
        <v>7</v>
      </c>
      <c r="J350" s="6">
        <f>9.4/100</f>
        <v>9.4E-2</v>
      </c>
      <c r="K350" s="6">
        <f t="shared" si="28"/>
        <v>1.7055400427520004</v>
      </c>
      <c r="L350" s="2" t="s">
        <v>34</v>
      </c>
      <c r="M350" s="2">
        <f>17.2/100</f>
        <v>0.17199999999999999</v>
      </c>
      <c r="N350" s="2">
        <f t="shared" si="29"/>
        <v>3.1207753973760006</v>
      </c>
    </row>
    <row r="351" spans="1:14" x14ac:dyDescent="0.25">
      <c r="A351" s="23">
        <v>43448</v>
      </c>
      <c r="B351" s="4">
        <v>25.536000000000001</v>
      </c>
      <c r="C351" s="2" t="s">
        <v>19</v>
      </c>
      <c r="D351" s="6">
        <f t="shared" si="23"/>
        <v>0.83200000000000007</v>
      </c>
      <c r="E351" s="6">
        <f t="shared" si="4"/>
        <v>21.245952000000003</v>
      </c>
      <c r="F351" s="6" t="s">
        <v>15</v>
      </c>
      <c r="G351" s="6">
        <f t="shared" si="27"/>
        <v>0.85400000000000009</v>
      </c>
      <c r="H351" s="6">
        <f t="shared" si="11"/>
        <v>18.144043008000004</v>
      </c>
      <c r="I351" s="6" t="s">
        <v>8</v>
      </c>
      <c r="J351" s="6">
        <f>40.7/100</f>
        <v>0.40700000000000003</v>
      </c>
      <c r="K351" s="6">
        <f t="shared" si="28"/>
        <v>7.3846255042560021</v>
      </c>
      <c r="L351" s="2" t="s">
        <v>35</v>
      </c>
      <c r="M351" s="2">
        <f>34.8/100</f>
        <v>0.34799999999999998</v>
      </c>
      <c r="N351" s="2">
        <f t="shared" si="29"/>
        <v>6.3141269667840012</v>
      </c>
    </row>
    <row r="352" spans="1:14" x14ac:dyDescent="0.25">
      <c r="A352" s="23">
        <v>43449</v>
      </c>
      <c r="B352" s="4">
        <v>25.536000000000001</v>
      </c>
      <c r="C352" s="2" t="s">
        <v>19</v>
      </c>
      <c r="D352" s="6">
        <f t="shared" si="23"/>
        <v>0.83200000000000007</v>
      </c>
      <c r="E352" s="6">
        <f t="shared" si="4"/>
        <v>21.245952000000003</v>
      </c>
      <c r="F352" s="6" t="s">
        <v>15</v>
      </c>
      <c r="G352" s="6">
        <f t="shared" si="27"/>
        <v>0.85400000000000009</v>
      </c>
      <c r="H352" s="6">
        <f t="shared" si="11"/>
        <v>18.144043008000004</v>
      </c>
      <c r="I352" s="6" t="s">
        <v>10</v>
      </c>
      <c r="J352" s="6">
        <f>3.3/100</f>
        <v>3.3000000000000002E-2</v>
      </c>
      <c r="K352" s="6">
        <f t="shared" si="28"/>
        <v>0.59875341926400016</v>
      </c>
      <c r="L352" s="2" t="s">
        <v>36</v>
      </c>
      <c r="M352" s="2">
        <f>20.2/100</f>
        <v>0.20199999999999999</v>
      </c>
      <c r="N352" s="2">
        <f t="shared" si="29"/>
        <v>3.6650966876160007</v>
      </c>
    </row>
    <row r="353" spans="1:14" x14ac:dyDescent="0.25">
      <c r="A353" s="23">
        <v>43450</v>
      </c>
      <c r="B353" s="4">
        <v>25.536000000000001</v>
      </c>
      <c r="C353" s="2" t="s">
        <v>19</v>
      </c>
      <c r="D353" s="6">
        <f t="shared" si="23"/>
        <v>0.83200000000000007</v>
      </c>
      <c r="E353" s="6">
        <f t="shared" si="4"/>
        <v>21.245952000000003</v>
      </c>
      <c r="F353" s="6" t="s">
        <v>15</v>
      </c>
      <c r="G353" s="6">
        <f t="shared" si="27"/>
        <v>0.85400000000000009</v>
      </c>
      <c r="H353" s="6">
        <f t="shared" si="11"/>
        <v>18.144043008000004</v>
      </c>
      <c r="I353" s="6" t="s">
        <v>9</v>
      </c>
      <c r="J353" s="6">
        <f>23.2/100</f>
        <v>0.23199999999999998</v>
      </c>
      <c r="K353" s="6">
        <f t="shared" si="28"/>
        <v>4.2094179778560008</v>
      </c>
      <c r="L353" s="2" t="s">
        <v>37</v>
      </c>
      <c r="M353" s="2">
        <f>16.7/100</f>
        <v>0.16699999999999998</v>
      </c>
      <c r="N353" s="2">
        <f t="shared" si="29"/>
        <v>3.0300551823360005</v>
      </c>
    </row>
    <row r="354" spans="1:14" x14ac:dyDescent="0.25">
      <c r="A354" s="23">
        <v>43451</v>
      </c>
      <c r="B354" s="4">
        <v>25.536000000000001</v>
      </c>
      <c r="C354" s="2" t="s">
        <v>19</v>
      </c>
      <c r="D354" s="6">
        <f t="shared" si="23"/>
        <v>0.83200000000000007</v>
      </c>
      <c r="E354" s="6">
        <f t="shared" si="4"/>
        <v>21.245952000000003</v>
      </c>
      <c r="F354" s="6" t="s">
        <v>15</v>
      </c>
      <c r="G354" s="6">
        <f t="shared" si="27"/>
        <v>0.85400000000000009</v>
      </c>
      <c r="H354" s="6">
        <f t="shared" si="11"/>
        <v>18.144043008000004</v>
      </c>
      <c r="I354" s="6" t="s">
        <v>55</v>
      </c>
      <c r="J354" s="6">
        <f>5/100</f>
        <v>0.05</v>
      </c>
      <c r="K354" s="6"/>
      <c r="L354" s="2" t="s">
        <v>38</v>
      </c>
      <c r="M354" s="2">
        <f>3.6/100</f>
        <v>3.6000000000000004E-2</v>
      </c>
      <c r="N354" s="2">
        <f t="shared" si="29"/>
        <v>0.65318554828800024</v>
      </c>
    </row>
    <row r="355" spans="1:14" x14ac:dyDescent="0.25">
      <c r="A355" s="23">
        <v>43452</v>
      </c>
      <c r="B355" s="4">
        <v>25.536000000000001</v>
      </c>
      <c r="C355" s="2" t="s">
        <v>19</v>
      </c>
      <c r="D355" s="6">
        <f t="shared" si="23"/>
        <v>0.83200000000000007</v>
      </c>
      <c r="E355" s="6">
        <f t="shared" si="4"/>
        <v>21.245952000000003</v>
      </c>
      <c r="F355" s="6" t="s">
        <v>15</v>
      </c>
      <c r="G355" s="6">
        <f t="shared" si="27"/>
        <v>0.85400000000000009</v>
      </c>
      <c r="H355" s="6">
        <f t="shared" si="11"/>
        <v>18.144043008000004</v>
      </c>
      <c r="I355" s="6"/>
      <c r="J355" s="6"/>
      <c r="K355" s="6"/>
      <c r="L355" s="2" t="s">
        <v>39</v>
      </c>
      <c r="M355" s="2">
        <f>0.3/100</f>
        <v>3.0000000000000001E-3</v>
      </c>
      <c r="N355" s="2">
        <f t="shared" si="29"/>
        <v>5.4432129024000013E-2</v>
      </c>
    </row>
    <row r="356" spans="1:14" x14ac:dyDescent="0.25">
      <c r="A356" s="23">
        <v>43453</v>
      </c>
      <c r="B356" s="4">
        <v>25.536000000000001</v>
      </c>
      <c r="C356" s="2" t="s">
        <v>19</v>
      </c>
      <c r="D356" s="6">
        <f t="shared" si="23"/>
        <v>0.83200000000000007</v>
      </c>
      <c r="E356" s="6">
        <f t="shared" si="4"/>
        <v>21.245952000000003</v>
      </c>
      <c r="F356" s="6" t="s">
        <v>53</v>
      </c>
      <c r="G356" s="6">
        <f>83.3/100</f>
        <v>0.83299999999999996</v>
      </c>
      <c r="H356" s="6">
        <f t="shared" si="11"/>
        <v>17.697878016000001</v>
      </c>
      <c r="I356" s="6" t="s">
        <v>11</v>
      </c>
      <c r="J356" s="6">
        <f>15.7/100</f>
        <v>0.157</v>
      </c>
      <c r="K356" s="6">
        <f>J356*H356</f>
        <v>2.7785668485120003</v>
      </c>
      <c r="L356" s="2" t="s">
        <v>32</v>
      </c>
      <c r="M356" s="2">
        <f>4.1/100</f>
        <v>4.0999999999999995E-2</v>
      </c>
      <c r="N356" s="2">
        <f>M356*H356</f>
        <v>0.72561299865599993</v>
      </c>
    </row>
    <row r="357" spans="1:14" x14ac:dyDescent="0.25">
      <c r="A357" s="23">
        <v>43454</v>
      </c>
      <c r="B357" s="4">
        <v>25.536000000000001</v>
      </c>
      <c r="C357" s="2" t="s">
        <v>19</v>
      </c>
      <c r="D357" s="6">
        <f t="shared" si="23"/>
        <v>0.83200000000000007</v>
      </c>
      <c r="E357" s="6">
        <f t="shared" si="4"/>
        <v>21.245952000000003</v>
      </c>
      <c r="F357" s="6" t="s">
        <v>16</v>
      </c>
      <c r="G357" s="6">
        <f t="shared" ref="G357:G363" si="30">83.3/100</f>
        <v>0.83299999999999996</v>
      </c>
      <c r="H357" s="6">
        <f t="shared" si="11"/>
        <v>17.697878016000001</v>
      </c>
      <c r="I357" s="6" t="s">
        <v>12</v>
      </c>
      <c r="J357" s="6">
        <f>6.4/100</f>
        <v>6.4000000000000001E-2</v>
      </c>
      <c r="K357" s="6">
        <f t="shared" ref="K357:K361" si="31">J357*H357</f>
        <v>1.132664193024</v>
      </c>
      <c r="L357" s="2" t="s">
        <v>33</v>
      </c>
      <c r="M357" s="2">
        <f>10.8/100</f>
        <v>0.10800000000000001</v>
      </c>
      <c r="N357" s="2">
        <f t="shared" ref="N357:N363" si="32">M357*H357</f>
        <v>1.9113708257280002</v>
      </c>
    </row>
    <row r="358" spans="1:14" x14ac:dyDescent="0.25">
      <c r="A358" s="23">
        <v>43455</v>
      </c>
      <c r="B358" s="4">
        <v>25.536000000000001</v>
      </c>
      <c r="C358" s="2" t="s">
        <v>19</v>
      </c>
      <c r="D358" s="6">
        <f t="shared" si="23"/>
        <v>0.83200000000000007</v>
      </c>
      <c r="E358" s="6">
        <f t="shared" si="4"/>
        <v>21.245952000000003</v>
      </c>
      <c r="F358" s="6" t="s">
        <v>16</v>
      </c>
      <c r="G358" s="6">
        <f t="shared" si="30"/>
        <v>0.83299999999999996</v>
      </c>
      <c r="H358" s="6">
        <f t="shared" si="11"/>
        <v>17.697878016000001</v>
      </c>
      <c r="I358" s="6" t="s">
        <v>7</v>
      </c>
      <c r="J358" s="6">
        <f>16.9/100</f>
        <v>0.16899999999999998</v>
      </c>
      <c r="K358" s="6">
        <f t="shared" si="31"/>
        <v>2.9909413847039996</v>
      </c>
      <c r="L358" s="2" t="s">
        <v>34</v>
      </c>
      <c r="M358" s="2">
        <f>13.3/100</f>
        <v>0.13300000000000001</v>
      </c>
      <c r="N358" s="2">
        <f t="shared" si="32"/>
        <v>2.3538177761280004</v>
      </c>
    </row>
    <row r="359" spans="1:14" x14ac:dyDescent="0.25">
      <c r="A359" s="23">
        <v>43456</v>
      </c>
      <c r="B359" s="4">
        <v>25.536000000000001</v>
      </c>
      <c r="C359" s="2" t="s">
        <v>19</v>
      </c>
      <c r="D359" s="6">
        <f t="shared" si="23"/>
        <v>0.83200000000000007</v>
      </c>
      <c r="E359" s="6">
        <f t="shared" si="4"/>
        <v>21.245952000000003</v>
      </c>
      <c r="F359" s="6" t="s">
        <v>16</v>
      </c>
      <c r="G359" s="6">
        <f t="shared" si="30"/>
        <v>0.83299999999999996</v>
      </c>
      <c r="H359" s="6">
        <f t="shared" si="11"/>
        <v>17.697878016000001</v>
      </c>
      <c r="I359" s="6" t="s">
        <v>8</v>
      </c>
      <c r="J359" s="6">
        <f>36.9/100</f>
        <v>0.36899999999999999</v>
      </c>
      <c r="K359" s="6">
        <f t="shared" si="31"/>
        <v>6.5305169879039999</v>
      </c>
      <c r="L359" s="2" t="s">
        <v>35</v>
      </c>
      <c r="M359" s="2">
        <f>23.3/100</f>
        <v>0.23300000000000001</v>
      </c>
      <c r="N359" s="2">
        <f t="shared" si="32"/>
        <v>4.1236055777280001</v>
      </c>
    </row>
    <row r="360" spans="1:14" x14ac:dyDescent="0.25">
      <c r="A360" s="23">
        <v>43457</v>
      </c>
      <c r="B360" s="4">
        <v>25.536000000000001</v>
      </c>
      <c r="C360" s="2" t="s">
        <v>19</v>
      </c>
      <c r="D360" s="6">
        <f t="shared" si="23"/>
        <v>0.83200000000000007</v>
      </c>
      <c r="E360" s="6">
        <f t="shared" si="4"/>
        <v>21.245952000000003</v>
      </c>
      <c r="F360" s="6" t="s">
        <v>16</v>
      </c>
      <c r="G360" s="6">
        <f t="shared" si="30"/>
        <v>0.83299999999999996</v>
      </c>
      <c r="H360" s="6">
        <f t="shared" si="11"/>
        <v>17.697878016000001</v>
      </c>
      <c r="I360" s="6" t="s">
        <v>10</v>
      </c>
      <c r="J360" s="6">
        <f>4.6/100</f>
        <v>4.5999999999999999E-2</v>
      </c>
      <c r="K360" s="6">
        <f t="shared" si="31"/>
        <v>0.81410238873600005</v>
      </c>
      <c r="L360" s="2" t="s">
        <v>36</v>
      </c>
      <c r="M360" s="2">
        <f>22.1/100</f>
        <v>0.221</v>
      </c>
      <c r="N360" s="2">
        <f t="shared" si="32"/>
        <v>3.9112310415360003</v>
      </c>
    </row>
    <row r="361" spans="1:14" x14ac:dyDescent="0.25">
      <c r="A361" s="23">
        <v>43458</v>
      </c>
      <c r="B361" s="4">
        <v>25.536000000000001</v>
      </c>
      <c r="C361" s="2" t="s">
        <v>19</v>
      </c>
      <c r="D361" s="6">
        <f t="shared" si="23"/>
        <v>0.83200000000000007</v>
      </c>
      <c r="E361" s="6">
        <f t="shared" si="4"/>
        <v>21.245952000000003</v>
      </c>
      <c r="F361" s="6" t="s">
        <v>16</v>
      </c>
      <c r="G361" s="6">
        <f t="shared" si="30"/>
        <v>0.83299999999999996</v>
      </c>
      <c r="H361" s="6">
        <f t="shared" si="11"/>
        <v>17.697878016000001</v>
      </c>
      <c r="I361" s="6" t="s">
        <v>9</v>
      </c>
      <c r="J361" s="6">
        <f>17.3/100</f>
        <v>0.17300000000000001</v>
      </c>
      <c r="K361" s="6">
        <f t="shared" si="31"/>
        <v>3.0617328967680004</v>
      </c>
      <c r="L361" s="2" t="s">
        <v>37</v>
      </c>
      <c r="M361" s="2">
        <f>22.6/100</f>
        <v>0.22600000000000001</v>
      </c>
      <c r="N361" s="2">
        <f t="shared" si="32"/>
        <v>3.9997204316160002</v>
      </c>
    </row>
    <row r="362" spans="1:14" x14ac:dyDescent="0.25">
      <c r="A362" s="23">
        <v>43459</v>
      </c>
      <c r="B362" s="4">
        <v>25.536000000000001</v>
      </c>
      <c r="C362" s="2" t="s">
        <v>19</v>
      </c>
      <c r="D362" s="6">
        <f t="shared" si="23"/>
        <v>0.83200000000000007</v>
      </c>
      <c r="E362" s="6">
        <f t="shared" si="4"/>
        <v>21.245952000000003</v>
      </c>
      <c r="F362" s="6" t="s">
        <v>16</v>
      </c>
      <c r="G362" s="6">
        <f t="shared" si="30"/>
        <v>0.83299999999999996</v>
      </c>
      <c r="H362" s="6">
        <f t="shared" si="11"/>
        <v>17.697878016000001</v>
      </c>
      <c r="I362" s="6" t="s">
        <v>55</v>
      </c>
      <c r="J362" s="6">
        <f>2.2/100</f>
        <v>2.2000000000000002E-2</v>
      </c>
      <c r="K362" s="6"/>
      <c r="L362" s="2" t="s">
        <v>38</v>
      </c>
      <c r="M362" s="2">
        <f>2.3/100</f>
        <v>2.3E-2</v>
      </c>
      <c r="N362" s="2">
        <f t="shared" si="32"/>
        <v>0.40705119436800002</v>
      </c>
    </row>
    <row r="363" spans="1:14" x14ac:dyDescent="0.25">
      <c r="A363" s="23">
        <v>43460</v>
      </c>
      <c r="B363" s="4">
        <v>25.536000000000001</v>
      </c>
      <c r="C363" s="2" t="s">
        <v>19</v>
      </c>
      <c r="D363" s="6">
        <f t="shared" si="23"/>
        <v>0.83200000000000007</v>
      </c>
      <c r="E363" s="6">
        <f t="shared" si="4"/>
        <v>21.245952000000003</v>
      </c>
      <c r="F363" s="6" t="s">
        <v>16</v>
      </c>
      <c r="G363" s="6">
        <f t="shared" si="30"/>
        <v>0.83299999999999996</v>
      </c>
      <c r="H363" s="6">
        <f t="shared" si="11"/>
        <v>17.697878016000001</v>
      </c>
      <c r="I363" s="6"/>
      <c r="J363" s="6"/>
      <c r="K363" s="6"/>
      <c r="L363" s="2" t="s">
        <v>39</v>
      </c>
      <c r="M363" s="2">
        <f>1.6/100</f>
        <v>1.6E-2</v>
      </c>
      <c r="N363" s="2">
        <f t="shared" si="32"/>
        <v>0.283166048256</v>
      </c>
    </row>
    <row r="364" spans="1:14" x14ac:dyDescent="0.25">
      <c r="A364" s="23">
        <v>43461</v>
      </c>
      <c r="B364" s="4">
        <v>25.536000000000001</v>
      </c>
      <c r="C364" s="2" t="s">
        <v>19</v>
      </c>
      <c r="D364" s="6">
        <f t="shared" si="23"/>
        <v>0.83200000000000007</v>
      </c>
      <c r="E364" s="6">
        <f t="shared" si="4"/>
        <v>21.245952000000003</v>
      </c>
      <c r="F364" s="2" t="s">
        <v>51</v>
      </c>
      <c r="G364" s="6">
        <f>81.4/100</f>
        <v>0.81400000000000006</v>
      </c>
      <c r="H364" s="6">
        <f t="shared" si="11"/>
        <v>17.294204928000003</v>
      </c>
      <c r="I364" s="6" t="s">
        <v>11</v>
      </c>
      <c r="J364" s="6">
        <f>20.5/100</f>
        <v>0.20499999999999999</v>
      </c>
      <c r="K364" s="8">
        <f>J364*H364</f>
        <v>3.5453120102400004</v>
      </c>
      <c r="L364" s="2" t="s">
        <v>32</v>
      </c>
      <c r="M364" s="2">
        <f>5.1/100</f>
        <v>5.0999999999999997E-2</v>
      </c>
      <c r="N364" s="2">
        <f>M364*H364</f>
        <v>0.88200445132800009</v>
      </c>
    </row>
    <row r="365" spans="1:14" x14ac:dyDescent="0.25">
      <c r="A365" s="23">
        <v>43462</v>
      </c>
      <c r="B365" s="4">
        <v>25.536000000000001</v>
      </c>
      <c r="C365" s="2" t="s">
        <v>19</v>
      </c>
      <c r="D365" s="6">
        <f t="shared" si="23"/>
        <v>0.83200000000000007</v>
      </c>
      <c r="E365" s="6">
        <f t="shared" si="4"/>
        <v>21.245952000000003</v>
      </c>
      <c r="F365" s="2" t="s">
        <v>13</v>
      </c>
      <c r="G365" s="6">
        <f t="shared" ref="G365:G371" si="33">81.4/100</f>
        <v>0.81400000000000006</v>
      </c>
      <c r="H365" s="6">
        <f t="shared" si="11"/>
        <v>17.294204928000003</v>
      </c>
      <c r="I365" s="6" t="s">
        <v>12</v>
      </c>
      <c r="J365" s="6">
        <f>9.6/100</f>
        <v>9.6000000000000002E-2</v>
      </c>
      <c r="K365" s="8">
        <f t="shared" ref="K365:K369" si="34">J365*H365</f>
        <v>1.6602436730880004</v>
      </c>
      <c r="L365" s="2" t="s">
        <v>33</v>
      </c>
      <c r="M365" s="2">
        <f>10.4/100</f>
        <v>0.10400000000000001</v>
      </c>
      <c r="N365" s="2">
        <f t="shared" ref="N365:N371" si="35">M365*H365</f>
        <v>1.7985973125120005</v>
      </c>
    </row>
    <row r="366" spans="1:14" x14ac:dyDescent="0.25">
      <c r="A366" s="23">
        <v>43463</v>
      </c>
      <c r="B366" s="4">
        <v>25.536000000000001</v>
      </c>
      <c r="C366" s="2" t="s">
        <v>19</v>
      </c>
      <c r="D366" s="6">
        <f t="shared" si="23"/>
        <v>0.83200000000000007</v>
      </c>
      <c r="E366" s="6">
        <f t="shared" si="4"/>
        <v>21.245952000000003</v>
      </c>
      <c r="F366" s="2" t="s">
        <v>13</v>
      </c>
      <c r="G366" s="6">
        <f t="shared" si="33"/>
        <v>0.81400000000000006</v>
      </c>
      <c r="H366" s="6">
        <f t="shared" si="11"/>
        <v>17.294204928000003</v>
      </c>
      <c r="I366" s="6" t="s">
        <v>7</v>
      </c>
      <c r="J366" s="6">
        <f>18.1/100</f>
        <v>0.18100000000000002</v>
      </c>
      <c r="K366" s="8">
        <f t="shared" si="34"/>
        <v>3.1302510919680007</v>
      </c>
      <c r="L366" s="2" t="s">
        <v>34</v>
      </c>
      <c r="M366" s="2">
        <f>11.5/100</f>
        <v>0.115</v>
      </c>
      <c r="N366" s="2">
        <f t="shared" si="35"/>
        <v>1.9888335667200003</v>
      </c>
    </row>
    <row r="367" spans="1:14" x14ac:dyDescent="0.25">
      <c r="A367" s="23">
        <v>43464</v>
      </c>
      <c r="B367" s="4">
        <v>25.536000000000001</v>
      </c>
      <c r="C367" s="2" t="s">
        <v>19</v>
      </c>
      <c r="D367" s="6">
        <f t="shared" si="23"/>
        <v>0.83200000000000007</v>
      </c>
      <c r="E367" s="6">
        <f t="shared" si="4"/>
        <v>21.245952000000003</v>
      </c>
      <c r="F367" s="2" t="s">
        <v>13</v>
      </c>
      <c r="G367" s="6">
        <f t="shared" si="33"/>
        <v>0.81400000000000006</v>
      </c>
      <c r="H367" s="6">
        <f t="shared" si="11"/>
        <v>17.294204928000003</v>
      </c>
      <c r="I367" s="6" t="s">
        <v>8</v>
      </c>
      <c r="J367" s="6">
        <f>35.2/100</f>
        <v>0.35200000000000004</v>
      </c>
      <c r="K367" s="8">
        <f t="shared" si="34"/>
        <v>6.0875601346560018</v>
      </c>
      <c r="L367" s="2" t="s">
        <v>35</v>
      </c>
      <c r="M367" s="2">
        <f>24/100</f>
        <v>0.24</v>
      </c>
      <c r="N367" s="2">
        <f t="shared" si="35"/>
        <v>4.1506091827200002</v>
      </c>
    </row>
    <row r="368" spans="1:14" x14ac:dyDescent="0.25">
      <c r="A368" s="23">
        <v>43465</v>
      </c>
      <c r="B368" s="4">
        <v>25.536000000000001</v>
      </c>
      <c r="C368" s="2" t="s">
        <v>19</v>
      </c>
      <c r="D368" s="6">
        <f t="shared" si="23"/>
        <v>0.83200000000000007</v>
      </c>
      <c r="E368" s="6">
        <f t="shared" si="4"/>
        <v>21.245952000000003</v>
      </c>
      <c r="F368" s="2" t="s">
        <v>13</v>
      </c>
      <c r="G368" s="6">
        <f t="shared" si="33"/>
        <v>0.81400000000000006</v>
      </c>
      <c r="H368" s="6">
        <f t="shared" si="11"/>
        <v>17.294204928000003</v>
      </c>
      <c r="I368" s="6" t="s">
        <v>10</v>
      </c>
      <c r="J368" s="6">
        <f>2.7/100</f>
        <v>2.7000000000000003E-2</v>
      </c>
      <c r="K368" s="8">
        <f t="shared" si="34"/>
        <v>0.46694353305600012</v>
      </c>
      <c r="L368" s="2" t="s">
        <v>36</v>
      </c>
      <c r="M368" s="2">
        <f>24.1/100</f>
        <v>0.24100000000000002</v>
      </c>
      <c r="N368" s="2">
        <f t="shared" si="35"/>
        <v>4.1679033876480007</v>
      </c>
    </row>
    <row r="369" spans="1:14" x14ac:dyDescent="0.25">
      <c r="A369" s="23">
        <v>43466</v>
      </c>
      <c r="B369" s="4">
        <v>25.536000000000001</v>
      </c>
      <c r="C369" s="2" t="s">
        <v>19</v>
      </c>
      <c r="D369" s="6">
        <f t="shared" si="23"/>
        <v>0.83200000000000007</v>
      </c>
      <c r="E369" s="6">
        <f t="shared" si="4"/>
        <v>21.245952000000003</v>
      </c>
      <c r="F369" s="2" t="s">
        <v>13</v>
      </c>
      <c r="G369" s="6">
        <f t="shared" si="33"/>
        <v>0.81400000000000006</v>
      </c>
      <c r="H369" s="6">
        <f t="shared" si="11"/>
        <v>17.294204928000003</v>
      </c>
      <c r="I369" s="6" t="s">
        <v>9</v>
      </c>
      <c r="J369" s="6">
        <f>12/100</f>
        <v>0.12</v>
      </c>
      <c r="K369" s="8">
        <f t="shared" si="34"/>
        <v>2.0753045913600001</v>
      </c>
      <c r="L369" s="2" t="s">
        <v>37</v>
      </c>
      <c r="M369" s="2">
        <f>19.2/100</f>
        <v>0.192</v>
      </c>
      <c r="N369" s="2">
        <f t="shared" si="35"/>
        <v>3.3204873461760007</v>
      </c>
    </row>
    <row r="370" spans="1:14" x14ac:dyDescent="0.25">
      <c r="A370" s="23">
        <v>43467</v>
      </c>
      <c r="B370" s="4">
        <v>25.536000000000001</v>
      </c>
      <c r="C370" s="2" t="s">
        <v>19</v>
      </c>
      <c r="D370" s="6">
        <f t="shared" si="23"/>
        <v>0.83200000000000007</v>
      </c>
      <c r="E370" s="6">
        <f t="shared" si="4"/>
        <v>21.245952000000003</v>
      </c>
      <c r="F370" s="2" t="s">
        <v>13</v>
      </c>
      <c r="G370" s="6">
        <f t="shared" si="33"/>
        <v>0.81400000000000006</v>
      </c>
      <c r="H370" s="6">
        <f t="shared" si="11"/>
        <v>17.294204928000003</v>
      </c>
      <c r="I370" s="6" t="s">
        <v>55</v>
      </c>
      <c r="J370" s="6">
        <f>1.8/100</f>
        <v>1.8000000000000002E-2</v>
      </c>
      <c r="K370" s="8"/>
      <c r="L370" s="2" t="s">
        <v>38</v>
      </c>
      <c r="M370" s="2">
        <f>3.8/100</f>
        <v>3.7999999999999999E-2</v>
      </c>
      <c r="N370" s="2">
        <f t="shared" si="35"/>
        <v>0.65717978726400006</v>
      </c>
    </row>
    <row r="371" spans="1:14" x14ac:dyDescent="0.25">
      <c r="A371" s="23">
        <v>43468</v>
      </c>
      <c r="B371" s="4">
        <v>25.536000000000001</v>
      </c>
      <c r="C371" s="2" t="s">
        <v>19</v>
      </c>
      <c r="D371" s="6">
        <f t="shared" si="23"/>
        <v>0.83200000000000007</v>
      </c>
      <c r="E371" s="6">
        <f t="shared" si="4"/>
        <v>21.245952000000003</v>
      </c>
      <c r="F371" s="2" t="s">
        <v>13</v>
      </c>
      <c r="G371" s="6">
        <f t="shared" si="33"/>
        <v>0.81400000000000006</v>
      </c>
      <c r="H371" s="6">
        <f t="shared" si="11"/>
        <v>17.294204928000003</v>
      </c>
      <c r="I371" s="6"/>
      <c r="J371" s="6"/>
      <c r="K371" s="8"/>
      <c r="L371" s="2" t="s">
        <v>39</v>
      </c>
      <c r="M371" s="2">
        <f>1.8/100</f>
        <v>1.8000000000000002E-2</v>
      </c>
      <c r="N371" s="2">
        <f t="shared" si="35"/>
        <v>0.3112956887040001</v>
      </c>
    </row>
    <row r="372" spans="1:14" x14ac:dyDescent="0.25">
      <c r="A372" s="23">
        <v>43469</v>
      </c>
      <c r="B372" s="4">
        <v>25.536000000000001</v>
      </c>
      <c r="C372" s="2" t="s">
        <v>19</v>
      </c>
      <c r="D372" s="6">
        <f t="shared" si="23"/>
        <v>0.83200000000000007</v>
      </c>
      <c r="E372" s="6">
        <f t="shared" si="4"/>
        <v>21.245952000000003</v>
      </c>
      <c r="F372" s="2" t="s">
        <v>50</v>
      </c>
      <c r="G372" s="6">
        <f>82.5/100</f>
        <v>0.82499999999999996</v>
      </c>
      <c r="H372" s="6">
        <f t="shared" si="11"/>
        <v>17.5279104</v>
      </c>
      <c r="I372" s="6" t="s">
        <v>11</v>
      </c>
      <c r="J372" s="6">
        <f>3.9/100</f>
        <v>3.9E-2</v>
      </c>
      <c r="K372" s="6">
        <f>J372*H372</f>
        <v>0.68358850559999995</v>
      </c>
      <c r="L372" s="2" t="s">
        <v>32</v>
      </c>
      <c r="M372" s="2">
        <f>3.6/100</f>
        <v>3.6000000000000004E-2</v>
      </c>
      <c r="N372" s="2">
        <f>M372*H372</f>
        <v>0.63100477440000002</v>
      </c>
    </row>
    <row r="373" spans="1:14" x14ac:dyDescent="0.25">
      <c r="A373" s="23">
        <v>43470</v>
      </c>
      <c r="B373" s="4">
        <v>25.536000000000001</v>
      </c>
      <c r="C373" s="2" t="s">
        <v>19</v>
      </c>
      <c r="D373" s="6">
        <f t="shared" si="23"/>
        <v>0.83200000000000007</v>
      </c>
      <c r="E373" s="6">
        <f t="shared" si="4"/>
        <v>21.245952000000003</v>
      </c>
      <c r="F373" s="2" t="s">
        <v>17</v>
      </c>
      <c r="G373" s="6">
        <f t="shared" ref="G373:G379" si="36">82.5/100</f>
        <v>0.82499999999999996</v>
      </c>
      <c r="H373" s="6">
        <f t="shared" si="11"/>
        <v>17.5279104</v>
      </c>
      <c r="I373" s="6" t="s">
        <v>12</v>
      </c>
      <c r="J373" s="6">
        <f>6.6/100</f>
        <v>6.6000000000000003E-2</v>
      </c>
      <c r="K373" s="6">
        <f t="shared" ref="K373:K377" si="37">J373*H373</f>
        <v>1.1568420864</v>
      </c>
      <c r="L373" s="2" t="s">
        <v>33</v>
      </c>
      <c r="M373" s="2">
        <f>10.4/100</f>
        <v>0.10400000000000001</v>
      </c>
      <c r="N373" s="2">
        <f t="shared" ref="N373:N375" si="38">M373*H373</f>
        <v>1.8229026816</v>
      </c>
    </row>
    <row r="374" spans="1:14" x14ac:dyDescent="0.25">
      <c r="A374" s="23">
        <v>43471</v>
      </c>
      <c r="B374" s="4">
        <v>25.536000000000001</v>
      </c>
      <c r="C374" s="2" t="s">
        <v>19</v>
      </c>
      <c r="D374" s="6">
        <f t="shared" si="23"/>
        <v>0.83200000000000007</v>
      </c>
      <c r="E374" s="6">
        <f t="shared" si="4"/>
        <v>21.245952000000003</v>
      </c>
      <c r="F374" s="2" t="s">
        <v>17</v>
      </c>
      <c r="G374" s="6">
        <f t="shared" si="36"/>
        <v>0.82499999999999996</v>
      </c>
      <c r="H374" s="6">
        <f t="shared" si="11"/>
        <v>17.5279104</v>
      </c>
      <c r="I374" s="6" t="s">
        <v>7</v>
      </c>
      <c r="J374" s="6">
        <f>11.8/100</f>
        <v>0.11800000000000001</v>
      </c>
      <c r="K374" s="6">
        <f t="shared" si="37"/>
        <v>2.0682934272</v>
      </c>
      <c r="L374" s="2" t="s">
        <v>34</v>
      </c>
      <c r="M374" s="2">
        <f>12.2/100</f>
        <v>0.122</v>
      </c>
      <c r="N374" s="2">
        <f t="shared" si="38"/>
        <v>2.1384050688</v>
      </c>
    </row>
    <row r="375" spans="1:14" x14ac:dyDescent="0.25">
      <c r="A375" s="23">
        <v>43472</v>
      </c>
      <c r="B375" s="4">
        <v>25.536000000000001</v>
      </c>
      <c r="C375" s="2" t="s">
        <v>19</v>
      </c>
      <c r="D375" s="6">
        <f t="shared" si="23"/>
        <v>0.83200000000000007</v>
      </c>
      <c r="E375" s="6">
        <f t="shared" si="4"/>
        <v>21.245952000000003</v>
      </c>
      <c r="F375" s="2" t="s">
        <v>17</v>
      </c>
      <c r="G375" s="6">
        <f t="shared" si="36"/>
        <v>0.82499999999999996</v>
      </c>
      <c r="H375" s="6">
        <f t="shared" si="11"/>
        <v>17.5279104</v>
      </c>
      <c r="I375" s="6" t="s">
        <v>8</v>
      </c>
      <c r="J375" s="6">
        <f>54/100</f>
        <v>0.54</v>
      </c>
      <c r="K375" s="6">
        <f t="shared" si="37"/>
        <v>9.4650716160000012</v>
      </c>
      <c r="L375" s="2" t="s">
        <v>35</v>
      </c>
      <c r="M375" s="2">
        <f>27.3/100</f>
        <v>0.27300000000000002</v>
      </c>
      <c r="N375" s="2">
        <f t="shared" si="38"/>
        <v>4.7851195392000001</v>
      </c>
    </row>
    <row r="376" spans="1:14" x14ac:dyDescent="0.25">
      <c r="A376" s="23">
        <v>43473</v>
      </c>
      <c r="B376" s="4">
        <v>25.536000000000001</v>
      </c>
      <c r="C376" s="2" t="s">
        <v>19</v>
      </c>
      <c r="D376" s="6">
        <f t="shared" si="23"/>
        <v>0.83200000000000007</v>
      </c>
      <c r="E376" s="6">
        <f t="shared" si="4"/>
        <v>21.245952000000003</v>
      </c>
      <c r="F376" s="2" t="s">
        <v>17</v>
      </c>
      <c r="G376" s="6">
        <f t="shared" si="36"/>
        <v>0.82499999999999996</v>
      </c>
      <c r="H376" s="6">
        <f t="shared" si="11"/>
        <v>17.5279104</v>
      </c>
      <c r="I376" s="6" t="s">
        <v>10</v>
      </c>
      <c r="J376" s="6">
        <f>3.9/100</f>
        <v>3.9E-2</v>
      </c>
      <c r="K376" s="6">
        <f t="shared" si="37"/>
        <v>0.68358850559999995</v>
      </c>
      <c r="L376" s="2" t="s">
        <v>36</v>
      </c>
      <c r="M376" s="2">
        <f>23.2/100</f>
        <v>0.23199999999999998</v>
      </c>
      <c r="N376" s="2">
        <f>M375*H376</f>
        <v>4.7851195392000001</v>
      </c>
    </row>
    <row r="377" spans="1:14" x14ac:dyDescent="0.25">
      <c r="A377" s="23">
        <v>43474</v>
      </c>
      <c r="B377" s="4">
        <v>25.536000000000001</v>
      </c>
      <c r="C377" s="2" t="s">
        <v>19</v>
      </c>
      <c r="D377" s="6">
        <f t="shared" si="23"/>
        <v>0.83200000000000007</v>
      </c>
      <c r="E377" s="6">
        <f t="shared" si="4"/>
        <v>21.245952000000003</v>
      </c>
      <c r="F377" s="2" t="s">
        <v>17</v>
      </c>
      <c r="G377" s="6">
        <f t="shared" si="36"/>
        <v>0.82499999999999996</v>
      </c>
      <c r="H377" s="6">
        <f t="shared" si="11"/>
        <v>17.5279104</v>
      </c>
      <c r="I377" s="6" t="s">
        <v>9</v>
      </c>
      <c r="J377" s="6">
        <f>19.2/100</f>
        <v>0.192</v>
      </c>
      <c r="K377" s="6">
        <f t="shared" si="37"/>
        <v>3.3653587967999998</v>
      </c>
      <c r="L377" s="2" t="s">
        <v>37</v>
      </c>
      <c r="M377" s="2">
        <f>21.7/100</f>
        <v>0.217</v>
      </c>
      <c r="N377" s="2">
        <f>M376*H377</f>
        <v>4.0664752127999995</v>
      </c>
    </row>
    <row r="378" spans="1:14" x14ac:dyDescent="0.25">
      <c r="A378" s="23">
        <v>43475</v>
      </c>
      <c r="B378" s="4">
        <v>25.536000000000001</v>
      </c>
      <c r="C378" s="2" t="s">
        <v>19</v>
      </c>
      <c r="D378" s="6">
        <f t="shared" si="23"/>
        <v>0.83200000000000007</v>
      </c>
      <c r="E378" s="6">
        <f t="shared" si="4"/>
        <v>21.245952000000003</v>
      </c>
      <c r="F378" s="2" t="s">
        <v>17</v>
      </c>
      <c r="G378" s="6">
        <f t="shared" si="36"/>
        <v>0.82499999999999996</v>
      </c>
      <c r="H378" s="6">
        <f t="shared" si="11"/>
        <v>17.5279104</v>
      </c>
      <c r="I378" s="6" t="s">
        <v>55</v>
      </c>
      <c r="J378" s="6">
        <f>0.6/100</f>
        <v>6.0000000000000001E-3</v>
      </c>
      <c r="K378" s="6"/>
      <c r="L378" s="2" t="s">
        <v>38</v>
      </c>
      <c r="M378" s="2">
        <f>1.2/100</f>
        <v>1.2E-2</v>
      </c>
      <c r="N378" s="2">
        <f>M377*H378</f>
        <v>3.8035565567999998</v>
      </c>
    </row>
    <row r="379" spans="1:14" x14ac:dyDescent="0.25">
      <c r="A379" s="23">
        <v>43476</v>
      </c>
      <c r="B379" s="4">
        <v>25.536000000000001</v>
      </c>
      <c r="C379" s="2" t="s">
        <v>19</v>
      </c>
      <c r="D379" s="6">
        <f t="shared" si="23"/>
        <v>0.83200000000000007</v>
      </c>
      <c r="E379" s="6">
        <f t="shared" si="4"/>
        <v>21.245952000000003</v>
      </c>
      <c r="F379" s="2" t="s">
        <v>17</v>
      </c>
      <c r="G379" s="6">
        <f t="shared" si="36"/>
        <v>0.82499999999999996</v>
      </c>
      <c r="H379" s="6">
        <f t="shared" si="11"/>
        <v>17.5279104</v>
      </c>
      <c r="I379" s="6"/>
      <c r="J379" s="6"/>
      <c r="K379" s="6"/>
      <c r="L379" s="2" t="s">
        <v>39</v>
      </c>
      <c r="M379" s="2">
        <f>0.4/100</f>
        <v>4.0000000000000001E-3</v>
      </c>
      <c r="N379" s="2">
        <f>M378*H379</f>
        <v>0.21033492479999999</v>
      </c>
    </row>
    <row r="380" spans="1:14" x14ac:dyDescent="0.25">
      <c r="A380" s="23">
        <v>43477</v>
      </c>
      <c r="B380" s="4">
        <v>25.536000000000001</v>
      </c>
      <c r="C380" s="2" t="s">
        <v>19</v>
      </c>
      <c r="D380" s="6">
        <f t="shared" si="23"/>
        <v>0.83200000000000007</v>
      </c>
      <c r="E380" s="6">
        <f t="shared" si="4"/>
        <v>21.245952000000003</v>
      </c>
      <c r="F380" s="2" t="s">
        <v>49</v>
      </c>
      <c r="G380" s="2">
        <f>87.1/100</f>
        <v>0.871</v>
      </c>
      <c r="H380" s="6">
        <f t="shared" si="11"/>
        <v>18.505224192000004</v>
      </c>
      <c r="I380" s="6" t="s">
        <v>11</v>
      </c>
      <c r="J380" s="6">
        <f>23.2/100</f>
        <v>0.23199999999999998</v>
      </c>
      <c r="K380" s="6">
        <f>J380*H380</f>
        <v>4.2932120125440001</v>
      </c>
      <c r="L380" s="2" t="s">
        <v>32</v>
      </c>
      <c r="M380" s="2">
        <f>6.9/100</f>
        <v>6.9000000000000006E-2</v>
      </c>
      <c r="N380" s="2">
        <f>M380*H380</f>
        <v>1.2768604692480003</v>
      </c>
    </row>
    <row r="381" spans="1:14" x14ac:dyDescent="0.25">
      <c r="A381" s="23">
        <v>43478</v>
      </c>
      <c r="B381" s="4">
        <v>25.536000000000001</v>
      </c>
      <c r="C381" s="2" t="s">
        <v>19</v>
      </c>
      <c r="D381" s="6">
        <f t="shared" si="23"/>
        <v>0.83200000000000007</v>
      </c>
      <c r="E381" s="6">
        <f t="shared" ref="E381:E387" si="39">D381*B381</f>
        <v>21.245952000000003</v>
      </c>
      <c r="F381" s="2" t="s">
        <v>18</v>
      </c>
      <c r="G381" s="2">
        <f t="shared" ref="G381:G387" si="40">87.1/100</f>
        <v>0.871</v>
      </c>
      <c r="H381" s="6">
        <f t="shared" si="11"/>
        <v>18.505224192000004</v>
      </c>
      <c r="I381" s="6" t="s">
        <v>12</v>
      </c>
      <c r="J381" s="6">
        <f>9.3/100</f>
        <v>9.3000000000000013E-2</v>
      </c>
      <c r="K381" s="6">
        <f t="shared" ref="K381:K385" si="41">J381*H381</f>
        <v>1.7209858498560007</v>
      </c>
      <c r="L381" s="2" t="s">
        <v>33</v>
      </c>
      <c r="M381" s="2">
        <f>12.3/100</f>
        <v>0.12300000000000001</v>
      </c>
      <c r="N381" s="2">
        <f t="shared" ref="N381:N387" si="42">M381*H381</f>
        <v>2.2761425756160008</v>
      </c>
    </row>
    <row r="382" spans="1:14" x14ac:dyDescent="0.25">
      <c r="A382" s="23">
        <v>43479</v>
      </c>
      <c r="B382" s="4">
        <v>25.536000000000001</v>
      </c>
      <c r="C382" s="2" t="s">
        <v>19</v>
      </c>
      <c r="D382" s="6">
        <f t="shared" si="23"/>
        <v>0.83200000000000007</v>
      </c>
      <c r="E382" s="6">
        <f t="shared" si="39"/>
        <v>21.245952000000003</v>
      </c>
      <c r="F382" s="2" t="s">
        <v>18</v>
      </c>
      <c r="G382" s="2">
        <f t="shared" si="40"/>
        <v>0.871</v>
      </c>
      <c r="H382" s="6">
        <f t="shared" si="11"/>
        <v>18.505224192000004</v>
      </c>
      <c r="I382" s="6" t="s">
        <v>7</v>
      </c>
      <c r="J382" s="6">
        <f>18/100</f>
        <v>0.18</v>
      </c>
      <c r="K382" s="6">
        <f t="shared" si="41"/>
        <v>3.3309403545600005</v>
      </c>
      <c r="L382" s="2" t="s">
        <v>34</v>
      </c>
      <c r="M382" s="2">
        <f>12.8/100</f>
        <v>0.128</v>
      </c>
      <c r="N382" s="2">
        <f t="shared" si="42"/>
        <v>2.3686686965760004</v>
      </c>
    </row>
    <row r="383" spans="1:14" x14ac:dyDescent="0.25">
      <c r="A383" s="23">
        <v>43480</v>
      </c>
      <c r="B383" s="4">
        <v>25.536000000000001</v>
      </c>
      <c r="C383" s="2" t="s">
        <v>19</v>
      </c>
      <c r="D383" s="6">
        <f t="shared" si="23"/>
        <v>0.83200000000000007</v>
      </c>
      <c r="E383" s="6">
        <f t="shared" si="39"/>
        <v>21.245952000000003</v>
      </c>
      <c r="F383" s="2" t="s">
        <v>18</v>
      </c>
      <c r="G383" s="2">
        <f t="shared" si="40"/>
        <v>0.871</v>
      </c>
      <c r="H383" s="6">
        <f t="shared" si="11"/>
        <v>18.505224192000004</v>
      </c>
      <c r="I383" s="6" t="s">
        <v>8</v>
      </c>
      <c r="J383" s="6">
        <f>35.9/100</f>
        <v>0.35899999999999999</v>
      </c>
      <c r="K383" s="6">
        <f t="shared" si="41"/>
        <v>6.6433754849280007</v>
      </c>
      <c r="L383" s="2" t="s">
        <v>35</v>
      </c>
      <c r="M383" s="2">
        <f>22.7/100</f>
        <v>0.22699999999999998</v>
      </c>
      <c r="N383" s="2">
        <f t="shared" si="42"/>
        <v>4.2006858915840004</v>
      </c>
    </row>
    <row r="384" spans="1:14" x14ac:dyDescent="0.25">
      <c r="A384" s="23">
        <v>43481</v>
      </c>
      <c r="B384" s="4">
        <v>25.536000000000001</v>
      </c>
      <c r="C384" s="2" t="s">
        <v>19</v>
      </c>
      <c r="D384" s="6">
        <f t="shared" si="23"/>
        <v>0.83200000000000007</v>
      </c>
      <c r="E384" s="6">
        <f t="shared" si="39"/>
        <v>21.245952000000003</v>
      </c>
      <c r="F384" s="2" t="s">
        <v>18</v>
      </c>
      <c r="G384" s="2">
        <f t="shared" si="40"/>
        <v>0.871</v>
      </c>
      <c r="H384" s="6">
        <f t="shared" si="11"/>
        <v>18.505224192000004</v>
      </c>
      <c r="I384" s="6" t="s">
        <v>10</v>
      </c>
      <c r="J384" s="6">
        <f>2.6/100</f>
        <v>2.6000000000000002E-2</v>
      </c>
      <c r="K384" s="6">
        <f t="shared" si="41"/>
        <v>0.48113582899200014</v>
      </c>
      <c r="L384" s="2" t="s">
        <v>36</v>
      </c>
      <c r="M384" s="2">
        <f>21.5/100</f>
        <v>0.215</v>
      </c>
      <c r="N384" s="2">
        <f t="shared" si="42"/>
        <v>3.9786232012800009</v>
      </c>
    </row>
    <row r="385" spans="1:14" x14ac:dyDescent="0.25">
      <c r="A385" s="23">
        <v>43482</v>
      </c>
      <c r="B385" s="4">
        <v>25.536000000000001</v>
      </c>
      <c r="C385" s="2" t="s">
        <v>19</v>
      </c>
      <c r="D385" s="6">
        <f t="shared" si="23"/>
        <v>0.83200000000000007</v>
      </c>
      <c r="E385" s="6">
        <f t="shared" si="39"/>
        <v>21.245952000000003</v>
      </c>
      <c r="F385" s="2" t="s">
        <v>18</v>
      </c>
      <c r="G385" s="2">
        <f t="shared" si="40"/>
        <v>0.871</v>
      </c>
      <c r="H385" s="6">
        <f t="shared" si="11"/>
        <v>18.505224192000004</v>
      </c>
      <c r="I385" s="6" t="s">
        <v>9</v>
      </c>
      <c r="J385" s="6">
        <f>9.4/100</f>
        <v>9.4E-2</v>
      </c>
      <c r="K385" s="6">
        <f t="shared" si="41"/>
        <v>1.7394910740480003</v>
      </c>
      <c r="L385" s="2" t="s">
        <v>37</v>
      </c>
      <c r="M385" s="2">
        <f>17.8/100</f>
        <v>0.17800000000000002</v>
      </c>
      <c r="N385" s="2">
        <f t="shared" si="42"/>
        <v>3.2939299061760008</v>
      </c>
    </row>
    <row r="386" spans="1:14" x14ac:dyDescent="0.25">
      <c r="A386" s="23">
        <v>43483</v>
      </c>
      <c r="B386" s="4">
        <v>25.536000000000001</v>
      </c>
      <c r="C386" s="2" t="s">
        <v>19</v>
      </c>
      <c r="D386" s="6">
        <f t="shared" si="23"/>
        <v>0.83200000000000007</v>
      </c>
      <c r="E386" s="6">
        <f t="shared" si="39"/>
        <v>21.245952000000003</v>
      </c>
      <c r="F386" s="2" t="s">
        <v>18</v>
      </c>
      <c r="G386" s="2">
        <f t="shared" si="40"/>
        <v>0.871</v>
      </c>
      <c r="H386" s="6">
        <f t="shared" si="11"/>
        <v>18.505224192000004</v>
      </c>
      <c r="I386" s="6" t="s">
        <v>55</v>
      </c>
      <c r="J386" s="2">
        <f>1.7/100</f>
        <v>1.7000000000000001E-2</v>
      </c>
      <c r="K386" s="2"/>
      <c r="L386" s="2" t="s">
        <v>38</v>
      </c>
      <c r="M386" s="2">
        <f>3.7/100</f>
        <v>3.7000000000000005E-2</v>
      </c>
      <c r="N386" s="2">
        <f t="shared" si="42"/>
        <v>0.68469329510400023</v>
      </c>
    </row>
    <row r="387" spans="1:14" x14ac:dyDescent="0.25">
      <c r="A387" s="23">
        <v>43484</v>
      </c>
      <c r="B387" s="4">
        <v>25.536000000000001</v>
      </c>
      <c r="C387" s="2" t="s">
        <v>19</v>
      </c>
      <c r="D387" s="6">
        <f t="shared" si="23"/>
        <v>0.83200000000000007</v>
      </c>
      <c r="E387" s="6">
        <f t="shared" si="39"/>
        <v>21.245952000000003</v>
      </c>
      <c r="F387" s="2" t="s">
        <v>18</v>
      </c>
      <c r="G387" s="2">
        <f t="shared" si="40"/>
        <v>0.871</v>
      </c>
      <c r="H387" s="6">
        <f t="shared" ref="H387" si="43">G387*E387</f>
        <v>18.505224192000004</v>
      </c>
      <c r="I387" s="2"/>
      <c r="J387" s="2"/>
      <c r="K387" s="2"/>
      <c r="L387" s="2" t="s">
        <v>39</v>
      </c>
      <c r="M387" s="2">
        <f>2.2/100</f>
        <v>2.2000000000000002E-2</v>
      </c>
      <c r="N387" s="2">
        <f t="shared" si="42"/>
        <v>0.40711493222400014</v>
      </c>
    </row>
    <row r="388" spans="1:14" ht="26.4" x14ac:dyDescent="0.25">
      <c r="A388" s="23">
        <v>43485</v>
      </c>
      <c r="B388" s="4">
        <v>25.701000000000001</v>
      </c>
      <c r="C388" s="4" t="s">
        <v>2</v>
      </c>
      <c r="D388" s="5">
        <f>15.9/100</f>
        <v>0.159</v>
      </c>
      <c r="E388" s="6">
        <f>D388*B388</f>
        <v>4.0864590000000005</v>
      </c>
      <c r="F388" s="6" t="s">
        <v>14</v>
      </c>
      <c r="G388" s="5">
        <f>18.4/100</f>
        <v>0.184</v>
      </c>
      <c r="H388" s="5">
        <f>E388*G388</f>
        <v>0.75190845600000011</v>
      </c>
      <c r="I388" s="6" t="s">
        <v>11</v>
      </c>
      <c r="J388" s="6">
        <f>8.7/100</f>
        <v>8.6999999999999994E-2</v>
      </c>
      <c r="K388" s="7">
        <f>J388*H388</f>
        <v>6.5416035672000009E-2</v>
      </c>
      <c r="L388" s="2" t="s">
        <v>32</v>
      </c>
      <c r="M388" s="2">
        <f>1.4/100</f>
        <v>1.3999999999999999E-2</v>
      </c>
      <c r="N388" s="2">
        <f>M388*H388</f>
        <v>1.0526718384000001E-2</v>
      </c>
    </row>
    <row r="389" spans="1:14" x14ac:dyDescent="0.25">
      <c r="A389" s="23">
        <v>43486</v>
      </c>
      <c r="B389" s="4">
        <v>25.701000000000001</v>
      </c>
      <c r="C389" s="4" t="s">
        <v>2</v>
      </c>
      <c r="D389" s="5">
        <f t="shared" ref="D389:D435" si="44">15.9/100</f>
        <v>0.159</v>
      </c>
      <c r="E389" s="6">
        <f>D389*B389</f>
        <v>4.0864590000000005</v>
      </c>
      <c r="F389" s="6" t="s">
        <v>43</v>
      </c>
      <c r="G389" s="5">
        <f t="shared" ref="G389:G395" si="45">18.4/100</f>
        <v>0.184</v>
      </c>
      <c r="H389" s="5">
        <f>E389*G389</f>
        <v>0.75190845600000011</v>
      </c>
      <c r="I389" s="6" t="s">
        <v>12</v>
      </c>
      <c r="J389" s="6">
        <f>10.4/100</f>
        <v>0.10400000000000001</v>
      </c>
      <c r="K389" s="8">
        <f t="shared" ref="K389:K394" si="46">H389*J389</f>
        <v>7.8198479424000017E-2</v>
      </c>
      <c r="L389" s="2" t="s">
        <v>33</v>
      </c>
      <c r="M389" s="2">
        <f>8.4/100</f>
        <v>8.4000000000000005E-2</v>
      </c>
      <c r="N389" s="2">
        <f t="shared" ref="N389:N395" si="47">M389*H389</f>
        <v>6.3160310304000017E-2</v>
      </c>
    </row>
    <row r="390" spans="1:14" x14ac:dyDescent="0.25">
      <c r="A390" s="23">
        <v>43487</v>
      </c>
      <c r="B390" s="4">
        <v>25.701000000000001</v>
      </c>
      <c r="C390" s="4" t="s">
        <v>2</v>
      </c>
      <c r="D390" s="5">
        <f t="shared" si="44"/>
        <v>0.159</v>
      </c>
      <c r="E390" s="6">
        <f t="shared" ref="E390:E476" si="48">D390*B390</f>
        <v>4.0864590000000005</v>
      </c>
      <c r="F390" s="6" t="s">
        <v>14</v>
      </c>
      <c r="G390" s="5">
        <f t="shared" si="45"/>
        <v>0.184</v>
      </c>
      <c r="H390" s="5">
        <f t="shared" ref="H390:H395" si="49">E390*G390</f>
        <v>0.75190845600000011</v>
      </c>
      <c r="I390" s="6" t="s">
        <v>7</v>
      </c>
      <c r="J390" s="14">
        <f>0.1/100</f>
        <v>1E-3</v>
      </c>
      <c r="K390" s="8">
        <f t="shared" si="46"/>
        <v>7.5190845600000015E-4</v>
      </c>
      <c r="L390" s="2" t="s">
        <v>34</v>
      </c>
      <c r="M390" s="2">
        <f>10.7/100</f>
        <v>0.107</v>
      </c>
      <c r="N390" s="2">
        <f t="shared" si="47"/>
        <v>8.0454204792000009E-2</v>
      </c>
    </row>
    <row r="391" spans="1:14" x14ac:dyDescent="0.25">
      <c r="A391" s="23">
        <v>43488</v>
      </c>
      <c r="B391" s="4">
        <v>25.701000000000001</v>
      </c>
      <c r="C391" s="4" t="s">
        <v>2</v>
      </c>
      <c r="D391" s="5">
        <f t="shared" si="44"/>
        <v>0.159</v>
      </c>
      <c r="E391" s="6">
        <f t="shared" si="48"/>
        <v>4.0864590000000005</v>
      </c>
      <c r="F391" s="6" t="s">
        <v>14</v>
      </c>
      <c r="G391" s="5">
        <f t="shared" si="45"/>
        <v>0.184</v>
      </c>
      <c r="H391" s="5">
        <f t="shared" si="49"/>
        <v>0.75190845600000011</v>
      </c>
      <c r="I391" s="6" t="s">
        <v>8</v>
      </c>
      <c r="J391" s="6">
        <f>30.3/100</f>
        <v>0.30299999999999999</v>
      </c>
      <c r="K391" s="8">
        <f t="shared" si="46"/>
        <v>0.22782826216800003</v>
      </c>
      <c r="L391" s="2" t="s">
        <v>35</v>
      </c>
      <c r="M391" s="2">
        <f>23.4/100</f>
        <v>0.23399999999999999</v>
      </c>
      <c r="N391" s="2">
        <f t="shared" si="47"/>
        <v>0.17594657870400002</v>
      </c>
    </row>
    <row r="392" spans="1:14" x14ac:dyDescent="0.25">
      <c r="A392" s="23">
        <v>43489</v>
      </c>
      <c r="B392" s="4">
        <v>25.701000000000001</v>
      </c>
      <c r="C392" s="4" t="s">
        <v>2</v>
      </c>
      <c r="D392" s="5">
        <f t="shared" si="44"/>
        <v>0.159</v>
      </c>
      <c r="E392" s="6">
        <f t="shared" si="48"/>
        <v>4.0864590000000005</v>
      </c>
      <c r="F392" s="6" t="s">
        <v>14</v>
      </c>
      <c r="G392" s="5">
        <f t="shared" si="45"/>
        <v>0.184</v>
      </c>
      <c r="H392" s="5">
        <f t="shared" si="49"/>
        <v>0.75190845600000011</v>
      </c>
      <c r="I392" s="6" t="s">
        <v>10</v>
      </c>
      <c r="J392" s="6">
        <f>5.8/100</f>
        <v>5.7999999999999996E-2</v>
      </c>
      <c r="K392" s="8">
        <f t="shared" si="46"/>
        <v>4.3610690448000006E-2</v>
      </c>
      <c r="L392" s="2" t="s">
        <v>36</v>
      </c>
      <c r="M392" s="2">
        <f>25.3/100</f>
        <v>0.253</v>
      </c>
      <c r="N392" s="2">
        <f t="shared" si="47"/>
        <v>0.19023283936800003</v>
      </c>
    </row>
    <row r="393" spans="1:14" x14ac:dyDescent="0.25">
      <c r="A393" s="23">
        <v>43490</v>
      </c>
      <c r="B393" s="4">
        <v>25.701000000000001</v>
      </c>
      <c r="C393" s="4" t="s">
        <v>2</v>
      </c>
      <c r="D393" s="5">
        <f t="shared" si="44"/>
        <v>0.159</v>
      </c>
      <c r="E393" s="6">
        <f>D393*B393</f>
        <v>4.0864590000000005</v>
      </c>
      <c r="F393" s="6" t="s">
        <v>14</v>
      </c>
      <c r="G393" s="5">
        <f t="shared" si="45"/>
        <v>0.184</v>
      </c>
      <c r="H393" s="5">
        <f t="shared" si="49"/>
        <v>0.75190845600000011</v>
      </c>
      <c r="I393" s="6" t="s">
        <v>9</v>
      </c>
      <c r="J393" s="6">
        <f>43.1/100</f>
        <v>0.43099999999999999</v>
      </c>
      <c r="K393" s="8">
        <f t="shared" si="46"/>
        <v>0.32407254453600004</v>
      </c>
      <c r="L393" s="2" t="s">
        <v>37</v>
      </c>
      <c r="M393" s="2">
        <f>28/100</f>
        <v>0.28000000000000003</v>
      </c>
      <c r="N393" s="2">
        <f t="shared" si="47"/>
        <v>0.21053436768000006</v>
      </c>
    </row>
    <row r="394" spans="1:14" x14ac:dyDescent="0.25">
      <c r="A394" s="23">
        <v>43491</v>
      </c>
      <c r="B394" s="4">
        <v>25.701000000000001</v>
      </c>
      <c r="C394" s="4" t="s">
        <v>2</v>
      </c>
      <c r="D394" s="5">
        <f t="shared" si="44"/>
        <v>0.159</v>
      </c>
      <c r="E394" s="6">
        <f t="shared" si="48"/>
        <v>4.0864590000000005</v>
      </c>
      <c r="F394" s="6" t="s">
        <v>14</v>
      </c>
      <c r="G394" s="5">
        <f t="shared" si="45"/>
        <v>0.184</v>
      </c>
      <c r="H394" s="5">
        <f t="shared" si="49"/>
        <v>0.75190845600000011</v>
      </c>
      <c r="I394" s="6" t="s">
        <v>55</v>
      </c>
      <c r="J394" s="6">
        <f>1.5/100</f>
        <v>1.4999999999999999E-2</v>
      </c>
      <c r="K394" s="8">
        <f t="shared" si="46"/>
        <v>1.1278626840000002E-2</v>
      </c>
      <c r="L394" s="2" t="s">
        <v>38</v>
      </c>
      <c r="M394" s="2">
        <f>1.5/100</f>
        <v>1.4999999999999999E-2</v>
      </c>
      <c r="N394" s="2">
        <f t="shared" si="47"/>
        <v>1.1278626840000002E-2</v>
      </c>
    </row>
    <row r="395" spans="1:14" x14ac:dyDescent="0.25">
      <c r="A395" s="23">
        <v>43492</v>
      </c>
      <c r="B395" s="4">
        <v>25.701000000000001</v>
      </c>
      <c r="C395" s="4" t="s">
        <v>2</v>
      </c>
      <c r="D395" s="5">
        <f t="shared" si="44"/>
        <v>0.159</v>
      </c>
      <c r="E395" s="6">
        <f t="shared" si="48"/>
        <v>4.0864590000000005</v>
      </c>
      <c r="F395" s="6" t="s">
        <v>14</v>
      </c>
      <c r="G395" s="5">
        <f t="shared" si="45"/>
        <v>0.184</v>
      </c>
      <c r="H395" s="5">
        <f t="shared" si="49"/>
        <v>0.75190845600000011</v>
      </c>
      <c r="I395" s="6"/>
      <c r="J395" s="6"/>
      <c r="K395" s="8"/>
      <c r="L395" s="2" t="s">
        <v>39</v>
      </c>
      <c r="M395" s="2">
        <f>1.4/100</f>
        <v>1.3999999999999999E-2</v>
      </c>
      <c r="N395" s="2">
        <f t="shared" si="47"/>
        <v>1.0526718384000001E-2</v>
      </c>
    </row>
    <row r="396" spans="1:14" x14ac:dyDescent="0.25">
      <c r="A396" s="23">
        <v>43493</v>
      </c>
      <c r="B396" s="4">
        <v>25.701000000000001</v>
      </c>
      <c r="C396" s="4" t="s">
        <v>2</v>
      </c>
      <c r="D396" s="5">
        <f t="shared" si="44"/>
        <v>0.159</v>
      </c>
      <c r="E396" s="6">
        <f t="shared" si="48"/>
        <v>4.0864590000000005</v>
      </c>
      <c r="F396" s="6" t="s">
        <v>44</v>
      </c>
      <c r="G396" s="8">
        <f>17.8/100</f>
        <v>0.17800000000000002</v>
      </c>
      <c r="H396" s="6">
        <f>G396*E396</f>
        <v>0.72738970200000019</v>
      </c>
      <c r="I396" s="6" t="s">
        <v>11</v>
      </c>
      <c r="J396" s="6">
        <f>0/100</f>
        <v>0</v>
      </c>
      <c r="K396" s="8">
        <f>J396*H396</f>
        <v>0</v>
      </c>
      <c r="L396" s="2" t="s">
        <v>32</v>
      </c>
      <c r="M396" s="2">
        <f>0/100</f>
        <v>0</v>
      </c>
      <c r="N396" s="2">
        <f>M396*H396</f>
        <v>0</v>
      </c>
    </row>
    <row r="397" spans="1:14" x14ac:dyDescent="0.25">
      <c r="A397" s="23">
        <v>43494</v>
      </c>
      <c r="B397" s="4">
        <v>25.701000000000001</v>
      </c>
      <c r="C397" s="4" t="s">
        <v>2</v>
      </c>
      <c r="D397" s="5">
        <f t="shared" si="44"/>
        <v>0.159</v>
      </c>
      <c r="E397" s="6">
        <f t="shared" si="48"/>
        <v>4.0864590000000005</v>
      </c>
      <c r="F397" s="6" t="s">
        <v>15</v>
      </c>
      <c r="G397" s="8">
        <f t="shared" ref="G397:G403" si="50">17.8/100</f>
        <v>0.17800000000000002</v>
      </c>
      <c r="H397" s="6">
        <f t="shared" ref="H397:H403" si="51">G397*E397</f>
        <v>0.72738970200000019</v>
      </c>
      <c r="I397" s="6" t="s">
        <v>12</v>
      </c>
      <c r="J397" s="6">
        <f>2.6/100</f>
        <v>2.6000000000000002E-2</v>
      </c>
      <c r="K397" s="8">
        <f t="shared" ref="K397:K401" si="52">J397*H397</f>
        <v>1.8912132252000006E-2</v>
      </c>
      <c r="L397" s="2" t="s">
        <v>33</v>
      </c>
      <c r="M397" s="2">
        <f>8.1/100</f>
        <v>8.1000000000000003E-2</v>
      </c>
      <c r="N397" s="2">
        <f t="shared" ref="N397:N403" si="53">M397*H397</f>
        <v>5.8918565862000019E-2</v>
      </c>
    </row>
    <row r="398" spans="1:14" x14ac:dyDescent="0.25">
      <c r="A398" s="23">
        <v>43495</v>
      </c>
      <c r="B398" s="4">
        <v>25.701000000000001</v>
      </c>
      <c r="C398" s="4" t="s">
        <v>2</v>
      </c>
      <c r="D398" s="5">
        <f t="shared" si="44"/>
        <v>0.159</v>
      </c>
      <c r="E398" s="6">
        <f t="shared" si="48"/>
        <v>4.0864590000000005</v>
      </c>
      <c r="F398" s="6" t="s">
        <v>15</v>
      </c>
      <c r="G398" s="8">
        <f t="shared" si="50"/>
        <v>0.17800000000000002</v>
      </c>
      <c r="H398" s="6">
        <f t="shared" si="51"/>
        <v>0.72738970200000019</v>
      </c>
      <c r="I398" s="6" t="s">
        <v>7</v>
      </c>
      <c r="J398" s="6">
        <f>0/100</f>
        <v>0</v>
      </c>
      <c r="K398" s="8">
        <f t="shared" si="52"/>
        <v>0</v>
      </c>
      <c r="L398" s="2" t="s">
        <v>34</v>
      </c>
      <c r="M398" s="2">
        <f>22.3/100</f>
        <v>0.223</v>
      </c>
      <c r="N398" s="2">
        <f t="shared" si="53"/>
        <v>0.16220790354600004</v>
      </c>
    </row>
    <row r="399" spans="1:14" x14ac:dyDescent="0.25">
      <c r="A399" s="23">
        <v>43496</v>
      </c>
      <c r="B399" s="4">
        <v>25.701000000000001</v>
      </c>
      <c r="C399" s="4" t="s">
        <v>2</v>
      </c>
      <c r="D399" s="5">
        <f t="shared" si="44"/>
        <v>0.159</v>
      </c>
      <c r="E399" s="6">
        <f t="shared" si="48"/>
        <v>4.0864590000000005</v>
      </c>
      <c r="F399" s="6" t="s">
        <v>15</v>
      </c>
      <c r="G399" s="8">
        <f t="shared" si="50"/>
        <v>0.17800000000000002</v>
      </c>
      <c r="H399" s="6">
        <f t="shared" si="51"/>
        <v>0.72738970200000019</v>
      </c>
      <c r="I399" s="6" t="s">
        <v>8</v>
      </c>
      <c r="J399" s="6">
        <f>30/100</f>
        <v>0.3</v>
      </c>
      <c r="K399" s="8">
        <f>J399*H399</f>
        <v>0.21821691060000006</v>
      </c>
      <c r="L399" s="2" t="s">
        <v>35</v>
      </c>
      <c r="M399" s="2">
        <f>26.2/100</f>
        <v>0.26200000000000001</v>
      </c>
      <c r="N399" s="2">
        <f t="shared" si="53"/>
        <v>0.19057610192400007</v>
      </c>
    </row>
    <row r="400" spans="1:14" x14ac:dyDescent="0.25">
      <c r="A400" s="23">
        <v>43497</v>
      </c>
      <c r="B400" s="4">
        <v>25.701000000000001</v>
      </c>
      <c r="C400" s="4" t="s">
        <v>2</v>
      </c>
      <c r="D400" s="5">
        <f t="shared" si="44"/>
        <v>0.159</v>
      </c>
      <c r="E400" s="6">
        <f t="shared" si="48"/>
        <v>4.0864590000000005</v>
      </c>
      <c r="F400" s="6" t="s">
        <v>15</v>
      </c>
      <c r="G400" s="8">
        <f t="shared" si="50"/>
        <v>0.17800000000000002</v>
      </c>
      <c r="H400" s="6">
        <f t="shared" si="51"/>
        <v>0.72738970200000019</v>
      </c>
      <c r="I400" s="6" t="s">
        <v>10</v>
      </c>
      <c r="J400" s="6">
        <f>9.6/100</f>
        <v>9.6000000000000002E-2</v>
      </c>
      <c r="K400" s="8">
        <f t="shared" si="52"/>
        <v>6.9829411392000024E-2</v>
      </c>
      <c r="L400" s="2" t="s">
        <v>36</v>
      </c>
      <c r="M400" s="2">
        <f>21.8/100</f>
        <v>0.218</v>
      </c>
      <c r="N400" s="2">
        <f t="shared" si="53"/>
        <v>0.15857095503600005</v>
      </c>
    </row>
    <row r="401" spans="1:14" x14ac:dyDescent="0.25">
      <c r="A401" s="23">
        <v>43498</v>
      </c>
      <c r="B401" s="4">
        <v>25.701000000000001</v>
      </c>
      <c r="C401" s="4" t="s">
        <v>2</v>
      </c>
      <c r="D401" s="5">
        <f t="shared" si="44"/>
        <v>0.159</v>
      </c>
      <c r="E401" s="6">
        <f t="shared" si="48"/>
        <v>4.0864590000000005</v>
      </c>
      <c r="F401" s="6" t="s">
        <v>15</v>
      </c>
      <c r="G401" s="8">
        <f t="shared" si="50"/>
        <v>0.17800000000000002</v>
      </c>
      <c r="H401" s="6">
        <f t="shared" si="51"/>
        <v>0.72738970200000019</v>
      </c>
      <c r="I401" s="6" t="s">
        <v>9</v>
      </c>
      <c r="J401" s="6">
        <f>56/100</f>
        <v>0.56000000000000005</v>
      </c>
      <c r="K401" s="8">
        <f t="shared" si="52"/>
        <v>0.40733823312000017</v>
      </c>
      <c r="L401" s="2" t="s">
        <v>37</v>
      </c>
      <c r="M401" s="2">
        <f>18.1/100</f>
        <v>0.18100000000000002</v>
      </c>
      <c r="N401" s="2">
        <f t="shared" si="53"/>
        <v>0.13165753606200006</v>
      </c>
    </row>
    <row r="402" spans="1:14" x14ac:dyDescent="0.25">
      <c r="A402" s="23">
        <v>43499</v>
      </c>
      <c r="B402" s="4">
        <v>25.701000000000001</v>
      </c>
      <c r="C402" s="4" t="s">
        <v>2</v>
      </c>
      <c r="D402" s="5">
        <f t="shared" si="44"/>
        <v>0.159</v>
      </c>
      <c r="E402" s="6">
        <f t="shared" si="48"/>
        <v>4.0864590000000005</v>
      </c>
      <c r="F402" s="6" t="s">
        <v>15</v>
      </c>
      <c r="G402" s="8">
        <f t="shared" si="50"/>
        <v>0.17800000000000002</v>
      </c>
      <c r="H402" s="6">
        <f t="shared" si="51"/>
        <v>0.72738970200000019</v>
      </c>
      <c r="I402" s="6" t="s">
        <v>55</v>
      </c>
      <c r="J402" s="6">
        <f>1.8/100</f>
        <v>1.8000000000000002E-2</v>
      </c>
      <c r="K402" s="8">
        <f>J402*H402</f>
        <v>1.3093014636000004E-2</v>
      </c>
      <c r="L402" s="2" t="s">
        <v>38</v>
      </c>
      <c r="M402" s="2">
        <f>3.4/100</f>
        <v>3.4000000000000002E-2</v>
      </c>
      <c r="N402" s="2">
        <f>M402*H402</f>
        <v>2.4731249868000009E-2</v>
      </c>
    </row>
    <row r="403" spans="1:14" x14ac:dyDescent="0.25">
      <c r="A403" s="23">
        <v>43500</v>
      </c>
      <c r="B403" s="4">
        <v>25.701000000000001</v>
      </c>
      <c r="C403" s="4" t="s">
        <v>2</v>
      </c>
      <c r="D403" s="5">
        <f t="shared" si="44"/>
        <v>0.159</v>
      </c>
      <c r="E403" s="6">
        <f t="shared" si="48"/>
        <v>4.0864590000000005</v>
      </c>
      <c r="F403" s="6" t="s">
        <v>15</v>
      </c>
      <c r="G403" s="8">
        <f t="shared" si="50"/>
        <v>0.17800000000000002</v>
      </c>
      <c r="H403" s="6">
        <f t="shared" si="51"/>
        <v>0.72738970200000019</v>
      </c>
      <c r="I403" s="6"/>
      <c r="J403" s="6" t="s">
        <v>56</v>
      </c>
      <c r="K403" s="8"/>
      <c r="L403" s="2" t="s">
        <v>39</v>
      </c>
      <c r="M403" s="2">
        <f>0/100</f>
        <v>0</v>
      </c>
      <c r="N403" s="2">
        <f t="shared" si="53"/>
        <v>0</v>
      </c>
    </row>
    <row r="404" spans="1:14" x14ac:dyDescent="0.25">
      <c r="A404" s="23">
        <v>43501</v>
      </c>
      <c r="B404" s="4">
        <v>25.701000000000001</v>
      </c>
      <c r="C404" s="4" t="s">
        <v>2</v>
      </c>
      <c r="D404" s="5">
        <f t="shared" si="44"/>
        <v>0.159</v>
      </c>
      <c r="E404" s="6">
        <f t="shared" si="48"/>
        <v>4.0864590000000005</v>
      </c>
      <c r="F404" s="6" t="s">
        <v>45</v>
      </c>
      <c r="G404" s="6">
        <f>16.4/100</f>
        <v>0.16399999999999998</v>
      </c>
      <c r="H404" s="6">
        <f>G404*E404</f>
        <v>0.67017927600000005</v>
      </c>
      <c r="I404" s="6" t="s">
        <v>11</v>
      </c>
      <c r="J404" s="6">
        <f>9.4/100</f>
        <v>9.4E-2</v>
      </c>
      <c r="K404" s="6">
        <f>J404*H404</f>
        <v>6.299685194400001E-2</v>
      </c>
      <c r="L404" s="2" t="s">
        <v>32</v>
      </c>
      <c r="M404" s="2">
        <f>3.2/100</f>
        <v>3.2000000000000001E-2</v>
      </c>
      <c r="N404" s="2">
        <f>M404*H404</f>
        <v>2.1445736832000004E-2</v>
      </c>
    </row>
    <row r="405" spans="1:14" x14ac:dyDescent="0.25">
      <c r="A405" s="23">
        <v>43502</v>
      </c>
      <c r="B405" s="4">
        <v>25.701000000000001</v>
      </c>
      <c r="C405" s="4" t="s">
        <v>2</v>
      </c>
      <c r="D405" s="5">
        <f t="shared" si="44"/>
        <v>0.159</v>
      </c>
      <c r="E405" s="6">
        <f t="shared" si="48"/>
        <v>4.0864590000000005</v>
      </c>
      <c r="F405" s="6" t="s">
        <v>16</v>
      </c>
      <c r="G405" s="6">
        <f t="shared" ref="G405:G411" si="54">16.4/100</f>
        <v>0.16399999999999998</v>
      </c>
      <c r="H405" s="6">
        <f t="shared" ref="H405:H482" si="55">G405*E405</f>
        <v>0.67017927600000005</v>
      </c>
      <c r="I405" s="6" t="s">
        <v>12</v>
      </c>
      <c r="J405" s="6">
        <f>7.6/100</f>
        <v>7.5999999999999998E-2</v>
      </c>
      <c r="K405" s="6">
        <f t="shared" ref="K405:K410" si="56">J405*H405</f>
        <v>5.0933624976E-2</v>
      </c>
      <c r="L405" s="2" t="s">
        <v>33</v>
      </c>
      <c r="M405" s="2">
        <f>10.6/100</f>
        <v>0.106</v>
      </c>
      <c r="N405" s="2">
        <f t="shared" ref="N405:N411" si="57">M405*H405</f>
        <v>7.1039003256000002E-2</v>
      </c>
    </row>
    <row r="406" spans="1:14" x14ac:dyDescent="0.25">
      <c r="A406" s="23">
        <v>43503</v>
      </c>
      <c r="B406" s="4">
        <v>25.701000000000001</v>
      </c>
      <c r="C406" s="4" t="s">
        <v>2</v>
      </c>
      <c r="D406" s="5">
        <f t="shared" si="44"/>
        <v>0.159</v>
      </c>
      <c r="E406" s="6">
        <f t="shared" si="48"/>
        <v>4.0864590000000005</v>
      </c>
      <c r="F406" s="6" t="s">
        <v>16</v>
      </c>
      <c r="G406" s="6">
        <f t="shared" si="54"/>
        <v>0.16399999999999998</v>
      </c>
      <c r="H406" s="6">
        <f t="shared" si="55"/>
        <v>0.67017927600000005</v>
      </c>
      <c r="I406" s="6" t="s">
        <v>7</v>
      </c>
      <c r="J406" s="6">
        <f>1.1/100</f>
        <v>1.1000000000000001E-2</v>
      </c>
      <c r="K406" s="6">
        <f t="shared" si="56"/>
        <v>7.3719720360000017E-3</v>
      </c>
      <c r="L406" s="2" t="s">
        <v>34</v>
      </c>
      <c r="M406" s="2">
        <f>18.3/100</f>
        <v>0.183</v>
      </c>
      <c r="N406" s="2">
        <f t="shared" si="57"/>
        <v>0.12264280750800001</v>
      </c>
    </row>
    <row r="407" spans="1:14" x14ac:dyDescent="0.25">
      <c r="A407" s="23">
        <v>43504</v>
      </c>
      <c r="B407" s="4">
        <v>25.701000000000001</v>
      </c>
      <c r="C407" s="4" t="s">
        <v>2</v>
      </c>
      <c r="D407" s="5">
        <f t="shared" si="44"/>
        <v>0.159</v>
      </c>
      <c r="E407" s="6">
        <f t="shared" si="48"/>
        <v>4.0864590000000005</v>
      </c>
      <c r="F407" s="6" t="s">
        <v>16</v>
      </c>
      <c r="G407" s="6">
        <f t="shared" si="54"/>
        <v>0.16399999999999998</v>
      </c>
      <c r="H407" s="6">
        <f t="shared" si="55"/>
        <v>0.67017927600000005</v>
      </c>
      <c r="I407" s="6" t="s">
        <v>8</v>
      </c>
      <c r="J407" s="6">
        <f>30.5/100</f>
        <v>0.30499999999999999</v>
      </c>
      <c r="K407" s="6">
        <f t="shared" si="56"/>
        <v>0.20440467918000002</v>
      </c>
      <c r="L407" s="2" t="s">
        <v>35</v>
      </c>
      <c r="M407" s="2">
        <f>27.1/100</f>
        <v>0.27100000000000002</v>
      </c>
      <c r="N407" s="2">
        <f t="shared" si="57"/>
        <v>0.18161858379600002</v>
      </c>
    </row>
    <row r="408" spans="1:14" x14ac:dyDescent="0.25">
      <c r="A408" s="23">
        <v>43505</v>
      </c>
      <c r="B408" s="4">
        <v>25.701000000000001</v>
      </c>
      <c r="C408" s="4" t="s">
        <v>2</v>
      </c>
      <c r="D408" s="5">
        <f t="shared" si="44"/>
        <v>0.159</v>
      </c>
      <c r="E408" s="6">
        <f t="shared" si="48"/>
        <v>4.0864590000000005</v>
      </c>
      <c r="F408" s="6" t="s">
        <v>16</v>
      </c>
      <c r="G408" s="6">
        <f t="shared" si="54"/>
        <v>0.16399999999999998</v>
      </c>
      <c r="H408" s="6">
        <f t="shared" si="55"/>
        <v>0.67017927600000005</v>
      </c>
      <c r="I408" s="6" t="s">
        <v>10</v>
      </c>
      <c r="J408" s="6">
        <f>5.3/100</f>
        <v>5.2999999999999999E-2</v>
      </c>
      <c r="K408" s="6">
        <f t="shared" si="56"/>
        <v>3.5519501628000001E-2</v>
      </c>
      <c r="L408" s="2" t="s">
        <v>36</v>
      </c>
      <c r="M408" s="2">
        <f>20.6/100</f>
        <v>0.20600000000000002</v>
      </c>
      <c r="N408" s="2">
        <f t="shared" si="57"/>
        <v>0.13805693085600002</v>
      </c>
    </row>
    <row r="409" spans="1:14" x14ac:dyDescent="0.25">
      <c r="A409" s="23">
        <v>43506</v>
      </c>
      <c r="B409" s="4">
        <v>25.701000000000001</v>
      </c>
      <c r="C409" s="4" t="s">
        <v>2</v>
      </c>
      <c r="D409" s="5">
        <f t="shared" si="44"/>
        <v>0.159</v>
      </c>
      <c r="E409" s="6">
        <f t="shared" si="48"/>
        <v>4.0864590000000005</v>
      </c>
      <c r="F409" s="6" t="s">
        <v>16</v>
      </c>
      <c r="G409" s="6">
        <f t="shared" si="54"/>
        <v>0.16399999999999998</v>
      </c>
      <c r="H409" s="6">
        <f t="shared" si="55"/>
        <v>0.67017927600000005</v>
      </c>
      <c r="I409" s="6" t="s">
        <v>9</v>
      </c>
      <c r="J409" s="6">
        <f>45.2/100</f>
        <v>0.45200000000000001</v>
      </c>
      <c r="K409" s="6">
        <f t="shared" si="56"/>
        <v>0.30292103275200005</v>
      </c>
      <c r="L409" s="2" t="s">
        <v>37</v>
      </c>
      <c r="M409" s="2">
        <f>18.4/100</f>
        <v>0.184</v>
      </c>
      <c r="N409" s="2">
        <f t="shared" si="57"/>
        <v>0.123312986784</v>
      </c>
    </row>
    <row r="410" spans="1:14" x14ac:dyDescent="0.25">
      <c r="A410" s="23">
        <v>43507</v>
      </c>
      <c r="B410" s="4">
        <v>25.701000000000001</v>
      </c>
      <c r="C410" s="4" t="s">
        <v>2</v>
      </c>
      <c r="D410" s="5">
        <f t="shared" si="44"/>
        <v>0.159</v>
      </c>
      <c r="E410" s="6">
        <f t="shared" si="48"/>
        <v>4.0864590000000005</v>
      </c>
      <c r="F410" s="6" t="s">
        <v>16</v>
      </c>
      <c r="G410" s="6">
        <f t="shared" si="54"/>
        <v>0.16399999999999998</v>
      </c>
      <c r="H410" s="6">
        <f t="shared" si="55"/>
        <v>0.67017927600000005</v>
      </c>
      <c r="I410" s="6" t="s">
        <v>55</v>
      </c>
      <c r="J410" s="6">
        <f>0.9/100</f>
        <v>9.0000000000000011E-3</v>
      </c>
      <c r="K410" s="6">
        <f t="shared" si="56"/>
        <v>6.0316134840000014E-3</v>
      </c>
      <c r="L410" s="2" t="s">
        <v>38</v>
      </c>
      <c r="M410" s="2">
        <f>1.1/100</f>
        <v>1.1000000000000001E-2</v>
      </c>
      <c r="N410" s="2">
        <f t="shared" si="57"/>
        <v>7.3719720360000017E-3</v>
      </c>
    </row>
    <row r="411" spans="1:14" x14ac:dyDescent="0.25">
      <c r="A411" s="23">
        <v>43508</v>
      </c>
      <c r="B411" s="4">
        <v>25.701000000000001</v>
      </c>
      <c r="C411" s="4" t="s">
        <v>2</v>
      </c>
      <c r="D411" s="5">
        <f t="shared" si="44"/>
        <v>0.159</v>
      </c>
      <c r="E411" s="6">
        <f t="shared" si="48"/>
        <v>4.0864590000000005</v>
      </c>
      <c r="F411" s="6" t="s">
        <v>16</v>
      </c>
      <c r="G411" s="6">
        <f t="shared" si="54"/>
        <v>0.16399999999999998</v>
      </c>
      <c r="H411" s="6">
        <f t="shared" si="55"/>
        <v>0.67017927600000005</v>
      </c>
      <c r="I411" s="6"/>
      <c r="J411" s="6"/>
      <c r="K411" s="6"/>
      <c r="L411" s="2" t="s">
        <v>39</v>
      </c>
      <c r="M411" s="2">
        <f>0.7/100</f>
        <v>6.9999999999999993E-3</v>
      </c>
      <c r="N411" s="2">
        <f t="shared" si="57"/>
        <v>4.6912549319999995E-3</v>
      </c>
    </row>
    <row r="412" spans="1:14" x14ac:dyDescent="0.25">
      <c r="A412" s="23">
        <v>43509</v>
      </c>
      <c r="B412" s="4">
        <v>25.701000000000001</v>
      </c>
      <c r="C412" s="4" t="s">
        <v>2</v>
      </c>
      <c r="D412" s="5">
        <f t="shared" si="44"/>
        <v>0.159</v>
      </c>
      <c r="E412" s="6">
        <f t="shared" si="48"/>
        <v>4.0864590000000005</v>
      </c>
      <c r="F412" s="6" t="s">
        <v>46</v>
      </c>
      <c r="G412" s="8">
        <f>17.3/100</f>
        <v>0.17300000000000001</v>
      </c>
      <c r="H412" s="6">
        <f t="shared" si="55"/>
        <v>0.70695740700000009</v>
      </c>
      <c r="I412" s="6" t="s">
        <v>11</v>
      </c>
      <c r="J412" s="8">
        <f>29.2/100</f>
        <v>0.29199999999999998</v>
      </c>
      <c r="K412" s="8">
        <f>J412*H412</f>
        <v>0.20643156284400002</v>
      </c>
      <c r="L412" s="2" t="s">
        <v>32</v>
      </c>
      <c r="M412" s="2">
        <f>2.4/100</f>
        <v>2.4E-2</v>
      </c>
      <c r="N412" s="2">
        <f>M412*H412</f>
        <v>1.6966977768000002E-2</v>
      </c>
    </row>
    <row r="413" spans="1:14" x14ac:dyDescent="0.25">
      <c r="A413" s="23">
        <v>43510</v>
      </c>
      <c r="B413" s="4">
        <v>25.701000000000001</v>
      </c>
      <c r="C413" s="4" t="s">
        <v>2</v>
      </c>
      <c r="D413" s="5">
        <f t="shared" si="44"/>
        <v>0.159</v>
      </c>
      <c r="E413" s="6">
        <f t="shared" si="48"/>
        <v>4.0864590000000005</v>
      </c>
      <c r="F413" s="6" t="s">
        <v>13</v>
      </c>
      <c r="G413" s="8">
        <f t="shared" ref="G413:G419" si="58">17.3/100</f>
        <v>0.17300000000000001</v>
      </c>
      <c r="H413" s="6">
        <f t="shared" si="55"/>
        <v>0.70695740700000009</v>
      </c>
      <c r="I413" s="6" t="s">
        <v>12</v>
      </c>
      <c r="J413" s="8">
        <f>11.3/100</f>
        <v>0.113</v>
      </c>
      <c r="K413" s="8">
        <f t="shared" ref="K413:K417" si="59">J413*H413</f>
        <v>7.9886186991000016E-2</v>
      </c>
      <c r="L413" s="2" t="s">
        <v>33</v>
      </c>
      <c r="M413" s="2">
        <f>8.4/100</f>
        <v>8.4000000000000005E-2</v>
      </c>
      <c r="N413" s="2">
        <f t="shared" ref="N413:N416" si="60">M413*H413</f>
        <v>5.9384422188000011E-2</v>
      </c>
    </row>
    <row r="414" spans="1:14" x14ac:dyDescent="0.25">
      <c r="A414" s="23">
        <v>43511</v>
      </c>
      <c r="B414" s="4">
        <v>25.701000000000001</v>
      </c>
      <c r="C414" s="4" t="s">
        <v>2</v>
      </c>
      <c r="D414" s="5">
        <f t="shared" si="44"/>
        <v>0.159</v>
      </c>
      <c r="E414" s="6">
        <f t="shared" si="48"/>
        <v>4.0864590000000005</v>
      </c>
      <c r="F414" s="6" t="s">
        <v>13</v>
      </c>
      <c r="G414" s="8">
        <f t="shared" si="58"/>
        <v>0.17300000000000001</v>
      </c>
      <c r="H414" s="6">
        <f t="shared" si="55"/>
        <v>0.70695740700000009</v>
      </c>
      <c r="I414" s="6" t="s">
        <v>7</v>
      </c>
      <c r="J414" s="8">
        <f>0.9/100</f>
        <v>9.0000000000000011E-3</v>
      </c>
      <c r="K414" s="8">
        <f t="shared" si="59"/>
        <v>6.3626166630000019E-3</v>
      </c>
      <c r="L414" s="2" t="s">
        <v>34</v>
      </c>
      <c r="M414" s="2">
        <f>12.9/100</f>
        <v>0.129</v>
      </c>
      <c r="N414" s="2">
        <f t="shared" si="60"/>
        <v>9.1197505503000015E-2</v>
      </c>
    </row>
    <row r="415" spans="1:14" x14ac:dyDescent="0.25">
      <c r="A415" s="23">
        <v>43512</v>
      </c>
      <c r="B415" s="4">
        <v>25.701000000000001</v>
      </c>
      <c r="C415" s="4" t="s">
        <v>2</v>
      </c>
      <c r="D415" s="5">
        <f t="shared" si="44"/>
        <v>0.159</v>
      </c>
      <c r="E415" s="6">
        <f t="shared" si="48"/>
        <v>4.0864590000000005</v>
      </c>
      <c r="F415" s="6" t="s">
        <v>13</v>
      </c>
      <c r="G415" s="8">
        <f t="shared" si="58"/>
        <v>0.17300000000000001</v>
      </c>
      <c r="H415" s="6">
        <f t="shared" si="55"/>
        <v>0.70695740700000009</v>
      </c>
      <c r="I415" s="6" t="s">
        <v>8</v>
      </c>
      <c r="J415" s="8">
        <f>32.1/100</f>
        <v>0.32100000000000001</v>
      </c>
      <c r="K415" s="8">
        <f t="shared" si="59"/>
        <v>0.22693332764700003</v>
      </c>
      <c r="L415" s="2" t="s">
        <v>35</v>
      </c>
      <c r="M415" s="2">
        <f>26.5/100</f>
        <v>0.26500000000000001</v>
      </c>
      <c r="N415" s="2">
        <f t="shared" si="60"/>
        <v>0.18734371285500004</v>
      </c>
    </row>
    <row r="416" spans="1:14" x14ac:dyDescent="0.25">
      <c r="A416" s="23">
        <v>43513</v>
      </c>
      <c r="B416" s="4">
        <v>25.701000000000001</v>
      </c>
      <c r="C416" s="4" t="s">
        <v>2</v>
      </c>
      <c r="D416" s="5">
        <f t="shared" si="44"/>
        <v>0.159</v>
      </c>
      <c r="E416" s="6">
        <f t="shared" si="48"/>
        <v>4.0864590000000005</v>
      </c>
      <c r="F416" s="6" t="s">
        <v>13</v>
      </c>
      <c r="G416" s="8">
        <f t="shared" si="58"/>
        <v>0.17300000000000001</v>
      </c>
      <c r="H416" s="6">
        <f t="shared" si="55"/>
        <v>0.70695740700000009</v>
      </c>
      <c r="I416" s="6" t="s">
        <v>10</v>
      </c>
      <c r="J416" s="8">
        <f>4.5/100</f>
        <v>4.4999999999999998E-2</v>
      </c>
      <c r="K416" s="8">
        <f t="shared" si="59"/>
        <v>3.1813083315000004E-2</v>
      </c>
      <c r="L416" s="2" t="s">
        <v>36</v>
      </c>
      <c r="M416" s="2">
        <f>26.7/100</f>
        <v>0.26700000000000002</v>
      </c>
      <c r="N416" s="2">
        <f t="shared" si="60"/>
        <v>0.18875762766900003</v>
      </c>
    </row>
    <row r="417" spans="1:14" x14ac:dyDescent="0.25">
      <c r="A417" s="23">
        <v>43514</v>
      </c>
      <c r="B417" s="4">
        <v>25.701000000000001</v>
      </c>
      <c r="C417" s="4" t="s">
        <v>2</v>
      </c>
      <c r="D417" s="5">
        <f t="shared" si="44"/>
        <v>0.159</v>
      </c>
      <c r="E417" s="6">
        <f t="shared" si="48"/>
        <v>4.0864590000000005</v>
      </c>
      <c r="F417" s="6" t="s">
        <v>13</v>
      </c>
      <c r="G417" s="8">
        <f t="shared" si="58"/>
        <v>0.17300000000000001</v>
      </c>
      <c r="H417" s="6">
        <f t="shared" si="55"/>
        <v>0.70695740700000009</v>
      </c>
      <c r="I417" s="6" t="s">
        <v>9</v>
      </c>
      <c r="J417" s="8">
        <f>21/100</f>
        <v>0.21</v>
      </c>
      <c r="K417" s="8">
        <f t="shared" si="59"/>
        <v>0.14846105547000002</v>
      </c>
      <c r="L417" s="2" t="s">
        <v>37</v>
      </c>
      <c r="M417" s="2">
        <f>20.2/100</f>
        <v>0.20199999999999999</v>
      </c>
      <c r="N417" s="2">
        <f>M416*H417</f>
        <v>0.18875762766900003</v>
      </c>
    </row>
    <row r="418" spans="1:14" x14ac:dyDescent="0.25">
      <c r="A418" s="23">
        <v>43515</v>
      </c>
      <c r="B418" s="4">
        <v>25.701000000000001</v>
      </c>
      <c r="C418" s="4" t="s">
        <v>2</v>
      </c>
      <c r="D418" s="5">
        <f t="shared" si="44"/>
        <v>0.159</v>
      </c>
      <c r="E418" s="6">
        <f t="shared" si="48"/>
        <v>4.0864590000000005</v>
      </c>
      <c r="F418" s="6" t="s">
        <v>13</v>
      </c>
      <c r="G418" s="8">
        <f t="shared" si="58"/>
        <v>0.17300000000000001</v>
      </c>
      <c r="H418" s="6">
        <f t="shared" si="55"/>
        <v>0.70695740700000009</v>
      </c>
      <c r="I418" s="6" t="s">
        <v>55</v>
      </c>
      <c r="J418" s="8">
        <f>0.9/100</f>
        <v>9.0000000000000011E-3</v>
      </c>
      <c r="K418" s="8"/>
      <c r="L418" s="2" t="s">
        <v>38</v>
      </c>
      <c r="M418" s="2">
        <f>2/100</f>
        <v>0.02</v>
      </c>
      <c r="N418" s="2">
        <f>M417*H418</f>
        <v>0.14280539621400001</v>
      </c>
    </row>
    <row r="419" spans="1:14" x14ac:dyDescent="0.25">
      <c r="A419" s="23">
        <v>43516</v>
      </c>
      <c r="B419" s="4">
        <v>25.701000000000001</v>
      </c>
      <c r="C419" s="4" t="s">
        <v>2</v>
      </c>
      <c r="D419" s="5">
        <f t="shared" si="44"/>
        <v>0.159</v>
      </c>
      <c r="E419" s="6">
        <f t="shared" si="48"/>
        <v>4.0864590000000005</v>
      </c>
      <c r="F419" s="6" t="s">
        <v>13</v>
      </c>
      <c r="G419" s="8">
        <f t="shared" si="58"/>
        <v>0.17300000000000001</v>
      </c>
      <c r="H419" s="6">
        <f t="shared" si="55"/>
        <v>0.70695740700000009</v>
      </c>
      <c r="I419" s="6"/>
      <c r="J419" s="8"/>
      <c r="K419" s="8"/>
      <c r="L419" s="2" t="s">
        <v>39</v>
      </c>
      <c r="M419" s="2">
        <f>1/100</f>
        <v>0.01</v>
      </c>
      <c r="N419" s="2">
        <f>M418*H419</f>
        <v>1.4139148140000002E-2</v>
      </c>
    </row>
    <row r="420" spans="1:14" x14ac:dyDescent="0.25">
      <c r="A420" s="23">
        <v>43517</v>
      </c>
      <c r="B420" s="4">
        <v>25.701000000000001</v>
      </c>
      <c r="C420" s="4" t="s">
        <v>2</v>
      </c>
      <c r="D420" s="5">
        <f t="shared" si="44"/>
        <v>0.159</v>
      </c>
      <c r="E420" s="6">
        <f t="shared" si="48"/>
        <v>4.0864590000000005</v>
      </c>
      <c r="F420" s="8" t="s">
        <v>47</v>
      </c>
      <c r="G420" s="6">
        <f>13.6/100</f>
        <v>0.13600000000000001</v>
      </c>
      <c r="H420" s="6">
        <f t="shared" si="55"/>
        <v>0.55575842400000008</v>
      </c>
      <c r="I420" s="6" t="s">
        <v>11</v>
      </c>
      <c r="J420" s="6">
        <f>2.9/100</f>
        <v>2.8999999999999998E-2</v>
      </c>
      <c r="K420" s="6">
        <f>J420*H420</f>
        <v>1.6116994296000001E-2</v>
      </c>
      <c r="L420" s="2" t="s">
        <v>32</v>
      </c>
      <c r="M420" s="2">
        <f>0/100</f>
        <v>0</v>
      </c>
      <c r="N420" s="2">
        <f>M420*H420</f>
        <v>0</v>
      </c>
    </row>
    <row r="421" spans="1:14" x14ac:dyDescent="0.25">
      <c r="A421" s="23">
        <v>43518</v>
      </c>
      <c r="B421" s="4">
        <v>25.701000000000001</v>
      </c>
      <c r="C421" s="4" t="s">
        <v>2</v>
      </c>
      <c r="D421" s="5">
        <f t="shared" si="44"/>
        <v>0.159</v>
      </c>
      <c r="E421" s="6">
        <f t="shared" si="48"/>
        <v>4.0864590000000005</v>
      </c>
      <c r="F421" s="8" t="s">
        <v>17</v>
      </c>
      <c r="G421" s="6">
        <f t="shared" ref="G421:G427" si="61">13.6/100</f>
        <v>0.13600000000000001</v>
      </c>
      <c r="H421" s="6">
        <f t="shared" si="55"/>
        <v>0.55575842400000008</v>
      </c>
      <c r="I421" s="6" t="s">
        <v>12</v>
      </c>
      <c r="J421" s="6">
        <f>12.4/100</f>
        <v>0.124</v>
      </c>
      <c r="K421" s="6">
        <f t="shared" ref="K421:K425" si="62">J421*H421</f>
        <v>6.8914044576000005E-2</v>
      </c>
      <c r="L421" s="2" t="s">
        <v>33</v>
      </c>
      <c r="M421" s="2">
        <f>0/100</f>
        <v>0</v>
      </c>
      <c r="N421" s="2">
        <f t="shared" ref="N421:N427" si="63">M421*H421</f>
        <v>0</v>
      </c>
    </row>
    <row r="422" spans="1:14" x14ac:dyDescent="0.25">
      <c r="A422" s="23">
        <v>43519</v>
      </c>
      <c r="B422" s="4">
        <v>25.701000000000001</v>
      </c>
      <c r="C422" s="4" t="s">
        <v>2</v>
      </c>
      <c r="D422" s="5">
        <f t="shared" si="44"/>
        <v>0.159</v>
      </c>
      <c r="E422" s="6">
        <f t="shared" si="48"/>
        <v>4.0864590000000005</v>
      </c>
      <c r="F422" s="8" t="s">
        <v>17</v>
      </c>
      <c r="G422" s="6">
        <f t="shared" si="61"/>
        <v>0.13600000000000001</v>
      </c>
      <c r="H422" s="6">
        <f t="shared" si="55"/>
        <v>0.55575842400000008</v>
      </c>
      <c r="I422" s="6" t="s">
        <v>7</v>
      </c>
      <c r="J422" s="6">
        <f>0/100</f>
        <v>0</v>
      </c>
      <c r="K422" s="6">
        <f t="shared" si="62"/>
        <v>0</v>
      </c>
      <c r="L422" s="2" t="s">
        <v>34</v>
      </c>
      <c r="M422" s="2">
        <f>13.6/100</f>
        <v>0.13600000000000001</v>
      </c>
      <c r="N422" s="2">
        <f t="shared" si="63"/>
        <v>7.5583145664000012E-2</v>
      </c>
    </row>
    <row r="423" spans="1:14" x14ac:dyDescent="0.25">
      <c r="A423" s="23">
        <v>43520</v>
      </c>
      <c r="B423" s="4">
        <v>25.701000000000001</v>
      </c>
      <c r="C423" s="4" t="s">
        <v>2</v>
      </c>
      <c r="D423" s="5">
        <f t="shared" si="44"/>
        <v>0.159</v>
      </c>
      <c r="E423" s="6">
        <f t="shared" si="48"/>
        <v>4.0864590000000005</v>
      </c>
      <c r="F423" s="8" t="s">
        <v>17</v>
      </c>
      <c r="G423" s="6">
        <f t="shared" si="61"/>
        <v>0.13600000000000001</v>
      </c>
      <c r="H423" s="6">
        <f t="shared" si="55"/>
        <v>0.55575842400000008</v>
      </c>
      <c r="I423" s="6" t="s">
        <v>8</v>
      </c>
      <c r="J423" s="6">
        <f>52.1/100</f>
        <v>0.52100000000000002</v>
      </c>
      <c r="K423" s="6">
        <f t="shared" si="62"/>
        <v>0.28955013890400005</v>
      </c>
      <c r="L423" s="2" t="s">
        <v>35</v>
      </c>
      <c r="M423" s="2">
        <f>33.4/100</f>
        <v>0.33399999999999996</v>
      </c>
      <c r="N423" s="2">
        <f t="shared" si="63"/>
        <v>0.18562331361600001</v>
      </c>
    </row>
    <row r="424" spans="1:14" x14ac:dyDescent="0.25">
      <c r="A424" s="23">
        <v>43521</v>
      </c>
      <c r="B424" s="4">
        <v>25.701000000000001</v>
      </c>
      <c r="C424" s="4" t="s">
        <v>2</v>
      </c>
      <c r="D424" s="5">
        <f t="shared" si="44"/>
        <v>0.159</v>
      </c>
      <c r="E424" s="6">
        <f t="shared" si="48"/>
        <v>4.0864590000000005</v>
      </c>
      <c r="F424" s="8" t="s">
        <v>17</v>
      </c>
      <c r="G424" s="6">
        <f t="shared" si="61"/>
        <v>0.13600000000000001</v>
      </c>
      <c r="H424" s="6">
        <f t="shared" si="55"/>
        <v>0.55575842400000008</v>
      </c>
      <c r="I424" s="6" t="s">
        <v>10</v>
      </c>
      <c r="J424" s="6">
        <f>17.2/100</f>
        <v>0.17199999999999999</v>
      </c>
      <c r="K424" s="6">
        <f t="shared" si="62"/>
        <v>9.5590448928000005E-2</v>
      </c>
      <c r="L424" s="2" t="s">
        <v>36</v>
      </c>
      <c r="M424" s="2">
        <f>35.4/100</f>
        <v>0.35399999999999998</v>
      </c>
      <c r="N424" s="2">
        <f t="shared" si="63"/>
        <v>0.19673848209600001</v>
      </c>
    </row>
    <row r="425" spans="1:14" x14ac:dyDescent="0.25">
      <c r="A425" s="23">
        <v>43522</v>
      </c>
      <c r="B425" s="4">
        <v>25.701000000000001</v>
      </c>
      <c r="C425" s="4" t="s">
        <v>2</v>
      </c>
      <c r="D425" s="5">
        <f t="shared" si="44"/>
        <v>0.159</v>
      </c>
      <c r="E425" s="6">
        <f t="shared" si="48"/>
        <v>4.0864590000000005</v>
      </c>
      <c r="F425" s="8" t="s">
        <v>17</v>
      </c>
      <c r="G425" s="6">
        <f t="shared" si="61"/>
        <v>0.13600000000000001</v>
      </c>
      <c r="H425" s="6">
        <f t="shared" si="55"/>
        <v>0.55575842400000008</v>
      </c>
      <c r="I425" s="6" t="s">
        <v>9</v>
      </c>
      <c r="J425" s="6">
        <f>15.4/100</f>
        <v>0.154</v>
      </c>
      <c r="K425" s="6">
        <f t="shared" si="62"/>
        <v>8.5586797296000008E-2</v>
      </c>
      <c r="L425" s="2" t="s">
        <v>37</v>
      </c>
      <c r="M425" s="2">
        <f>17.7/100</f>
        <v>0.17699999999999999</v>
      </c>
      <c r="N425" s="2">
        <f t="shared" si="63"/>
        <v>9.8369241048000003E-2</v>
      </c>
    </row>
    <row r="426" spans="1:14" x14ac:dyDescent="0.25">
      <c r="A426" s="23">
        <v>43523</v>
      </c>
      <c r="B426" s="4">
        <v>25.701000000000001</v>
      </c>
      <c r="C426" s="4" t="s">
        <v>2</v>
      </c>
      <c r="D426" s="5">
        <f t="shared" si="44"/>
        <v>0.159</v>
      </c>
      <c r="E426" s="6">
        <f t="shared" si="48"/>
        <v>4.0864590000000005</v>
      </c>
      <c r="F426" s="8" t="s">
        <v>17</v>
      </c>
      <c r="G426" s="6">
        <f t="shared" si="61"/>
        <v>0.13600000000000001</v>
      </c>
      <c r="H426" s="6">
        <f t="shared" si="55"/>
        <v>0.55575842400000008</v>
      </c>
      <c r="I426" s="6" t="s">
        <v>55</v>
      </c>
      <c r="J426" s="6">
        <v>0</v>
      </c>
      <c r="K426" s="6"/>
      <c r="L426" s="2" t="s">
        <v>38</v>
      </c>
      <c r="M426" s="2">
        <f>0/100</f>
        <v>0</v>
      </c>
      <c r="N426" s="2">
        <f t="shared" si="63"/>
        <v>0</v>
      </c>
    </row>
    <row r="427" spans="1:14" x14ac:dyDescent="0.25">
      <c r="A427" s="23">
        <v>43524</v>
      </c>
      <c r="B427" s="4">
        <v>25.701000000000001</v>
      </c>
      <c r="C427" s="4" t="s">
        <v>2</v>
      </c>
      <c r="D427" s="5">
        <f t="shared" si="44"/>
        <v>0.159</v>
      </c>
      <c r="E427" s="6">
        <f t="shared" si="48"/>
        <v>4.0864590000000005</v>
      </c>
      <c r="F427" s="8" t="s">
        <v>17</v>
      </c>
      <c r="G427" s="6">
        <f t="shared" si="61"/>
        <v>0.13600000000000001</v>
      </c>
      <c r="H427" s="6">
        <f t="shared" si="55"/>
        <v>0.55575842400000008</v>
      </c>
      <c r="I427" s="6"/>
      <c r="J427" s="6"/>
      <c r="K427" s="6"/>
      <c r="L427" s="2" t="s">
        <v>39</v>
      </c>
      <c r="M427" s="2">
        <f>0/100</f>
        <v>0</v>
      </c>
      <c r="N427" s="2">
        <f t="shared" si="63"/>
        <v>0</v>
      </c>
    </row>
    <row r="428" spans="1:14" x14ac:dyDescent="0.25">
      <c r="A428" s="23">
        <v>43525</v>
      </c>
      <c r="B428" s="4">
        <v>25.701000000000001</v>
      </c>
      <c r="C428" s="4" t="s">
        <v>2</v>
      </c>
      <c r="D428" s="5">
        <f t="shared" si="44"/>
        <v>0.159</v>
      </c>
      <c r="E428" s="6">
        <f t="shared" si="48"/>
        <v>4.0864590000000005</v>
      </c>
      <c r="F428" s="2" t="s">
        <v>18</v>
      </c>
      <c r="G428" s="6">
        <f>12.3/100</f>
        <v>0.12300000000000001</v>
      </c>
      <c r="H428" s="6">
        <f t="shared" si="55"/>
        <v>0.50263445700000009</v>
      </c>
      <c r="I428" s="6" t="s">
        <v>11</v>
      </c>
      <c r="J428" s="8">
        <f>48.1/100</f>
        <v>0.48100000000000004</v>
      </c>
      <c r="K428" s="6">
        <f>J428*H428</f>
        <v>0.24176717381700005</v>
      </c>
      <c r="L428" s="2" t="s">
        <v>32</v>
      </c>
      <c r="M428" s="2">
        <f>4.9/100</f>
        <v>4.9000000000000002E-2</v>
      </c>
      <c r="N428" s="2">
        <f>M428*H428</f>
        <v>2.4629088393000004E-2</v>
      </c>
    </row>
    <row r="429" spans="1:14" x14ac:dyDescent="0.25">
      <c r="A429" s="23">
        <v>43526</v>
      </c>
      <c r="B429" s="4">
        <v>25.701000000000001</v>
      </c>
      <c r="C429" s="4" t="s">
        <v>2</v>
      </c>
      <c r="D429" s="5">
        <f t="shared" si="44"/>
        <v>0.159</v>
      </c>
      <c r="E429" s="6">
        <f t="shared" si="48"/>
        <v>4.0864590000000005</v>
      </c>
      <c r="F429" s="2" t="s">
        <v>18</v>
      </c>
      <c r="G429" s="6">
        <f t="shared" ref="G429:G435" si="64">12.3/100</f>
        <v>0.12300000000000001</v>
      </c>
      <c r="H429" s="6">
        <f t="shared" si="55"/>
        <v>0.50263445700000009</v>
      </c>
      <c r="I429" s="6" t="s">
        <v>12</v>
      </c>
      <c r="J429" s="8">
        <f>11.3/100</f>
        <v>0.113</v>
      </c>
      <c r="K429" s="6">
        <f t="shared" ref="K429:K434" si="65">J429*H429</f>
        <v>5.6797693641000013E-2</v>
      </c>
      <c r="L429" s="2" t="s">
        <v>33</v>
      </c>
      <c r="M429" s="2">
        <f>9.8/100</f>
        <v>9.8000000000000004E-2</v>
      </c>
      <c r="N429" s="2">
        <f t="shared" ref="N429:N435" si="66">M429*H429</f>
        <v>4.9258176786000009E-2</v>
      </c>
    </row>
    <row r="430" spans="1:14" x14ac:dyDescent="0.25">
      <c r="A430" s="23">
        <v>43527</v>
      </c>
      <c r="B430" s="4">
        <v>25.701000000000001</v>
      </c>
      <c r="C430" s="4" t="s">
        <v>2</v>
      </c>
      <c r="D430" s="5">
        <f t="shared" si="44"/>
        <v>0.159</v>
      </c>
      <c r="E430" s="6">
        <f t="shared" si="48"/>
        <v>4.0864590000000005</v>
      </c>
      <c r="F430" s="2" t="s">
        <v>18</v>
      </c>
      <c r="G430" s="6">
        <f t="shared" si="64"/>
        <v>0.12300000000000001</v>
      </c>
      <c r="H430" s="6">
        <f t="shared" si="55"/>
        <v>0.50263445700000009</v>
      </c>
      <c r="I430" s="6" t="s">
        <v>7</v>
      </c>
      <c r="J430" s="8">
        <f>1.4/100</f>
        <v>1.3999999999999999E-2</v>
      </c>
      <c r="K430" s="6">
        <f t="shared" si="65"/>
        <v>7.0368823980000005E-3</v>
      </c>
      <c r="L430" s="2" t="s">
        <v>34</v>
      </c>
      <c r="M430" s="2">
        <f>13.7/100</f>
        <v>0.13699999999999998</v>
      </c>
      <c r="N430" s="2">
        <f t="shared" si="66"/>
        <v>6.8860920609000009E-2</v>
      </c>
    </row>
    <row r="431" spans="1:14" x14ac:dyDescent="0.25">
      <c r="A431" s="23">
        <v>43528</v>
      </c>
      <c r="B431" s="4">
        <v>25.701000000000001</v>
      </c>
      <c r="C431" s="4" t="s">
        <v>2</v>
      </c>
      <c r="D431" s="5">
        <f t="shared" si="44"/>
        <v>0.159</v>
      </c>
      <c r="E431" s="6">
        <f t="shared" si="48"/>
        <v>4.0864590000000005</v>
      </c>
      <c r="F431" s="2" t="s">
        <v>18</v>
      </c>
      <c r="G431" s="6">
        <f t="shared" si="64"/>
        <v>0.12300000000000001</v>
      </c>
      <c r="H431" s="6">
        <f t="shared" si="55"/>
        <v>0.50263445700000009</v>
      </c>
      <c r="I431" s="6" t="s">
        <v>8</v>
      </c>
      <c r="J431" s="8">
        <f>19.2/100</f>
        <v>0.192</v>
      </c>
      <c r="K431" s="6">
        <f>J434*H431</f>
        <v>4.0210756560000007E-3</v>
      </c>
      <c r="L431" s="2" t="s">
        <v>35</v>
      </c>
      <c r="M431" s="2">
        <f>28/100</f>
        <v>0.28000000000000003</v>
      </c>
      <c r="N431" s="2">
        <f t="shared" si="66"/>
        <v>0.14073764796000005</v>
      </c>
    </row>
    <row r="432" spans="1:14" x14ac:dyDescent="0.25">
      <c r="A432" s="23">
        <v>43529</v>
      </c>
      <c r="B432" s="4">
        <v>25.701000000000001</v>
      </c>
      <c r="C432" s="4" t="s">
        <v>2</v>
      </c>
      <c r="D432" s="5">
        <f t="shared" si="44"/>
        <v>0.159</v>
      </c>
      <c r="E432" s="6">
        <f t="shared" si="48"/>
        <v>4.0864590000000005</v>
      </c>
      <c r="F432" s="2" t="s">
        <v>18</v>
      </c>
      <c r="G432" s="6">
        <f t="shared" si="64"/>
        <v>0.12300000000000001</v>
      </c>
      <c r="H432" s="6">
        <f t="shared" si="55"/>
        <v>0.50263445700000009</v>
      </c>
      <c r="I432" s="6" t="s">
        <v>10</v>
      </c>
      <c r="J432" s="8">
        <f>4.6/100</f>
        <v>4.5999999999999999E-2</v>
      </c>
      <c r="K432" s="6">
        <f>J431*H432</f>
        <v>9.6505815744000023E-2</v>
      </c>
      <c r="L432" s="2" t="s">
        <v>36</v>
      </c>
      <c r="M432" s="2">
        <f>24.7/100</f>
        <v>0.247</v>
      </c>
      <c r="N432" s="2">
        <f t="shared" si="66"/>
        <v>0.12415071087900002</v>
      </c>
    </row>
    <row r="433" spans="1:14" x14ac:dyDescent="0.25">
      <c r="A433" s="23">
        <v>43530</v>
      </c>
      <c r="B433" s="4">
        <v>25.701000000000001</v>
      </c>
      <c r="C433" s="4" t="s">
        <v>2</v>
      </c>
      <c r="D433" s="5">
        <f t="shared" si="44"/>
        <v>0.159</v>
      </c>
      <c r="E433" s="6">
        <f t="shared" si="48"/>
        <v>4.0864590000000005</v>
      </c>
      <c r="F433" s="2" t="s">
        <v>48</v>
      </c>
      <c r="G433" s="6">
        <f t="shared" si="64"/>
        <v>0.12300000000000001</v>
      </c>
      <c r="H433" s="6">
        <f t="shared" si="55"/>
        <v>0.50263445700000009</v>
      </c>
      <c r="I433" s="6" t="s">
        <v>9</v>
      </c>
      <c r="J433" s="8">
        <f>14.6/100</f>
        <v>0.14599999999999999</v>
      </c>
      <c r="K433" s="6">
        <f t="shared" si="65"/>
        <v>7.3384630722000008E-2</v>
      </c>
      <c r="L433" s="2" t="s">
        <v>37</v>
      </c>
      <c r="M433" s="2">
        <f>14.4/100</f>
        <v>0.14400000000000002</v>
      </c>
      <c r="N433" s="2">
        <f t="shared" si="66"/>
        <v>7.2379361808000017E-2</v>
      </c>
    </row>
    <row r="434" spans="1:14" x14ac:dyDescent="0.25">
      <c r="A434" s="23">
        <v>43531</v>
      </c>
      <c r="B434" s="4">
        <v>25.701000000000001</v>
      </c>
      <c r="C434" s="4" t="s">
        <v>2</v>
      </c>
      <c r="D434" s="5">
        <f t="shared" si="44"/>
        <v>0.159</v>
      </c>
      <c r="E434" s="6">
        <f t="shared" si="48"/>
        <v>4.0864590000000005</v>
      </c>
      <c r="F434" s="2" t="s">
        <v>18</v>
      </c>
      <c r="G434" s="6">
        <f t="shared" si="64"/>
        <v>0.12300000000000001</v>
      </c>
      <c r="H434" s="6">
        <f t="shared" si="55"/>
        <v>0.50263445700000009</v>
      </c>
      <c r="I434" s="6" t="s">
        <v>55</v>
      </c>
      <c r="J434" s="8">
        <f>0.8/100</f>
        <v>8.0000000000000002E-3</v>
      </c>
      <c r="K434" s="6">
        <f t="shared" si="65"/>
        <v>4.0210756560000007E-3</v>
      </c>
      <c r="L434" s="2" t="s">
        <v>38</v>
      </c>
      <c r="M434" s="2">
        <f>2.4/100</f>
        <v>2.4E-2</v>
      </c>
      <c r="N434" s="2">
        <f t="shared" si="66"/>
        <v>1.2063226968000003E-2</v>
      </c>
    </row>
    <row r="435" spans="1:14" x14ac:dyDescent="0.25">
      <c r="A435" s="23">
        <v>43532</v>
      </c>
      <c r="B435" s="4">
        <v>25.701000000000001</v>
      </c>
      <c r="C435" s="4" t="s">
        <v>2</v>
      </c>
      <c r="D435" s="5">
        <f t="shared" si="44"/>
        <v>0.159</v>
      </c>
      <c r="E435" s="6">
        <f t="shared" si="48"/>
        <v>4.0864590000000005</v>
      </c>
      <c r="F435" s="2" t="s">
        <v>18</v>
      </c>
      <c r="G435" s="6">
        <f t="shared" si="64"/>
        <v>0.12300000000000001</v>
      </c>
      <c r="H435" s="6">
        <f t="shared" si="55"/>
        <v>0.50263445700000009</v>
      </c>
      <c r="I435" s="6"/>
      <c r="J435" s="6"/>
      <c r="K435" s="6"/>
      <c r="L435" s="2" t="s">
        <v>39</v>
      </c>
      <c r="M435" s="2">
        <f>2/100</f>
        <v>0.02</v>
      </c>
      <c r="N435" s="2">
        <f t="shared" si="66"/>
        <v>1.0052689140000001E-2</v>
      </c>
    </row>
    <row r="436" spans="1:14" x14ac:dyDescent="0.25">
      <c r="A436" s="23">
        <v>43533</v>
      </c>
      <c r="B436" s="4">
        <v>25.701000000000001</v>
      </c>
      <c r="C436" s="2" t="s">
        <v>19</v>
      </c>
      <c r="D436" s="6">
        <f>84.1/100</f>
        <v>0.84099999999999997</v>
      </c>
      <c r="E436" s="6">
        <f t="shared" si="48"/>
        <v>21.614540999999999</v>
      </c>
      <c r="F436" s="6" t="s">
        <v>54</v>
      </c>
      <c r="G436" s="6">
        <f>81.6/100</f>
        <v>0.81599999999999995</v>
      </c>
      <c r="H436" s="6">
        <f t="shared" si="55"/>
        <v>17.637465455999997</v>
      </c>
      <c r="I436" s="6" t="s">
        <v>11</v>
      </c>
      <c r="J436" s="6">
        <f>12.3/100</f>
        <v>0.12300000000000001</v>
      </c>
      <c r="K436" s="6">
        <f>J436*H436</f>
        <v>2.169408251088</v>
      </c>
      <c r="L436" s="2" t="s">
        <v>32</v>
      </c>
      <c r="M436" s="2">
        <f>3.1/100</f>
        <v>3.1E-2</v>
      </c>
      <c r="N436" s="2">
        <f>M436*H436</f>
        <v>0.5467614291359999</v>
      </c>
    </row>
    <row r="437" spans="1:14" x14ac:dyDescent="0.25">
      <c r="A437" s="23">
        <v>43534</v>
      </c>
      <c r="B437" s="4">
        <v>25.701000000000001</v>
      </c>
      <c r="C437" s="2" t="s">
        <v>19</v>
      </c>
      <c r="D437" s="6">
        <f t="shared" ref="D437:D483" si="67">84.1/100</f>
        <v>0.84099999999999997</v>
      </c>
      <c r="E437" s="6">
        <f t="shared" si="48"/>
        <v>21.614540999999999</v>
      </c>
      <c r="F437" s="6" t="s">
        <v>14</v>
      </c>
      <c r="G437" s="6">
        <f t="shared" ref="G437:G443" si="68">81.6/100</f>
        <v>0.81599999999999995</v>
      </c>
      <c r="H437" s="6">
        <f t="shared" si="55"/>
        <v>17.637465455999997</v>
      </c>
      <c r="I437" s="6" t="s">
        <v>12</v>
      </c>
      <c r="J437" s="6">
        <f>19.6/100</f>
        <v>0.19600000000000001</v>
      </c>
      <c r="K437" s="6">
        <f t="shared" ref="K437:K440" si="69">J437*H437</f>
        <v>3.4569432293759998</v>
      </c>
      <c r="L437" s="2" t="s">
        <v>33</v>
      </c>
      <c r="M437" s="2">
        <f>9.7/100</f>
        <v>9.6999999999999989E-2</v>
      </c>
      <c r="N437" s="2">
        <f t="shared" ref="N437:N443" si="70">M437*H437</f>
        <v>1.7108341492319996</v>
      </c>
    </row>
    <row r="438" spans="1:14" x14ac:dyDescent="0.25">
      <c r="A438" s="23">
        <v>43535</v>
      </c>
      <c r="B438" s="4">
        <v>25.701000000000001</v>
      </c>
      <c r="C438" s="2" t="s">
        <v>19</v>
      </c>
      <c r="D438" s="6">
        <f t="shared" si="67"/>
        <v>0.84099999999999997</v>
      </c>
      <c r="E438" s="6">
        <f t="shared" si="48"/>
        <v>21.614540999999999</v>
      </c>
      <c r="F438" s="6" t="s">
        <v>14</v>
      </c>
      <c r="G438" s="6">
        <f t="shared" si="68"/>
        <v>0.81599999999999995</v>
      </c>
      <c r="H438" s="6">
        <f t="shared" si="55"/>
        <v>17.637465455999997</v>
      </c>
      <c r="I438" s="6" t="s">
        <v>7</v>
      </c>
      <c r="J438" s="14">
        <f>1.3/100</f>
        <v>1.3000000000000001E-2</v>
      </c>
      <c r="K438" s="6">
        <f t="shared" si="69"/>
        <v>0.22928705092799997</v>
      </c>
      <c r="L438" s="2" t="s">
        <v>34</v>
      </c>
      <c r="M438" s="2">
        <f>17.1/100</f>
        <v>0.17100000000000001</v>
      </c>
      <c r="N438" s="2">
        <f t="shared" si="70"/>
        <v>3.0160065929759998</v>
      </c>
    </row>
    <row r="439" spans="1:14" x14ac:dyDescent="0.25">
      <c r="A439" s="23">
        <v>43536</v>
      </c>
      <c r="B439" s="4">
        <v>25.701000000000001</v>
      </c>
      <c r="C439" s="2" t="s">
        <v>19</v>
      </c>
      <c r="D439" s="6">
        <f t="shared" si="67"/>
        <v>0.84099999999999997</v>
      </c>
      <c r="E439" s="6">
        <f t="shared" si="48"/>
        <v>21.614540999999999</v>
      </c>
      <c r="F439" s="6" t="s">
        <v>14</v>
      </c>
      <c r="G439" s="6">
        <f t="shared" si="68"/>
        <v>0.81599999999999995</v>
      </c>
      <c r="H439" s="6">
        <f t="shared" si="55"/>
        <v>17.637465455999997</v>
      </c>
      <c r="I439" s="6" t="s">
        <v>8</v>
      </c>
      <c r="J439" s="6">
        <f>37.3/100</f>
        <v>0.373</v>
      </c>
      <c r="K439" s="6">
        <f t="shared" si="69"/>
        <v>6.5787746150879993</v>
      </c>
      <c r="L439" s="2" t="s">
        <v>35</v>
      </c>
      <c r="M439" s="2">
        <f>27.5/100</f>
        <v>0.27500000000000002</v>
      </c>
      <c r="N439" s="2">
        <f t="shared" si="70"/>
        <v>4.8503030003999994</v>
      </c>
    </row>
    <row r="440" spans="1:14" x14ac:dyDescent="0.25">
      <c r="A440" s="23">
        <v>43537</v>
      </c>
      <c r="B440" s="4">
        <v>25.701000000000001</v>
      </c>
      <c r="C440" s="2" t="s">
        <v>19</v>
      </c>
      <c r="D440" s="6">
        <f t="shared" si="67"/>
        <v>0.84099999999999997</v>
      </c>
      <c r="E440" s="6">
        <f t="shared" si="48"/>
        <v>21.614540999999999</v>
      </c>
      <c r="F440" s="6" t="s">
        <v>14</v>
      </c>
      <c r="G440" s="6">
        <f t="shared" si="68"/>
        <v>0.81599999999999995</v>
      </c>
      <c r="H440" s="6">
        <f t="shared" si="55"/>
        <v>17.637465455999997</v>
      </c>
      <c r="I440" s="6" t="s">
        <v>10</v>
      </c>
      <c r="J440" s="6">
        <f>3.9/100</f>
        <v>3.9E-2</v>
      </c>
      <c r="K440" s="6">
        <f t="shared" si="69"/>
        <v>0.68786115278399995</v>
      </c>
      <c r="L440" s="2" t="s">
        <v>36</v>
      </c>
      <c r="M440" s="2">
        <f>22.4/100</f>
        <v>0.22399999999999998</v>
      </c>
      <c r="N440" s="2">
        <f t="shared" si="70"/>
        <v>3.9507922621439988</v>
      </c>
    </row>
    <row r="441" spans="1:14" x14ac:dyDescent="0.25">
      <c r="A441" s="23">
        <v>43538</v>
      </c>
      <c r="B441" s="4">
        <v>25.701000000000001</v>
      </c>
      <c r="C441" s="2" t="s">
        <v>19</v>
      </c>
      <c r="D441" s="6">
        <f t="shared" si="67"/>
        <v>0.84099999999999997</v>
      </c>
      <c r="E441" s="6">
        <f t="shared" si="48"/>
        <v>21.614540999999999</v>
      </c>
      <c r="F441" s="6" t="s">
        <v>14</v>
      </c>
      <c r="G441" s="6">
        <f t="shared" si="68"/>
        <v>0.81599999999999995</v>
      </c>
      <c r="H441" s="6">
        <f t="shared" si="55"/>
        <v>17.637465455999997</v>
      </c>
      <c r="I441" s="6" t="s">
        <v>9</v>
      </c>
      <c r="J441" s="6">
        <f>24.7/100</f>
        <v>0.247</v>
      </c>
      <c r="K441" s="6">
        <f>J442*H441</f>
        <v>0.17637465455999998</v>
      </c>
      <c r="L441" s="2" t="s">
        <v>37</v>
      </c>
      <c r="M441" s="2">
        <f>16.8/100</f>
        <v>0.16800000000000001</v>
      </c>
      <c r="N441" s="2">
        <f t="shared" si="70"/>
        <v>2.9630941966079996</v>
      </c>
    </row>
    <row r="442" spans="1:14" x14ac:dyDescent="0.25">
      <c r="A442" s="23">
        <v>43539</v>
      </c>
      <c r="B442" s="4">
        <v>25.701000000000001</v>
      </c>
      <c r="C442" s="2" t="s">
        <v>19</v>
      </c>
      <c r="D442" s="6">
        <f t="shared" si="67"/>
        <v>0.84099999999999997</v>
      </c>
      <c r="E442" s="6">
        <f t="shared" si="48"/>
        <v>21.614540999999999</v>
      </c>
      <c r="F442" s="6" t="s">
        <v>14</v>
      </c>
      <c r="G442" s="6">
        <f t="shared" si="68"/>
        <v>0.81599999999999995</v>
      </c>
      <c r="H442" s="6">
        <f t="shared" si="55"/>
        <v>17.637465455999997</v>
      </c>
      <c r="I442" s="6" t="s">
        <v>55</v>
      </c>
      <c r="J442" s="6">
        <f>1/100</f>
        <v>0.01</v>
      </c>
      <c r="K442" s="6"/>
      <c r="L442" s="2" t="s">
        <v>38</v>
      </c>
      <c r="M442" s="2">
        <f>2.5/100</f>
        <v>2.5000000000000001E-2</v>
      </c>
      <c r="N442" s="2">
        <f t="shared" si="70"/>
        <v>0.44093663639999997</v>
      </c>
    </row>
    <row r="443" spans="1:14" x14ac:dyDescent="0.25">
      <c r="A443" s="23">
        <v>43540</v>
      </c>
      <c r="B443" s="4">
        <v>25.701000000000001</v>
      </c>
      <c r="C443" s="2" t="s">
        <v>19</v>
      </c>
      <c r="D443" s="6">
        <f t="shared" si="67"/>
        <v>0.84099999999999997</v>
      </c>
      <c r="E443" s="6">
        <f t="shared" si="48"/>
        <v>21.614540999999999</v>
      </c>
      <c r="F443" s="6" t="s">
        <v>14</v>
      </c>
      <c r="G443" s="6">
        <f t="shared" si="68"/>
        <v>0.81599999999999995</v>
      </c>
      <c r="H443" s="6">
        <f t="shared" si="55"/>
        <v>17.637465455999997</v>
      </c>
      <c r="I443" s="6"/>
      <c r="J443" s="6"/>
      <c r="K443" s="6"/>
      <c r="L443" s="2" t="s">
        <v>39</v>
      </c>
      <c r="M443" s="2">
        <f>0.9/100</f>
        <v>9.0000000000000011E-3</v>
      </c>
      <c r="N443" s="2">
        <f t="shared" si="70"/>
        <v>0.158737189104</v>
      </c>
    </row>
    <row r="444" spans="1:14" x14ac:dyDescent="0.25">
      <c r="A444" s="23">
        <v>43541</v>
      </c>
      <c r="B444" s="4">
        <v>25.701000000000001</v>
      </c>
      <c r="C444" s="2" t="s">
        <v>19</v>
      </c>
      <c r="D444" s="6">
        <f t="shared" si="67"/>
        <v>0.84099999999999997</v>
      </c>
      <c r="E444" s="6">
        <f t="shared" si="48"/>
        <v>21.614540999999999</v>
      </c>
      <c r="F444" s="6" t="s">
        <v>52</v>
      </c>
      <c r="G444" s="6">
        <f>82.2/100</f>
        <v>0.82200000000000006</v>
      </c>
      <c r="H444" s="6">
        <f t="shared" si="55"/>
        <v>17.767152702000001</v>
      </c>
      <c r="I444" s="6" t="s">
        <v>11</v>
      </c>
      <c r="J444" s="6">
        <f>6.6/100</f>
        <v>6.6000000000000003E-2</v>
      </c>
      <c r="K444" s="6">
        <f>J444*H444</f>
        <v>1.1726320783320001</v>
      </c>
      <c r="L444" s="2" t="s">
        <v>32</v>
      </c>
      <c r="M444" s="2">
        <f>1.9/100</f>
        <v>1.9E-2</v>
      </c>
      <c r="N444" s="2">
        <f>M444*H444</f>
        <v>0.33757590133800003</v>
      </c>
    </row>
    <row r="445" spans="1:14" x14ac:dyDescent="0.25">
      <c r="A445" s="23">
        <v>43542</v>
      </c>
      <c r="B445" s="4">
        <v>25.701000000000001</v>
      </c>
      <c r="C445" s="2" t="s">
        <v>19</v>
      </c>
      <c r="D445" s="6">
        <f t="shared" si="67"/>
        <v>0.84099999999999997</v>
      </c>
      <c r="E445" s="6">
        <f t="shared" si="48"/>
        <v>21.614540999999999</v>
      </c>
      <c r="F445" s="6" t="s">
        <v>15</v>
      </c>
      <c r="G445" s="6">
        <f t="shared" ref="G445:G451" si="71">82.2/100</f>
        <v>0.82200000000000006</v>
      </c>
      <c r="H445" s="6">
        <f t="shared" si="55"/>
        <v>17.767152702000001</v>
      </c>
      <c r="I445" s="6" t="s">
        <v>12</v>
      </c>
      <c r="J445" s="6">
        <f>17/100</f>
        <v>0.17</v>
      </c>
      <c r="K445" s="6">
        <f t="shared" ref="K445:K449" si="72">J445*H445</f>
        <v>3.0204159593400002</v>
      </c>
      <c r="L445" s="2" t="s">
        <v>33</v>
      </c>
      <c r="M445" s="2">
        <f>10.3/100</f>
        <v>0.10300000000000001</v>
      </c>
      <c r="N445" s="2">
        <f t="shared" ref="N445:N451" si="73">M445*H445</f>
        <v>1.8300167283060003</v>
      </c>
    </row>
    <row r="446" spans="1:14" x14ac:dyDescent="0.25">
      <c r="A446" s="23">
        <v>43543</v>
      </c>
      <c r="B446" s="4">
        <v>25.701000000000001</v>
      </c>
      <c r="C446" s="2" t="s">
        <v>19</v>
      </c>
      <c r="D446" s="6">
        <f t="shared" si="67"/>
        <v>0.84099999999999997</v>
      </c>
      <c r="E446" s="6">
        <f t="shared" si="48"/>
        <v>21.614540999999999</v>
      </c>
      <c r="F446" s="6" t="s">
        <v>15</v>
      </c>
      <c r="G446" s="6">
        <f t="shared" si="71"/>
        <v>0.82200000000000006</v>
      </c>
      <c r="H446" s="6">
        <f t="shared" si="55"/>
        <v>17.767152702000001</v>
      </c>
      <c r="I446" s="6" t="s">
        <v>7</v>
      </c>
      <c r="J446" s="6">
        <f>1.3/100</f>
        <v>1.3000000000000001E-2</v>
      </c>
      <c r="K446" s="6">
        <f t="shared" si="72"/>
        <v>0.23097298512600004</v>
      </c>
      <c r="L446" s="2" t="s">
        <v>34</v>
      </c>
      <c r="M446" s="2">
        <f>20.8/100</f>
        <v>0.20800000000000002</v>
      </c>
      <c r="N446" s="2">
        <f t="shared" si="73"/>
        <v>3.6955677620160006</v>
      </c>
    </row>
    <row r="447" spans="1:14" x14ac:dyDescent="0.25">
      <c r="A447" s="23">
        <v>43544</v>
      </c>
      <c r="B447" s="4">
        <v>25.701000000000001</v>
      </c>
      <c r="C447" s="2" t="s">
        <v>19</v>
      </c>
      <c r="D447" s="6">
        <f t="shared" si="67"/>
        <v>0.84099999999999997</v>
      </c>
      <c r="E447" s="6">
        <f t="shared" si="48"/>
        <v>21.614540999999999</v>
      </c>
      <c r="F447" s="6" t="s">
        <v>15</v>
      </c>
      <c r="G447" s="6">
        <f t="shared" si="71"/>
        <v>0.82200000000000006</v>
      </c>
      <c r="H447" s="6">
        <f t="shared" si="55"/>
        <v>17.767152702000001</v>
      </c>
      <c r="I447" s="6" t="s">
        <v>8</v>
      </c>
      <c r="J447" s="6">
        <f>42.9/100</f>
        <v>0.42899999999999999</v>
      </c>
      <c r="K447" s="6">
        <f t="shared" si="72"/>
        <v>7.6221085091580001</v>
      </c>
      <c r="L447" s="2" t="s">
        <v>35</v>
      </c>
      <c r="M447" s="2">
        <f>31.7/100</f>
        <v>0.317</v>
      </c>
      <c r="N447" s="2">
        <f t="shared" si="73"/>
        <v>5.6321874065340003</v>
      </c>
    </row>
    <row r="448" spans="1:14" x14ac:dyDescent="0.25">
      <c r="A448" s="23">
        <v>43545</v>
      </c>
      <c r="B448" s="4">
        <v>25.701000000000001</v>
      </c>
      <c r="C448" s="2" t="s">
        <v>19</v>
      </c>
      <c r="D448" s="6">
        <f t="shared" si="67"/>
        <v>0.84099999999999997</v>
      </c>
      <c r="E448" s="6">
        <f t="shared" si="48"/>
        <v>21.614540999999999</v>
      </c>
      <c r="F448" s="6" t="s">
        <v>15</v>
      </c>
      <c r="G448" s="6">
        <f t="shared" si="71"/>
        <v>0.82200000000000006</v>
      </c>
      <c r="H448" s="6">
        <f t="shared" si="55"/>
        <v>17.767152702000001</v>
      </c>
      <c r="I448" s="6" t="s">
        <v>10</v>
      </c>
      <c r="J448" s="6">
        <f>5.9/100</f>
        <v>5.9000000000000004E-2</v>
      </c>
      <c r="K448" s="6">
        <f t="shared" si="72"/>
        <v>1.0482620094180002</v>
      </c>
      <c r="L448" s="2" t="s">
        <v>36</v>
      </c>
      <c r="M448" s="2">
        <f>18.8/100</f>
        <v>0.188</v>
      </c>
      <c r="N448" s="2">
        <f t="shared" si="73"/>
        <v>3.3402247079760001</v>
      </c>
    </row>
    <row r="449" spans="1:14" x14ac:dyDescent="0.25">
      <c r="A449" s="23">
        <v>43546</v>
      </c>
      <c r="B449" s="4">
        <v>25.701000000000001</v>
      </c>
      <c r="C449" s="2" t="s">
        <v>19</v>
      </c>
      <c r="D449" s="6">
        <f t="shared" si="67"/>
        <v>0.84099999999999997</v>
      </c>
      <c r="E449" s="6">
        <f t="shared" si="48"/>
        <v>21.614540999999999</v>
      </c>
      <c r="F449" s="6" t="s">
        <v>15</v>
      </c>
      <c r="G449" s="6">
        <f t="shared" si="71"/>
        <v>0.82200000000000006</v>
      </c>
      <c r="H449" s="6">
        <f t="shared" si="55"/>
        <v>17.767152702000001</v>
      </c>
      <c r="I449" s="6" t="s">
        <v>9</v>
      </c>
      <c r="J449" s="6">
        <f>24.9/100</f>
        <v>0.249</v>
      </c>
      <c r="K449" s="6">
        <f t="shared" si="72"/>
        <v>4.4240210227980006</v>
      </c>
      <c r="L449" s="2" t="s">
        <v>37</v>
      </c>
      <c r="M449" s="2">
        <f>14.4/100</f>
        <v>0.14400000000000002</v>
      </c>
      <c r="N449" s="2">
        <f t="shared" si="73"/>
        <v>2.5584699890880005</v>
      </c>
    </row>
    <row r="450" spans="1:14" x14ac:dyDescent="0.25">
      <c r="A450" s="23">
        <v>43547</v>
      </c>
      <c r="B450" s="4">
        <v>25.701000000000001</v>
      </c>
      <c r="C450" s="2" t="s">
        <v>19</v>
      </c>
      <c r="D450" s="6">
        <f t="shared" si="67"/>
        <v>0.84099999999999997</v>
      </c>
      <c r="E450" s="6">
        <f t="shared" si="48"/>
        <v>21.614540999999999</v>
      </c>
      <c r="F450" s="6" t="s">
        <v>15</v>
      </c>
      <c r="G450" s="6">
        <f t="shared" si="71"/>
        <v>0.82200000000000006</v>
      </c>
      <c r="H450" s="6">
        <f t="shared" si="55"/>
        <v>17.767152702000001</v>
      </c>
      <c r="I450" s="6" t="s">
        <v>55</v>
      </c>
      <c r="J450" s="6">
        <f>1.8/100</f>
        <v>1.8000000000000002E-2</v>
      </c>
      <c r="K450" s="6"/>
      <c r="L450" s="2" t="s">
        <v>38</v>
      </c>
      <c r="M450" s="2">
        <f>1.5/100</f>
        <v>1.4999999999999999E-2</v>
      </c>
      <c r="N450" s="2">
        <f t="shared" si="73"/>
        <v>0.26650729053</v>
      </c>
    </row>
    <row r="451" spans="1:14" x14ac:dyDescent="0.25">
      <c r="A451" s="23">
        <v>43548</v>
      </c>
      <c r="B451" s="4">
        <v>25.701000000000001</v>
      </c>
      <c r="C451" s="2" t="s">
        <v>19</v>
      </c>
      <c r="D451" s="6">
        <f t="shared" si="67"/>
        <v>0.84099999999999997</v>
      </c>
      <c r="E451" s="6">
        <f t="shared" si="48"/>
        <v>21.614540999999999</v>
      </c>
      <c r="F451" s="6" t="s">
        <v>15</v>
      </c>
      <c r="G451" s="6">
        <f t="shared" si="71"/>
        <v>0.82200000000000006</v>
      </c>
      <c r="H451" s="6">
        <f t="shared" si="55"/>
        <v>17.767152702000001</v>
      </c>
      <c r="I451" s="6"/>
      <c r="J451" s="6"/>
      <c r="K451" s="6"/>
      <c r="L451" s="2" t="s">
        <v>39</v>
      </c>
      <c r="M451" s="2">
        <f>0.6/100</f>
        <v>6.0000000000000001E-3</v>
      </c>
      <c r="N451" s="2">
        <f t="shared" si="73"/>
        <v>0.10660291621200001</v>
      </c>
    </row>
    <row r="452" spans="1:14" x14ac:dyDescent="0.25">
      <c r="A452" s="23">
        <v>43549</v>
      </c>
      <c r="B452" s="4">
        <v>25.701000000000001</v>
      </c>
      <c r="C452" s="2" t="s">
        <v>19</v>
      </c>
      <c r="D452" s="6">
        <f t="shared" si="67"/>
        <v>0.84099999999999997</v>
      </c>
      <c r="E452" s="6">
        <f t="shared" si="48"/>
        <v>21.614540999999999</v>
      </c>
      <c r="F452" s="6" t="s">
        <v>53</v>
      </c>
      <c r="G452" s="6">
        <f>83.6/100</f>
        <v>0.83599999999999997</v>
      </c>
      <c r="H452" s="6">
        <f t="shared" si="55"/>
        <v>18.069756276</v>
      </c>
      <c r="I452" s="6" t="s">
        <v>11</v>
      </c>
      <c r="J452" s="6">
        <f>13.8/100</f>
        <v>0.13800000000000001</v>
      </c>
      <c r="K452" s="6">
        <f>J452*H452</f>
        <v>2.4936263660880003</v>
      </c>
      <c r="L452" s="2" t="s">
        <v>32</v>
      </c>
      <c r="M452" s="2">
        <f>4.5/100</f>
        <v>4.4999999999999998E-2</v>
      </c>
      <c r="N452" s="2">
        <f>M452*H452</f>
        <v>0.81313903241999996</v>
      </c>
    </row>
    <row r="453" spans="1:14" x14ac:dyDescent="0.25">
      <c r="A453" s="23">
        <v>43550</v>
      </c>
      <c r="B453" s="4">
        <v>25.701000000000001</v>
      </c>
      <c r="C453" s="2" t="s">
        <v>19</v>
      </c>
      <c r="D453" s="6">
        <f t="shared" si="67"/>
        <v>0.84099999999999997</v>
      </c>
      <c r="E453" s="6">
        <f t="shared" si="48"/>
        <v>21.614540999999999</v>
      </c>
      <c r="F453" s="6" t="s">
        <v>16</v>
      </c>
      <c r="G453" s="6">
        <f t="shared" ref="G453:G459" si="74">83.6/100</f>
        <v>0.83599999999999997</v>
      </c>
      <c r="H453" s="6">
        <f t="shared" si="55"/>
        <v>18.069756276</v>
      </c>
      <c r="I453" s="6" t="s">
        <v>12</v>
      </c>
      <c r="J453" s="6">
        <f>21.6/100</f>
        <v>0.21600000000000003</v>
      </c>
      <c r="K453" s="6">
        <f t="shared" ref="K453:K457" si="75">J453*H453</f>
        <v>3.9030673556160003</v>
      </c>
      <c r="L453" s="2" t="s">
        <v>33</v>
      </c>
      <c r="M453" s="2">
        <f>12.2/100</f>
        <v>0.122</v>
      </c>
      <c r="N453" s="2">
        <f t="shared" ref="N453:N459" si="76">M453*H453</f>
        <v>2.2045102656719999</v>
      </c>
    </row>
    <row r="454" spans="1:14" x14ac:dyDescent="0.25">
      <c r="A454" s="23">
        <v>43551</v>
      </c>
      <c r="B454" s="4">
        <v>25.701000000000001</v>
      </c>
      <c r="C454" s="2" t="s">
        <v>19</v>
      </c>
      <c r="D454" s="6">
        <f t="shared" si="67"/>
        <v>0.84099999999999997</v>
      </c>
      <c r="E454" s="6">
        <f t="shared" si="48"/>
        <v>21.614540999999999</v>
      </c>
      <c r="F454" s="6" t="s">
        <v>16</v>
      </c>
      <c r="G454" s="6">
        <f t="shared" si="74"/>
        <v>0.83599999999999997</v>
      </c>
      <c r="H454" s="6">
        <f t="shared" si="55"/>
        <v>18.069756276</v>
      </c>
      <c r="I454" s="6" t="s">
        <v>7</v>
      </c>
      <c r="J454" s="6">
        <f>0.9/100</f>
        <v>9.0000000000000011E-3</v>
      </c>
      <c r="K454" s="6">
        <f t="shared" si="75"/>
        <v>0.16262780648400002</v>
      </c>
      <c r="L454" s="2" t="s">
        <v>34</v>
      </c>
      <c r="M454" s="2">
        <f>15.7/100</f>
        <v>0.157</v>
      </c>
      <c r="N454" s="2">
        <f t="shared" si="76"/>
        <v>2.8369517353320002</v>
      </c>
    </row>
    <row r="455" spans="1:14" x14ac:dyDescent="0.25">
      <c r="A455" s="23">
        <v>43552</v>
      </c>
      <c r="B455" s="4">
        <v>25.701000000000001</v>
      </c>
      <c r="C455" s="2" t="s">
        <v>19</v>
      </c>
      <c r="D455" s="6">
        <f t="shared" si="67"/>
        <v>0.84099999999999997</v>
      </c>
      <c r="E455" s="6">
        <f t="shared" si="48"/>
        <v>21.614540999999999</v>
      </c>
      <c r="F455" s="6" t="s">
        <v>16</v>
      </c>
      <c r="G455" s="6">
        <f t="shared" si="74"/>
        <v>0.83599999999999997</v>
      </c>
      <c r="H455" s="6">
        <f t="shared" si="55"/>
        <v>18.069756276</v>
      </c>
      <c r="I455" s="6" t="s">
        <v>8</v>
      </c>
      <c r="J455" s="6">
        <f>36.9/100</f>
        <v>0.36899999999999999</v>
      </c>
      <c r="K455" s="6">
        <f t="shared" si="75"/>
        <v>6.6677400658439998</v>
      </c>
      <c r="L455" s="2" t="s">
        <v>35</v>
      </c>
      <c r="M455" s="2">
        <f>26.6/100</f>
        <v>0.26600000000000001</v>
      </c>
      <c r="N455" s="2">
        <f t="shared" si="76"/>
        <v>4.8065551694159998</v>
      </c>
    </row>
    <row r="456" spans="1:14" x14ac:dyDescent="0.25">
      <c r="A456" s="23">
        <v>43553</v>
      </c>
      <c r="B456" s="4">
        <v>25.701000000000001</v>
      </c>
      <c r="C456" s="2" t="s">
        <v>19</v>
      </c>
      <c r="D456" s="6">
        <f t="shared" si="67"/>
        <v>0.84099999999999997</v>
      </c>
      <c r="E456" s="6">
        <f t="shared" si="48"/>
        <v>21.614540999999999</v>
      </c>
      <c r="F456" s="6" t="s">
        <v>16</v>
      </c>
      <c r="G456" s="6">
        <f t="shared" si="74"/>
        <v>0.83599999999999997</v>
      </c>
      <c r="H456" s="6">
        <f t="shared" si="55"/>
        <v>18.069756276</v>
      </c>
      <c r="I456" s="6" t="s">
        <v>10</v>
      </c>
      <c r="J456" s="6">
        <f>4.9/100</f>
        <v>4.9000000000000002E-2</v>
      </c>
      <c r="K456" s="6">
        <f t="shared" si="75"/>
        <v>0.88541805752400005</v>
      </c>
      <c r="L456" s="2" t="s">
        <v>36</v>
      </c>
      <c r="M456" s="2">
        <f>20.8/100</f>
        <v>0.20800000000000002</v>
      </c>
      <c r="N456" s="2">
        <f t="shared" si="76"/>
        <v>3.7585093054080003</v>
      </c>
    </row>
    <row r="457" spans="1:14" x14ac:dyDescent="0.25">
      <c r="A457" s="23">
        <v>43554</v>
      </c>
      <c r="B457" s="4">
        <v>25.701000000000001</v>
      </c>
      <c r="C457" s="2" t="s">
        <v>19</v>
      </c>
      <c r="D457" s="6">
        <f t="shared" si="67"/>
        <v>0.84099999999999997</v>
      </c>
      <c r="E457" s="6">
        <f t="shared" si="48"/>
        <v>21.614540999999999</v>
      </c>
      <c r="F457" s="6" t="s">
        <v>16</v>
      </c>
      <c r="G457" s="6">
        <f t="shared" si="74"/>
        <v>0.83599999999999997</v>
      </c>
      <c r="H457" s="6">
        <f t="shared" si="55"/>
        <v>18.069756276</v>
      </c>
      <c r="I457" s="6" t="s">
        <v>9</v>
      </c>
      <c r="J457" s="6">
        <f>20/100</f>
        <v>0.2</v>
      </c>
      <c r="K457" s="6">
        <f t="shared" si="75"/>
        <v>3.6139512551999999</v>
      </c>
      <c r="L457" s="2" t="s">
        <v>37</v>
      </c>
      <c r="M457" s="2">
        <f>16.9/100</f>
        <v>0.16899999999999998</v>
      </c>
      <c r="N457" s="2">
        <f t="shared" si="76"/>
        <v>3.0537888106439994</v>
      </c>
    </row>
    <row r="458" spans="1:14" x14ac:dyDescent="0.25">
      <c r="A458" s="23">
        <v>43555</v>
      </c>
      <c r="B458" s="4">
        <v>25.701000000000001</v>
      </c>
      <c r="C458" s="2" t="s">
        <v>19</v>
      </c>
      <c r="D458" s="6">
        <f t="shared" si="67"/>
        <v>0.84099999999999997</v>
      </c>
      <c r="E458" s="6">
        <f t="shared" si="48"/>
        <v>21.614540999999999</v>
      </c>
      <c r="F458" s="6" t="s">
        <v>16</v>
      </c>
      <c r="G458" s="6">
        <f t="shared" si="74"/>
        <v>0.83599999999999997</v>
      </c>
      <c r="H458" s="6">
        <f t="shared" si="55"/>
        <v>18.069756276</v>
      </c>
      <c r="I458" s="6" t="s">
        <v>55</v>
      </c>
      <c r="J458" s="6">
        <f>1.9/100</f>
        <v>1.9E-2</v>
      </c>
      <c r="K458" s="6"/>
      <c r="L458" s="2" t="s">
        <v>38</v>
      </c>
      <c r="M458" s="2">
        <f>2/100</f>
        <v>0.02</v>
      </c>
      <c r="N458" s="2">
        <f t="shared" si="76"/>
        <v>0.36139512552000003</v>
      </c>
    </row>
    <row r="459" spans="1:14" x14ac:dyDescent="0.25">
      <c r="A459" s="23">
        <v>43556</v>
      </c>
      <c r="B459" s="4">
        <v>25.701000000000001</v>
      </c>
      <c r="C459" s="2" t="s">
        <v>19</v>
      </c>
      <c r="D459" s="6">
        <f t="shared" si="67"/>
        <v>0.84099999999999997</v>
      </c>
      <c r="E459" s="6">
        <f t="shared" si="48"/>
        <v>21.614540999999999</v>
      </c>
      <c r="F459" s="6" t="s">
        <v>16</v>
      </c>
      <c r="G459" s="6">
        <f t="shared" si="74"/>
        <v>0.83599999999999997</v>
      </c>
      <c r="H459" s="6">
        <f t="shared" si="55"/>
        <v>18.069756276</v>
      </c>
      <c r="I459" s="6"/>
      <c r="J459" s="6"/>
      <c r="K459" s="6"/>
      <c r="L459" s="2" t="s">
        <v>39</v>
      </c>
      <c r="M459" s="2">
        <f>1.2/100</f>
        <v>1.2E-2</v>
      </c>
      <c r="N459" s="2">
        <f t="shared" si="76"/>
        <v>0.216837075312</v>
      </c>
    </row>
    <row r="460" spans="1:14" x14ac:dyDescent="0.25">
      <c r="A460" s="23">
        <v>43557</v>
      </c>
      <c r="B460" s="4">
        <v>25.701000000000001</v>
      </c>
      <c r="C460" s="2" t="s">
        <v>19</v>
      </c>
      <c r="D460" s="6">
        <f t="shared" si="67"/>
        <v>0.84099999999999997</v>
      </c>
      <c r="E460" s="6">
        <f t="shared" si="48"/>
        <v>21.614540999999999</v>
      </c>
      <c r="F460" s="2" t="s">
        <v>51</v>
      </c>
      <c r="G460" s="6">
        <f>82.7/100</f>
        <v>0.82700000000000007</v>
      </c>
      <c r="H460" s="6">
        <f t="shared" si="55"/>
        <v>17.875225407000002</v>
      </c>
      <c r="I460" s="6" t="s">
        <v>11</v>
      </c>
      <c r="J460" s="6">
        <f>21.1/100</f>
        <v>0.21100000000000002</v>
      </c>
      <c r="K460" s="8">
        <f>J460*H460</f>
        <v>3.771672560877001</v>
      </c>
      <c r="L460" s="2" t="s">
        <v>32</v>
      </c>
      <c r="M460" s="2">
        <f>4.6/100</f>
        <v>4.5999999999999999E-2</v>
      </c>
      <c r="N460" s="2">
        <f>M460*H460</f>
        <v>0.82226036872200003</v>
      </c>
    </row>
    <row r="461" spans="1:14" x14ac:dyDescent="0.25">
      <c r="A461" s="23">
        <v>43558</v>
      </c>
      <c r="B461" s="4">
        <v>25.701000000000001</v>
      </c>
      <c r="C461" s="2" t="s">
        <v>19</v>
      </c>
      <c r="D461" s="6">
        <f t="shared" si="67"/>
        <v>0.84099999999999997</v>
      </c>
      <c r="E461" s="6">
        <f t="shared" si="48"/>
        <v>21.614540999999999</v>
      </c>
      <c r="F461" s="2" t="s">
        <v>13</v>
      </c>
      <c r="G461" s="6">
        <f t="shared" ref="G461:G467" si="77">82.7/100</f>
        <v>0.82700000000000007</v>
      </c>
      <c r="H461" s="6">
        <f t="shared" si="55"/>
        <v>17.875225407000002</v>
      </c>
      <c r="I461" s="6" t="s">
        <v>12</v>
      </c>
      <c r="J461" s="6">
        <f>23.5/100</f>
        <v>0.23499999999999999</v>
      </c>
      <c r="K461" s="8">
        <f t="shared" ref="K461:K465" si="78">J461*H461</f>
        <v>4.2006779706450006</v>
      </c>
      <c r="L461" s="2" t="s">
        <v>33</v>
      </c>
      <c r="M461" s="2">
        <f>11/100</f>
        <v>0.11</v>
      </c>
      <c r="N461" s="2">
        <f t="shared" ref="N461:N467" si="79">M461*H461</f>
        <v>1.9662747947700003</v>
      </c>
    </row>
    <row r="462" spans="1:14" x14ac:dyDescent="0.25">
      <c r="A462" s="23">
        <v>43559</v>
      </c>
      <c r="B462" s="4">
        <v>25.701000000000001</v>
      </c>
      <c r="C462" s="2" t="s">
        <v>19</v>
      </c>
      <c r="D462" s="6">
        <f t="shared" si="67"/>
        <v>0.84099999999999997</v>
      </c>
      <c r="E462" s="6">
        <f t="shared" si="48"/>
        <v>21.614540999999999</v>
      </c>
      <c r="F462" s="2" t="s">
        <v>13</v>
      </c>
      <c r="G462" s="6">
        <f t="shared" si="77"/>
        <v>0.82700000000000007</v>
      </c>
      <c r="H462" s="6">
        <f t="shared" si="55"/>
        <v>17.875225407000002</v>
      </c>
      <c r="I462" s="6" t="s">
        <v>7</v>
      </c>
      <c r="J462" s="6">
        <f>1.7/100</f>
        <v>1.7000000000000001E-2</v>
      </c>
      <c r="K462" s="8">
        <f t="shared" si="78"/>
        <v>0.30387883191900006</v>
      </c>
      <c r="L462" s="2" t="s">
        <v>34</v>
      </c>
      <c r="M462" s="2">
        <f>16.7/100</f>
        <v>0.16699999999999998</v>
      </c>
      <c r="N462" s="2">
        <f t="shared" si="79"/>
        <v>2.9851626429690001</v>
      </c>
    </row>
    <row r="463" spans="1:14" x14ac:dyDescent="0.25">
      <c r="A463" s="23">
        <v>43560</v>
      </c>
      <c r="B463" s="4">
        <v>25.701000000000001</v>
      </c>
      <c r="C463" s="2" t="s">
        <v>19</v>
      </c>
      <c r="D463" s="6">
        <f t="shared" si="67"/>
        <v>0.84099999999999997</v>
      </c>
      <c r="E463" s="6">
        <f t="shared" si="48"/>
        <v>21.614540999999999</v>
      </c>
      <c r="F463" s="2" t="s">
        <v>13</v>
      </c>
      <c r="G463" s="6">
        <f t="shared" si="77"/>
        <v>0.82700000000000007</v>
      </c>
      <c r="H463" s="6">
        <f t="shared" si="55"/>
        <v>17.875225407000002</v>
      </c>
      <c r="I463" s="6" t="s">
        <v>8</v>
      </c>
      <c r="J463" s="6">
        <f>37.2/100</f>
        <v>0.37200000000000005</v>
      </c>
      <c r="K463" s="8">
        <f t="shared" si="78"/>
        <v>6.6495838514040013</v>
      </c>
      <c r="L463" s="2" t="s">
        <v>35</v>
      </c>
      <c r="M463" s="2">
        <f>26.4/100</f>
        <v>0.26400000000000001</v>
      </c>
      <c r="N463" s="2">
        <f t="shared" si="79"/>
        <v>4.7190595074480006</v>
      </c>
    </row>
    <row r="464" spans="1:14" x14ac:dyDescent="0.25">
      <c r="A464" s="23">
        <v>43561</v>
      </c>
      <c r="B464" s="4">
        <v>25.701000000000001</v>
      </c>
      <c r="C464" s="2" t="s">
        <v>19</v>
      </c>
      <c r="D464" s="6">
        <f t="shared" si="67"/>
        <v>0.84099999999999997</v>
      </c>
      <c r="E464" s="6">
        <f t="shared" si="48"/>
        <v>21.614540999999999</v>
      </c>
      <c r="F464" s="2" t="s">
        <v>13</v>
      </c>
      <c r="G464" s="6">
        <f t="shared" si="77"/>
        <v>0.82700000000000007</v>
      </c>
      <c r="H464" s="6">
        <f t="shared" si="55"/>
        <v>17.875225407000002</v>
      </c>
      <c r="I464" s="6" t="s">
        <v>10</v>
      </c>
      <c r="J464" s="6">
        <f>2.8/100</f>
        <v>2.7999999999999997E-2</v>
      </c>
      <c r="K464" s="8">
        <f t="shared" si="78"/>
        <v>0.50050631139599999</v>
      </c>
      <c r="L464" s="2" t="s">
        <v>36</v>
      </c>
      <c r="M464" s="2">
        <f>20.8/100</f>
        <v>0.20800000000000002</v>
      </c>
      <c r="N464" s="2">
        <f t="shared" si="79"/>
        <v>3.7180468846560006</v>
      </c>
    </row>
    <row r="465" spans="1:14" x14ac:dyDescent="0.25">
      <c r="A465" s="23">
        <v>43562</v>
      </c>
      <c r="B465" s="4">
        <v>25.701000000000001</v>
      </c>
      <c r="C465" s="2" t="s">
        <v>19</v>
      </c>
      <c r="D465" s="6">
        <f t="shared" si="67"/>
        <v>0.84099999999999997</v>
      </c>
      <c r="E465" s="6">
        <f t="shared" si="48"/>
        <v>21.614540999999999</v>
      </c>
      <c r="F465" s="2" t="s">
        <v>13</v>
      </c>
      <c r="G465" s="6">
        <f t="shared" si="77"/>
        <v>0.82700000000000007</v>
      </c>
      <c r="H465" s="6">
        <f t="shared" si="55"/>
        <v>17.875225407000002</v>
      </c>
      <c r="I465" s="6" t="s">
        <v>9</v>
      </c>
      <c r="J465" s="6">
        <f>11.8/100</f>
        <v>0.11800000000000001</v>
      </c>
      <c r="K465" s="8">
        <f t="shared" si="78"/>
        <v>2.1092765980260002</v>
      </c>
      <c r="L465" s="2" t="s">
        <v>37</v>
      </c>
      <c r="M465" s="2">
        <f>16.2/100</f>
        <v>0.16200000000000001</v>
      </c>
      <c r="N465" s="2">
        <f t="shared" si="79"/>
        <v>2.8957865159340006</v>
      </c>
    </row>
    <row r="466" spans="1:14" x14ac:dyDescent="0.25">
      <c r="A466" s="23">
        <v>43563</v>
      </c>
      <c r="B466" s="4">
        <v>25.701000000000001</v>
      </c>
      <c r="C466" s="2" t="s">
        <v>19</v>
      </c>
      <c r="D466" s="6">
        <f t="shared" si="67"/>
        <v>0.84099999999999997</v>
      </c>
      <c r="E466" s="6">
        <f t="shared" si="48"/>
        <v>21.614540999999999</v>
      </c>
      <c r="F466" s="2" t="s">
        <v>13</v>
      </c>
      <c r="G466" s="6">
        <f t="shared" si="77"/>
        <v>0.82700000000000007</v>
      </c>
      <c r="H466" s="6">
        <f t="shared" si="55"/>
        <v>17.875225407000002</v>
      </c>
      <c r="I466" s="6" t="s">
        <v>55</v>
      </c>
      <c r="J466" s="6">
        <f>1.9/100</f>
        <v>1.9E-2</v>
      </c>
      <c r="K466" s="8"/>
      <c r="L466" s="2" t="s">
        <v>38</v>
      </c>
      <c r="M466" s="2">
        <f>2.7/100</f>
        <v>2.7000000000000003E-2</v>
      </c>
      <c r="N466" s="2">
        <f t="shared" si="79"/>
        <v>0.48263108598900012</v>
      </c>
    </row>
    <row r="467" spans="1:14" x14ac:dyDescent="0.25">
      <c r="A467" s="23">
        <v>43564</v>
      </c>
      <c r="B467" s="4">
        <v>25.701000000000001</v>
      </c>
      <c r="C467" s="2" t="s">
        <v>19</v>
      </c>
      <c r="D467" s="6">
        <f t="shared" si="67"/>
        <v>0.84099999999999997</v>
      </c>
      <c r="E467" s="6">
        <f t="shared" si="48"/>
        <v>21.614540999999999</v>
      </c>
      <c r="F467" s="2" t="s">
        <v>13</v>
      </c>
      <c r="G467" s="6">
        <f t="shared" si="77"/>
        <v>0.82700000000000007</v>
      </c>
      <c r="H467" s="6">
        <f t="shared" si="55"/>
        <v>17.875225407000002</v>
      </c>
      <c r="I467" s="6"/>
      <c r="J467" s="6"/>
      <c r="K467" s="8"/>
      <c r="L467" s="2" t="s">
        <v>39</v>
      </c>
      <c r="M467" s="2">
        <f>1.5/100</f>
        <v>1.4999999999999999E-2</v>
      </c>
      <c r="N467" s="2">
        <f t="shared" si="79"/>
        <v>0.26812838110500004</v>
      </c>
    </row>
    <row r="468" spans="1:14" x14ac:dyDescent="0.25">
      <c r="A468" s="23">
        <v>43565</v>
      </c>
      <c r="B468" s="4">
        <v>25.701000000000001</v>
      </c>
      <c r="C468" s="2" t="s">
        <v>19</v>
      </c>
      <c r="D468" s="6">
        <f t="shared" si="67"/>
        <v>0.84099999999999997</v>
      </c>
      <c r="E468" s="6">
        <f t="shared" si="48"/>
        <v>21.614540999999999</v>
      </c>
      <c r="F468" s="2" t="s">
        <v>50</v>
      </c>
      <c r="G468" s="6">
        <f>86.4/100</f>
        <v>0.8640000000000001</v>
      </c>
      <c r="H468" s="6">
        <f t="shared" si="55"/>
        <v>18.674963424000001</v>
      </c>
      <c r="I468" s="6" t="s">
        <v>11</v>
      </c>
      <c r="J468" s="6">
        <f>14.3/100</f>
        <v>0.14300000000000002</v>
      </c>
      <c r="K468" s="6">
        <f>J468*H468</f>
        <v>2.6705197696320004</v>
      </c>
      <c r="L468" s="2" t="s">
        <v>32</v>
      </c>
      <c r="M468" s="2">
        <f>1.5/100</f>
        <v>1.4999999999999999E-2</v>
      </c>
      <c r="N468" s="2">
        <f>M468*H468</f>
        <v>0.28012445136000003</v>
      </c>
    </row>
    <row r="469" spans="1:14" x14ac:dyDescent="0.25">
      <c r="A469" s="23">
        <v>43566</v>
      </c>
      <c r="B469" s="4">
        <v>25.701000000000001</v>
      </c>
      <c r="C469" s="2" t="s">
        <v>19</v>
      </c>
      <c r="D469" s="6">
        <f t="shared" si="67"/>
        <v>0.84099999999999997</v>
      </c>
      <c r="E469" s="6">
        <f t="shared" si="48"/>
        <v>21.614540999999999</v>
      </c>
      <c r="F469" s="2" t="s">
        <v>17</v>
      </c>
      <c r="G469" s="6">
        <f t="shared" ref="G469:G475" si="80">86.4/100</f>
        <v>0.8640000000000001</v>
      </c>
      <c r="H469" s="6">
        <f t="shared" si="55"/>
        <v>18.674963424000001</v>
      </c>
      <c r="I469" s="6" t="s">
        <v>12</v>
      </c>
      <c r="J469" s="6">
        <f>22.7/100</f>
        <v>0.22699999999999998</v>
      </c>
      <c r="K469" s="6">
        <f t="shared" ref="K469:K473" si="81">J469*H469</f>
        <v>4.2392166972479997</v>
      </c>
      <c r="L469" s="2" t="s">
        <v>33</v>
      </c>
      <c r="M469" s="2">
        <f>12.8/100</f>
        <v>0.128</v>
      </c>
      <c r="N469" s="2">
        <f t="shared" ref="N469:N471" si="82">M469*H469</f>
        <v>2.3903953182720001</v>
      </c>
    </row>
    <row r="470" spans="1:14" x14ac:dyDescent="0.25">
      <c r="A470" s="23">
        <v>43567</v>
      </c>
      <c r="B470" s="4">
        <v>25.701000000000001</v>
      </c>
      <c r="C470" s="2" t="s">
        <v>19</v>
      </c>
      <c r="D470" s="6">
        <f t="shared" si="67"/>
        <v>0.84099999999999997</v>
      </c>
      <c r="E470" s="6">
        <f t="shared" si="48"/>
        <v>21.614540999999999</v>
      </c>
      <c r="F470" s="2" t="s">
        <v>17</v>
      </c>
      <c r="G470" s="6">
        <f t="shared" si="80"/>
        <v>0.8640000000000001</v>
      </c>
      <c r="H470" s="6">
        <f t="shared" si="55"/>
        <v>18.674963424000001</v>
      </c>
      <c r="I470" s="6" t="s">
        <v>7</v>
      </c>
      <c r="J470" s="6">
        <f>0/100</f>
        <v>0</v>
      </c>
      <c r="K470" s="6">
        <f t="shared" si="81"/>
        <v>0</v>
      </c>
      <c r="L470" s="2" t="s">
        <v>34</v>
      </c>
      <c r="M470" s="2">
        <f>17.4/100</f>
        <v>0.17399999999999999</v>
      </c>
      <c r="N470" s="2">
        <f t="shared" si="82"/>
        <v>3.2494436357760001</v>
      </c>
    </row>
    <row r="471" spans="1:14" x14ac:dyDescent="0.25">
      <c r="A471" s="23">
        <v>43568</v>
      </c>
      <c r="B471" s="4">
        <v>25.701000000000001</v>
      </c>
      <c r="C471" s="2" t="s">
        <v>19</v>
      </c>
      <c r="D471" s="6">
        <f t="shared" si="67"/>
        <v>0.84099999999999997</v>
      </c>
      <c r="E471" s="6">
        <f t="shared" si="48"/>
        <v>21.614540999999999</v>
      </c>
      <c r="F471" s="2" t="s">
        <v>17</v>
      </c>
      <c r="G471" s="6">
        <f t="shared" si="80"/>
        <v>0.8640000000000001</v>
      </c>
      <c r="H471" s="6">
        <f t="shared" si="55"/>
        <v>18.674963424000001</v>
      </c>
      <c r="I471" s="6" t="s">
        <v>8</v>
      </c>
      <c r="J471" s="6">
        <f>50.3/100</f>
        <v>0.503</v>
      </c>
      <c r="K471" s="6">
        <f t="shared" si="81"/>
        <v>9.3935066022720015</v>
      </c>
      <c r="L471" s="2" t="s">
        <v>35</v>
      </c>
      <c r="M471" s="2">
        <f>29.6/100</f>
        <v>0.29600000000000004</v>
      </c>
      <c r="N471" s="2">
        <f t="shared" si="82"/>
        <v>5.5277891735040008</v>
      </c>
    </row>
    <row r="472" spans="1:14" x14ac:dyDescent="0.25">
      <c r="A472" s="23">
        <v>43569</v>
      </c>
      <c r="B472" s="4">
        <v>25.701000000000001</v>
      </c>
      <c r="C472" s="2" t="s">
        <v>19</v>
      </c>
      <c r="D472" s="6">
        <f t="shared" si="67"/>
        <v>0.84099999999999997</v>
      </c>
      <c r="E472" s="6">
        <f t="shared" si="48"/>
        <v>21.614540999999999</v>
      </c>
      <c r="F472" s="2" t="s">
        <v>17</v>
      </c>
      <c r="G472" s="6">
        <f t="shared" si="80"/>
        <v>0.8640000000000001</v>
      </c>
      <c r="H472" s="6">
        <f t="shared" si="55"/>
        <v>18.674963424000001</v>
      </c>
      <c r="I472" s="6" t="s">
        <v>10</v>
      </c>
      <c r="J472" s="6">
        <f>2.8/100</f>
        <v>2.7999999999999997E-2</v>
      </c>
      <c r="K472" s="6">
        <f t="shared" si="81"/>
        <v>0.52289897587199996</v>
      </c>
      <c r="L472" s="2" t="s">
        <v>36</v>
      </c>
      <c r="M472" s="2">
        <f>22.5/100</f>
        <v>0.22500000000000001</v>
      </c>
      <c r="N472" s="2">
        <f>M471*H472</f>
        <v>5.5277891735040008</v>
      </c>
    </row>
    <row r="473" spans="1:14" x14ac:dyDescent="0.25">
      <c r="A473" s="23">
        <v>43570</v>
      </c>
      <c r="B473" s="4">
        <v>25.701000000000001</v>
      </c>
      <c r="C473" s="2" t="s">
        <v>19</v>
      </c>
      <c r="D473" s="6">
        <f t="shared" si="67"/>
        <v>0.84099999999999997</v>
      </c>
      <c r="E473" s="6">
        <f t="shared" si="48"/>
        <v>21.614540999999999</v>
      </c>
      <c r="F473" s="2" t="s">
        <v>17</v>
      </c>
      <c r="G473" s="6">
        <f t="shared" si="80"/>
        <v>0.8640000000000001</v>
      </c>
      <c r="H473" s="6">
        <f t="shared" si="55"/>
        <v>18.674963424000001</v>
      </c>
      <c r="I473" s="6" t="s">
        <v>9</v>
      </c>
      <c r="J473" s="6">
        <f>6.4/100</f>
        <v>6.4000000000000001E-2</v>
      </c>
      <c r="K473" s="6">
        <f t="shared" si="81"/>
        <v>1.1951976591360001</v>
      </c>
      <c r="L473" s="2" t="s">
        <v>37</v>
      </c>
      <c r="M473" s="2">
        <f>13.6/100</f>
        <v>0.13600000000000001</v>
      </c>
      <c r="N473" s="2">
        <f>M472*H473</f>
        <v>4.2018667704000006</v>
      </c>
    </row>
    <row r="474" spans="1:14" x14ac:dyDescent="0.25">
      <c r="A474" s="23">
        <v>43571</v>
      </c>
      <c r="B474" s="4">
        <v>25.701000000000001</v>
      </c>
      <c r="C474" s="2" t="s">
        <v>19</v>
      </c>
      <c r="D474" s="6">
        <f t="shared" si="67"/>
        <v>0.84099999999999997</v>
      </c>
      <c r="E474" s="6">
        <f t="shared" si="48"/>
        <v>21.614540999999999</v>
      </c>
      <c r="F474" s="2" t="s">
        <v>17</v>
      </c>
      <c r="G474" s="6">
        <f t="shared" si="80"/>
        <v>0.8640000000000001</v>
      </c>
      <c r="H474" s="6">
        <f t="shared" si="55"/>
        <v>18.674963424000001</v>
      </c>
      <c r="I474" s="6" t="s">
        <v>55</v>
      </c>
      <c r="J474" s="6">
        <f>3.5/100</f>
        <v>3.5000000000000003E-2</v>
      </c>
      <c r="K474" s="6"/>
      <c r="L474" s="2" t="s">
        <v>38</v>
      </c>
      <c r="M474" s="2">
        <f>1.8/100</f>
        <v>1.8000000000000002E-2</v>
      </c>
      <c r="N474" s="2">
        <f>M473*H474</f>
        <v>2.5397950256640005</v>
      </c>
    </row>
    <row r="475" spans="1:14" x14ac:dyDescent="0.25">
      <c r="A475" s="23">
        <v>43572</v>
      </c>
      <c r="B475" s="4">
        <v>25.701000000000001</v>
      </c>
      <c r="C475" s="2" t="s">
        <v>19</v>
      </c>
      <c r="D475" s="6">
        <f t="shared" si="67"/>
        <v>0.84099999999999997</v>
      </c>
      <c r="E475" s="6">
        <f t="shared" si="48"/>
        <v>21.614540999999999</v>
      </c>
      <c r="F475" s="2" t="s">
        <v>17</v>
      </c>
      <c r="G475" s="6">
        <f t="shared" si="80"/>
        <v>0.8640000000000001</v>
      </c>
      <c r="H475" s="6">
        <f t="shared" si="55"/>
        <v>18.674963424000001</v>
      </c>
      <c r="I475" s="6"/>
      <c r="J475" s="6"/>
      <c r="K475" s="6"/>
      <c r="L475" s="2" t="s">
        <v>39</v>
      </c>
      <c r="M475" s="2">
        <f>0.8/100</f>
        <v>8.0000000000000002E-3</v>
      </c>
      <c r="N475" s="2">
        <f>M474*H475</f>
        <v>0.33614934163200005</v>
      </c>
    </row>
    <row r="476" spans="1:14" x14ac:dyDescent="0.25">
      <c r="A476" s="23">
        <v>43573</v>
      </c>
      <c r="B476" s="4">
        <v>25.701000000000001</v>
      </c>
      <c r="C476" s="2" t="s">
        <v>19</v>
      </c>
      <c r="D476" s="6">
        <f t="shared" si="67"/>
        <v>0.84099999999999997</v>
      </c>
      <c r="E476" s="6">
        <f t="shared" si="48"/>
        <v>21.614540999999999</v>
      </c>
      <c r="F476" s="2" t="s">
        <v>49</v>
      </c>
      <c r="G476" s="2">
        <f>87.7/100</f>
        <v>0.877</v>
      </c>
      <c r="H476" s="6">
        <f t="shared" si="55"/>
        <v>18.955952456999999</v>
      </c>
      <c r="I476" s="6" t="s">
        <v>11</v>
      </c>
      <c r="J476" s="6">
        <f>25.9/100</f>
        <v>0.25900000000000001</v>
      </c>
      <c r="K476" s="6">
        <f>J476*H476</f>
        <v>4.909591686363</v>
      </c>
      <c r="L476" s="2" t="s">
        <v>32</v>
      </c>
      <c r="M476" s="2">
        <f>7.6/100</f>
        <v>7.5999999999999998E-2</v>
      </c>
      <c r="N476" s="2">
        <f>M476*H476</f>
        <v>1.4406523867319998</v>
      </c>
    </row>
    <row r="477" spans="1:14" x14ac:dyDescent="0.25">
      <c r="A477" s="23">
        <v>43574</v>
      </c>
      <c r="B477" s="4">
        <v>25.701000000000001</v>
      </c>
      <c r="C477" s="2" t="s">
        <v>19</v>
      </c>
      <c r="D477" s="6">
        <f t="shared" si="67"/>
        <v>0.84099999999999997</v>
      </c>
      <c r="E477" s="6">
        <f t="shared" ref="E477:E483" si="83">D477*B477</f>
        <v>21.614540999999999</v>
      </c>
      <c r="F477" s="2" t="s">
        <v>18</v>
      </c>
      <c r="G477" s="2">
        <f t="shared" ref="G477:G483" si="84">87.7/100</f>
        <v>0.877</v>
      </c>
      <c r="H477" s="6">
        <f t="shared" si="55"/>
        <v>18.955952456999999</v>
      </c>
      <c r="I477" s="6" t="s">
        <v>12</v>
      </c>
      <c r="J477" s="6">
        <f>24.1/100</f>
        <v>0.24100000000000002</v>
      </c>
      <c r="K477" s="6">
        <f t="shared" ref="K477:K481" si="85">J477*H477</f>
        <v>4.5683845421370002</v>
      </c>
      <c r="L477" s="2" t="s">
        <v>33</v>
      </c>
      <c r="M477" s="2">
        <f>13.6/100</f>
        <v>0.13600000000000001</v>
      </c>
      <c r="N477" s="2">
        <f t="shared" ref="N477:N483" si="86">M477*H477</f>
        <v>2.5780095341520002</v>
      </c>
    </row>
    <row r="478" spans="1:14" x14ac:dyDescent="0.25">
      <c r="A478" s="23">
        <v>43575</v>
      </c>
      <c r="B478" s="4">
        <v>25.701000000000001</v>
      </c>
      <c r="C478" s="2" t="s">
        <v>19</v>
      </c>
      <c r="D478" s="6">
        <f t="shared" si="67"/>
        <v>0.84099999999999997</v>
      </c>
      <c r="E478" s="6">
        <f t="shared" si="83"/>
        <v>21.614540999999999</v>
      </c>
      <c r="F478" s="2" t="s">
        <v>18</v>
      </c>
      <c r="G478" s="2">
        <f t="shared" si="84"/>
        <v>0.877</v>
      </c>
      <c r="H478" s="6">
        <f t="shared" si="55"/>
        <v>18.955952456999999</v>
      </c>
      <c r="I478" s="6" t="s">
        <v>7</v>
      </c>
      <c r="J478" s="6">
        <f>1.8/100</f>
        <v>1.8000000000000002E-2</v>
      </c>
      <c r="K478" s="6">
        <f t="shared" si="85"/>
        <v>0.34120714422600001</v>
      </c>
      <c r="L478" s="2" t="s">
        <v>34</v>
      </c>
      <c r="M478" s="2">
        <f>16/100</f>
        <v>0.16</v>
      </c>
      <c r="N478" s="2">
        <f t="shared" si="86"/>
        <v>3.03295239312</v>
      </c>
    </row>
    <row r="479" spans="1:14" x14ac:dyDescent="0.25">
      <c r="A479" s="23">
        <v>43576</v>
      </c>
      <c r="B479" s="4">
        <v>25.701000000000001</v>
      </c>
      <c r="C479" s="2" t="s">
        <v>19</v>
      </c>
      <c r="D479" s="6">
        <f t="shared" si="67"/>
        <v>0.84099999999999997</v>
      </c>
      <c r="E479" s="6">
        <f t="shared" si="83"/>
        <v>21.614540999999999</v>
      </c>
      <c r="F479" s="2" t="s">
        <v>18</v>
      </c>
      <c r="G479" s="2">
        <f t="shared" si="84"/>
        <v>0.877</v>
      </c>
      <c r="H479" s="6">
        <f t="shared" si="55"/>
        <v>18.955952456999999</v>
      </c>
      <c r="I479" s="6" t="s">
        <v>8</v>
      </c>
      <c r="J479" s="6">
        <f>36.6/100</f>
        <v>0.36599999999999999</v>
      </c>
      <c r="K479" s="6">
        <f t="shared" si="85"/>
        <v>6.9378785992619996</v>
      </c>
      <c r="L479" s="2" t="s">
        <v>35</v>
      </c>
      <c r="M479" s="2">
        <f>24/100</f>
        <v>0.24</v>
      </c>
      <c r="N479" s="2">
        <f t="shared" si="86"/>
        <v>4.5494285896799997</v>
      </c>
    </row>
    <row r="480" spans="1:14" x14ac:dyDescent="0.25">
      <c r="A480" s="23">
        <v>43577</v>
      </c>
      <c r="B480" s="4">
        <v>25.701000000000001</v>
      </c>
      <c r="C480" s="2" t="s">
        <v>19</v>
      </c>
      <c r="D480" s="6">
        <f t="shared" si="67"/>
        <v>0.84099999999999997</v>
      </c>
      <c r="E480" s="6">
        <f t="shared" si="83"/>
        <v>21.614540999999999</v>
      </c>
      <c r="F480" s="2" t="s">
        <v>18</v>
      </c>
      <c r="G480" s="2">
        <f t="shared" si="84"/>
        <v>0.877</v>
      </c>
      <c r="H480" s="6">
        <f t="shared" si="55"/>
        <v>18.955952456999999</v>
      </c>
      <c r="I480" s="6" t="s">
        <v>10</v>
      </c>
      <c r="J480" s="6">
        <f>2.7/100</f>
        <v>2.7000000000000003E-2</v>
      </c>
      <c r="K480" s="6">
        <f t="shared" si="85"/>
        <v>0.51181071633899999</v>
      </c>
      <c r="L480" s="2" t="s">
        <v>36</v>
      </c>
      <c r="M480" s="2">
        <f>18.6/100</f>
        <v>0.18600000000000003</v>
      </c>
      <c r="N480" s="2">
        <f t="shared" si="86"/>
        <v>3.5258071570020002</v>
      </c>
    </row>
    <row r="481" spans="1:14" x14ac:dyDescent="0.25">
      <c r="A481" s="23">
        <v>43578</v>
      </c>
      <c r="B481" s="4">
        <v>25.701000000000001</v>
      </c>
      <c r="C481" s="2" t="s">
        <v>19</v>
      </c>
      <c r="D481" s="6">
        <f t="shared" si="67"/>
        <v>0.84099999999999997</v>
      </c>
      <c r="E481" s="6">
        <f t="shared" si="83"/>
        <v>21.614540999999999</v>
      </c>
      <c r="F481" s="2" t="s">
        <v>18</v>
      </c>
      <c r="G481" s="2">
        <f t="shared" si="84"/>
        <v>0.877</v>
      </c>
      <c r="H481" s="6">
        <f t="shared" si="55"/>
        <v>18.955952456999999</v>
      </c>
      <c r="I481" s="6" t="s">
        <v>9</v>
      </c>
      <c r="J481" s="6">
        <f>7.8/100</f>
        <v>7.8E-2</v>
      </c>
      <c r="K481" s="6">
        <f t="shared" si="85"/>
        <v>1.4785642916459998</v>
      </c>
      <c r="L481" s="2" t="s">
        <v>37</v>
      </c>
      <c r="M481" s="2">
        <f>14.6/100</f>
        <v>0.14599999999999999</v>
      </c>
      <c r="N481" s="2">
        <f t="shared" si="86"/>
        <v>2.7675690587219997</v>
      </c>
    </row>
    <row r="482" spans="1:14" x14ac:dyDescent="0.25">
      <c r="A482" s="23">
        <v>43579</v>
      </c>
      <c r="B482" s="4">
        <v>25.701000000000001</v>
      </c>
      <c r="C482" s="2" t="s">
        <v>19</v>
      </c>
      <c r="D482" s="6">
        <f t="shared" si="67"/>
        <v>0.84099999999999997</v>
      </c>
      <c r="E482" s="6">
        <f t="shared" si="83"/>
        <v>21.614540999999999</v>
      </c>
      <c r="F482" s="2" t="s">
        <v>18</v>
      </c>
      <c r="G482" s="2">
        <f t="shared" si="84"/>
        <v>0.877</v>
      </c>
      <c r="H482" s="6">
        <f t="shared" si="55"/>
        <v>18.955952456999999</v>
      </c>
      <c r="I482" s="6" t="s">
        <v>55</v>
      </c>
      <c r="J482" s="2">
        <f>1.1/100</f>
        <v>1.1000000000000001E-2</v>
      </c>
      <c r="K482" s="2"/>
      <c r="L482" s="2" t="s">
        <v>38</v>
      </c>
      <c r="M482" s="2">
        <f>3/100</f>
        <v>0.03</v>
      </c>
      <c r="N482" s="2">
        <f t="shared" si="86"/>
        <v>0.56867857370999997</v>
      </c>
    </row>
    <row r="483" spans="1:14" x14ac:dyDescent="0.25">
      <c r="A483" s="23">
        <v>43580</v>
      </c>
      <c r="B483" s="4">
        <v>25.701000000000001</v>
      </c>
      <c r="C483" s="2" t="s">
        <v>19</v>
      </c>
      <c r="D483" s="6">
        <f t="shared" si="67"/>
        <v>0.84099999999999997</v>
      </c>
      <c r="E483" s="6">
        <f t="shared" si="83"/>
        <v>21.614540999999999</v>
      </c>
      <c r="F483" s="2" t="s">
        <v>18</v>
      </c>
      <c r="G483" s="2">
        <f t="shared" si="84"/>
        <v>0.877</v>
      </c>
      <c r="H483" s="6">
        <f t="shared" ref="H483" si="87">G483*E483</f>
        <v>18.955952456999999</v>
      </c>
      <c r="I483" s="2"/>
      <c r="J483" s="2"/>
      <c r="K483" s="2"/>
      <c r="L483" s="2" t="s">
        <v>39</v>
      </c>
      <c r="M483" s="2">
        <f>2.6/100</f>
        <v>2.6000000000000002E-2</v>
      </c>
      <c r="N483" s="2">
        <f t="shared" si="86"/>
        <v>0.492854763882</v>
      </c>
    </row>
    <row r="484" spans="1:14" x14ac:dyDescent="0.25">
      <c r="A484" s="23">
        <v>43581</v>
      </c>
      <c r="B484">
        <v>25.975000000000001</v>
      </c>
      <c r="C484" t="s">
        <v>2</v>
      </c>
      <c r="D484">
        <v>0.151</v>
      </c>
      <c r="E484">
        <v>3.9222250000000001</v>
      </c>
      <c r="F484" t="s">
        <v>14</v>
      </c>
      <c r="G484">
        <v>0.17899999999999999</v>
      </c>
      <c r="H484">
        <v>0.70207827499999997</v>
      </c>
      <c r="I484" t="s">
        <v>11</v>
      </c>
      <c r="J484">
        <v>0.10099999999999999</v>
      </c>
      <c r="K484">
        <v>7.090990577499999E-2</v>
      </c>
      <c r="L484" t="s">
        <v>32</v>
      </c>
      <c r="M484">
        <v>2.8999999999999998E-2</v>
      </c>
      <c r="N484">
        <v>2.0360269974999998E-2</v>
      </c>
    </row>
    <row r="485" spans="1:14" x14ac:dyDescent="0.25">
      <c r="A485" s="23">
        <v>43582</v>
      </c>
      <c r="B485">
        <v>25.975000000000001</v>
      </c>
      <c r="C485" t="s">
        <v>2</v>
      </c>
      <c r="D485">
        <v>0.151</v>
      </c>
      <c r="E485">
        <v>3.9222250000000001</v>
      </c>
      <c r="F485" t="s">
        <v>43</v>
      </c>
      <c r="G485">
        <v>0.17899999999999999</v>
      </c>
      <c r="H485">
        <v>0.70207827499999997</v>
      </c>
      <c r="I485" t="s">
        <v>12</v>
      </c>
      <c r="J485">
        <v>6.6000000000000003E-2</v>
      </c>
      <c r="K485">
        <v>4.6337166149999998E-2</v>
      </c>
      <c r="L485" t="s">
        <v>33</v>
      </c>
      <c r="M485">
        <v>7.0999999999999994E-2</v>
      </c>
      <c r="N485">
        <v>4.9847557524999996E-2</v>
      </c>
    </row>
    <row r="486" spans="1:14" x14ac:dyDescent="0.25">
      <c r="A486" s="23">
        <v>43583</v>
      </c>
      <c r="B486">
        <v>25.975000000000001</v>
      </c>
      <c r="C486" t="s">
        <v>2</v>
      </c>
      <c r="D486">
        <v>0.151</v>
      </c>
      <c r="E486">
        <v>3.9222250000000001</v>
      </c>
      <c r="F486" t="s">
        <v>14</v>
      </c>
      <c r="G486">
        <v>0.17899999999999999</v>
      </c>
      <c r="H486">
        <v>0.70207827499999997</v>
      </c>
      <c r="I486" t="s">
        <v>7</v>
      </c>
      <c r="J486">
        <v>4.0000000000000001E-3</v>
      </c>
      <c r="K486">
        <v>2.8083130999999998E-3</v>
      </c>
      <c r="L486" t="s">
        <v>34</v>
      </c>
      <c r="M486">
        <v>0.16399999999999998</v>
      </c>
      <c r="N486">
        <v>0.11514083709999998</v>
      </c>
    </row>
    <row r="487" spans="1:14" x14ac:dyDescent="0.25">
      <c r="A487" s="23">
        <v>43584</v>
      </c>
      <c r="B487">
        <v>25.975000000000001</v>
      </c>
      <c r="C487" t="s">
        <v>2</v>
      </c>
      <c r="D487">
        <v>0.151</v>
      </c>
      <c r="E487">
        <v>3.9222250000000001</v>
      </c>
      <c r="F487" t="s">
        <v>14</v>
      </c>
      <c r="G487">
        <v>0.17899999999999999</v>
      </c>
      <c r="H487">
        <v>0.70207827499999997</v>
      </c>
      <c r="I487" t="s">
        <v>8</v>
      </c>
      <c r="J487">
        <v>0.32600000000000001</v>
      </c>
      <c r="K487">
        <v>0.22887751765</v>
      </c>
      <c r="L487" t="s">
        <v>35</v>
      </c>
      <c r="M487">
        <v>0.23300000000000001</v>
      </c>
      <c r="N487">
        <v>0.163584238075</v>
      </c>
    </row>
    <row r="488" spans="1:14" x14ac:dyDescent="0.25">
      <c r="A488" s="23">
        <v>43585</v>
      </c>
      <c r="B488">
        <v>25.975000000000001</v>
      </c>
      <c r="C488" t="s">
        <v>2</v>
      </c>
      <c r="D488">
        <v>0.151</v>
      </c>
      <c r="E488">
        <v>3.9222250000000001</v>
      </c>
      <c r="F488" t="s">
        <v>14</v>
      </c>
      <c r="G488">
        <v>0.17899999999999999</v>
      </c>
      <c r="H488">
        <v>0.70207827499999997</v>
      </c>
      <c r="I488" t="s">
        <v>10</v>
      </c>
      <c r="J488">
        <v>7.6999999999999999E-2</v>
      </c>
      <c r="K488">
        <v>5.4060027174999997E-2</v>
      </c>
      <c r="L488" t="s">
        <v>36</v>
      </c>
      <c r="M488">
        <v>0.22600000000000001</v>
      </c>
      <c r="N488">
        <v>0.15866969014999999</v>
      </c>
    </row>
    <row r="489" spans="1:14" x14ac:dyDescent="0.25">
      <c r="A489" s="23">
        <v>43586</v>
      </c>
      <c r="B489">
        <v>25.975000000000001</v>
      </c>
      <c r="C489" t="s">
        <v>2</v>
      </c>
      <c r="D489">
        <v>0.151</v>
      </c>
      <c r="E489">
        <v>3.9222250000000001</v>
      </c>
      <c r="F489" t="s">
        <v>14</v>
      </c>
      <c r="G489">
        <v>0.17899999999999999</v>
      </c>
      <c r="H489">
        <v>0.70207827499999997</v>
      </c>
      <c r="I489" t="s">
        <v>9</v>
      </c>
      <c r="J489">
        <v>0.41899999999999998</v>
      </c>
      <c r="K489">
        <v>0.294170797225</v>
      </c>
      <c r="L489" t="s">
        <v>37</v>
      </c>
      <c r="M489">
        <v>0.248</v>
      </c>
      <c r="N489">
        <v>0.17411541219999999</v>
      </c>
    </row>
    <row r="490" spans="1:14" x14ac:dyDescent="0.25">
      <c r="A490" s="23">
        <v>43587</v>
      </c>
      <c r="B490">
        <v>25.975000000000001</v>
      </c>
      <c r="C490" t="s">
        <v>2</v>
      </c>
      <c r="D490">
        <v>0.151</v>
      </c>
      <c r="E490">
        <v>3.9222250000000001</v>
      </c>
      <c r="F490" t="s">
        <v>14</v>
      </c>
      <c r="G490">
        <v>0.17899999999999999</v>
      </c>
      <c r="H490">
        <v>0.70207827499999997</v>
      </c>
      <c r="I490" t="s">
        <v>55</v>
      </c>
      <c r="J490">
        <v>6.0000000000000001E-3</v>
      </c>
      <c r="K490">
        <v>4.2124696499999999E-3</v>
      </c>
      <c r="L490" t="s">
        <v>38</v>
      </c>
      <c r="M490">
        <v>0.02</v>
      </c>
      <c r="N490">
        <v>1.40415655E-2</v>
      </c>
    </row>
    <row r="491" spans="1:14" x14ac:dyDescent="0.25">
      <c r="A491" s="23">
        <v>43588</v>
      </c>
      <c r="B491">
        <v>25.975000000000001</v>
      </c>
      <c r="C491" t="s">
        <v>2</v>
      </c>
      <c r="D491">
        <v>0.151</v>
      </c>
      <c r="E491">
        <v>3.9222250000000001</v>
      </c>
      <c r="F491" t="s">
        <v>14</v>
      </c>
      <c r="G491">
        <v>0.17899999999999999</v>
      </c>
      <c r="H491">
        <v>0.70207827499999997</v>
      </c>
      <c r="L491" t="s">
        <v>39</v>
      </c>
      <c r="M491">
        <v>9.0000000000000011E-3</v>
      </c>
      <c r="N491">
        <v>6.3187044750000008E-3</v>
      </c>
    </row>
    <row r="492" spans="1:14" x14ac:dyDescent="0.25">
      <c r="A492" s="23">
        <v>43589</v>
      </c>
      <c r="B492">
        <v>25.975000000000001</v>
      </c>
      <c r="C492" t="s">
        <v>2</v>
      </c>
      <c r="D492">
        <v>0.151</v>
      </c>
      <c r="E492">
        <v>3.9222250000000001</v>
      </c>
      <c r="F492" t="s">
        <v>44</v>
      </c>
      <c r="G492">
        <v>0.13100000000000001</v>
      </c>
      <c r="H492">
        <v>0.51381147500000002</v>
      </c>
      <c r="I492" t="s">
        <v>11</v>
      </c>
      <c r="J492">
        <v>2.2000000000000002E-2</v>
      </c>
      <c r="K492">
        <v>1.1303852450000002E-2</v>
      </c>
      <c r="L492" t="s">
        <v>32</v>
      </c>
      <c r="M492">
        <v>0</v>
      </c>
      <c r="N492">
        <v>0</v>
      </c>
    </row>
    <row r="493" spans="1:14" x14ac:dyDescent="0.25">
      <c r="A493" s="23">
        <v>43590</v>
      </c>
      <c r="B493">
        <v>25.975000000000001</v>
      </c>
      <c r="C493" t="s">
        <v>2</v>
      </c>
      <c r="D493">
        <v>0.151</v>
      </c>
      <c r="E493">
        <v>3.9222250000000001</v>
      </c>
      <c r="F493" t="s">
        <v>15</v>
      </c>
      <c r="G493">
        <v>0.13100000000000001</v>
      </c>
      <c r="H493">
        <v>0.51381147500000002</v>
      </c>
      <c r="I493" t="s">
        <v>12</v>
      </c>
      <c r="J493">
        <v>6.5000000000000002E-2</v>
      </c>
      <c r="K493">
        <v>3.3397745875000003E-2</v>
      </c>
      <c r="L493" t="s">
        <v>33</v>
      </c>
      <c r="M493">
        <v>0.01</v>
      </c>
      <c r="N493">
        <v>5.1381147500000005E-3</v>
      </c>
    </row>
    <row r="494" spans="1:14" x14ac:dyDescent="0.25">
      <c r="A494" s="23">
        <v>43591</v>
      </c>
      <c r="B494">
        <v>25.975000000000001</v>
      </c>
      <c r="C494" t="s">
        <v>2</v>
      </c>
      <c r="D494">
        <v>0.151</v>
      </c>
      <c r="E494">
        <v>3.9222250000000001</v>
      </c>
      <c r="F494" t="s">
        <v>15</v>
      </c>
      <c r="G494">
        <v>0.13100000000000001</v>
      </c>
      <c r="H494">
        <v>0.51381147500000002</v>
      </c>
      <c r="I494" t="s">
        <v>7</v>
      </c>
      <c r="J494">
        <v>0</v>
      </c>
      <c r="K494">
        <v>0</v>
      </c>
      <c r="L494" t="s">
        <v>34</v>
      </c>
      <c r="M494">
        <v>7.400000000000001E-2</v>
      </c>
      <c r="N494">
        <v>3.8022049150000008E-2</v>
      </c>
    </row>
    <row r="495" spans="1:14" x14ac:dyDescent="0.25">
      <c r="A495" s="23">
        <v>43592</v>
      </c>
      <c r="B495">
        <v>25.975000000000001</v>
      </c>
      <c r="C495" t="s">
        <v>2</v>
      </c>
      <c r="D495">
        <v>0.151</v>
      </c>
      <c r="E495">
        <v>3.9222250000000001</v>
      </c>
      <c r="F495" t="s">
        <v>15</v>
      </c>
      <c r="G495">
        <v>0.13100000000000001</v>
      </c>
      <c r="H495">
        <v>0.51381147500000002</v>
      </c>
      <c r="I495" t="s">
        <v>8</v>
      </c>
      <c r="J495">
        <v>0.37</v>
      </c>
      <c r="K495">
        <v>0.19011024575000002</v>
      </c>
      <c r="L495" t="s">
        <v>35</v>
      </c>
      <c r="M495">
        <v>0.45799999999999996</v>
      </c>
      <c r="N495">
        <v>0.23532565554999998</v>
      </c>
    </row>
    <row r="496" spans="1:14" x14ac:dyDescent="0.25">
      <c r="A496" s="23">
        <v>43593</v>
      </c>
      <c r="B496">
        <v>25.975000000000001</v>
      </c>
      <c r="C496" t="s">
        <v>2</v>
      </c>
      <c r="D496">
        <v>0.151</v>
      </c>
      <c r="E496">
        <v>3.9222250000000001</v>
      </c>
      <c r="F496" t="s">
        <v>15</v>
      </c>
      <c r="G496">
        <v>0.13100000000000001</v>
      </c>
      <c r="H496">
        <v>0.51381147500000002</v>
      </c>
      <c r="I496" t="s">
        <v>10</v>
      </c>
      <c r="J496">
        <v>3.2000000000000001E-2</v>
      </c>
      <c r="K496">
        <v>1.6441967200000001E-2</v>
      </c>
      <c r="L496" t="s">
        <v>36</v>
      </c>
      <c r="M496">
        <v>0.29799999999999999</v>
      </c>
      <c r="N496">
        <v>0.15311581955</v>
      </c>
    </row>
    <row r="497" spans="1:14" x14ac:dyDescent="0.25">
      <c r="A497" s="23">
        <v>43594</v>
      </c>
      <c r="B497">
        <v>25.975000000000001</v>
      </c>
      <c r="C497" t="s">
        <v>2</v>
      </c>
      <c r="D497">
        <v>0.151</v>
      </c>
      <c r="E497">
        <v>3.9222250000000001</v>
      </c>
      <c r="F497" t="s">
        <v>15</v>
      </c>
      <c r="G497">
        <v>0.13100000000000001</v>
      </c>
      <c r="H497">
        <v>0.51381147500000002</v>
      </c>
      <c r="I497" t="s">
        <v>9</v>
      </c>
      <c r="J497">
        <v>0.51100000000000001</v>
      </c>
      <c r="K497">
        <v>0.262557663725</v>
      </c>
      <c r="L497" t="s">
        <v>37</v>
      </c>
      <c r="M497">
        <v>0.16</v>
      </c>
      <c r="N497">
        <v>8.2209836000000008E-2</v>
      </c>
    </row>
    <row r="498" spans="1:14" x14ac:dyDescent="0.25">
      <c r="A498" s="23">
        <v>43595</v>
      </c>
      <c r="B498">
        <v>25.975000000000001</v>
      </c>
      <c r="C498" t="s">
        <v>2</v>
      </c>
      <c r="D498">
        <v>0.151</v>
      </c>
      <c r="E498">
        <v>3.9222250000000001</v>
      </c>
      <c r="F498" t="s">
        <v>15</v>
      </c>
      <c r="G498">
        <v>0.13100000000000001</v>
      </c>
      <c r="H498">
        <v>0.51381147500000002</v>
      </c>
      <c r="I498" t="s">
        <v>55</v>
      </c>
      <c r="J498">
        <v>0</v>
      </c>
      <c r="K498">
        <v>0</v>
      </c>
      <c r="L498" t="s">
        <v>38</v>
      </c>
      <c r="M498">
        <v>0</v>
      </c>
      <c r="N498">
        <v>0</v>
      </c>
    </row>
    <row r="499" spans="1:14" x14ac:dyDescent="0.25">
      <c r="A499" s="23">
        <v>43596</v>
      </c>
      <c r="B499">
        <v>25.975000000000001</v>
      </c>
      <c r="C499" t="s">
        <v>2</v>
      </c>
      <c r="D499">
        <v>0.151</v>
      </c>
      <c r="E499">
        <v>3.9222250000000001</v>
      </c>
      <c r="F499" t="s">
        <v>15</v>
      </c>
      <c r="G499">
        <v>0.13100000000000001</v>
      </c>
      <c r="H499">
        <v>0.51381147500000002</v>
      </c>
      <c r="J499" t="s">
        <v>56</v>
      </c>
      <c r="L499" t="s">
        <v>39</v>
      </c>
      <c r="M499">
        <v>0</v>
      </c>
      <c r="N499">
        <v>0</v>
      </c>
    </row>
    <row r="500" spans="1:14" x14ac:dyDescent="0.25">
      <c r="A500" s="23">
        <v>43597</v>
      </c>
      <c r="B500">
        <v>25.975000000000001</v>
      </c>
      <c r="C500" t="s">
        <v>2</v>
      </c>
      <c r="D500">
        <v>0.151</v>
      </c>
      <c r="E500">
        <v>3.9222250000000001</v>
      </c>
      <c r="F500" t="s">
        <v>45</v>
      </c>
      <c r="G500">
        <v>0.156</v>
      </c>
      <c r="H500">
        <v>0.6118671</v>
      </c>
      <c r="I500" t="s">
        <v>11</v>
      </c>
      <c r="J500">
        <v>9.8000000000000004E-2</v>
      </c>
      <c r="K500">
        <v>5.9962975800000005E-2</v>
      </c>
      <c r="L500" t="s">
        <v>32</v>
      </c>
      <c r="M500">
        <v>2.2000000000000002E-2</v>
      </c>
      <c r="N500">
        <v>1.3461076200000002E-2</v>
      </c>
    </row>
    <row r="501" spans="1:14" x14ac:dyDescent="0.25">
      <c r="A501" s="23">
        <v>43598</v>
      </c>
      <c r="B501">
        <v>25.975000000000001</v>
      </c>
      <c r="C501" t="s">
        <v>2</v>
      </c>
      <c r="D501">
        <v>0.151</v>
      </c>
      <c r="E501">
        <v>3.9222250000000001</v>
      </c>
      <c r="F501" t="s">
        <v>16</v>
      </c>
      <c r="G501">
        <v>0.156</v>
      </c>
      <c r="H501">
        <v>0.6118671</v>
      </c>
      <c r="I501" t="s">
        <v>12</v>
      </c>
      <c r="J501">
        <v>5.7000000000000002E-2</v>
      </c>
      <c r="K501">
        <v>3.4876424699999999E-2</v>
      </c>
      <c r="L501" t="s">
        <v>33</v>
      </c>
      <c r="M501">
        <v>0.14400000000000002</v>
      </c>
      <c r="N501">
        <v>8.8108862400000015E-2</v>
      </c>
    </row>
    <row r="502" spans="1:14" x14ac:dyDescent="0.25">
      <c r="A502" s="23">
        <v>43599</v>
      </c>
      <c r="B502">
        <v>25.975000000000001</v>
      </c>
      <c r="C502" t="s">
        <v>2</v>
      </c>
      <c r="D502">
        <v>0.151</v>
      </c>
      <c r="E502">
        <v>3.9222250000000001</v>
      </c>
      <c r="F502" t="s">
        <v>16</v>
      </c>
      <c r="G502">
        <v>0.156</v>
      </c>
      <c r="H502">
        <v>0.6118671</v>
      </c>
      <c r="I502" t="s">
        <v>7</v>
      </c>
      <c r="J502">
        <v>0</v>
      </c>
      <c r="K502">
        <v>0</v>
      </c>
      <c r="L502" t="s">
        <v>34</v>
      </c>
      <c r="M502">
        <v>0.14699999999999999</v>
      </c>
      <c r="N502">
        <v>8.9944463699999991E-2</v>
      </c>
    </row>
    <row r="503" spans="1:14" x14ac:dyDescent="0.25">
      <c r="A503" s="23">
        <v>43600</v>
      </c>
      <c r="B503">
        <v>25.975000000000001</v>
      </c>
      <c r="C503" t="s">
        <v>2</v>
      </c>
      <c r="D503">
        <v>0.151</v>
      </c>
      <c r="E503">
        <v>3.9222250000000001</v>
      </c>
      <c r="F503" t="s">
        <v>16</v>
      </c>
      <c r="G503">
        <v>0.156</v>
      </c>
      <c r="H503">
        <v>0.6118671</v>
      </c>
      <c r="I503" t="s">
        <v>8</v>
      </c>
      <c r="J503">
        <v>0.27500000000000002</v>
      </c>
      <c r="K503">
        <v>0.16826345250000002</v>
      </c>
      <c r="L503" t="s">
        <v>35</v>
      </c>
      <c r="M503">
        <v>0.25</v>
      </c>
      <c r="N503">
        <v>0.152966775</v>
      </c>
    </row>
    <row r="504" spans="1:14" x14ac:dyDescent="0.25">
      <c r="A504" s="23">
        <v>43601</v>
      </c>
      <c r="B504">
        <v>25.975000000000001</v>
      </c>
      <c r="C504" t="s">
        <v>2</v>
      </c>
      <c r="D504">
        <v>0.151</v>
      </c>
      <c r="E504">
        <v>3.9222250000000001</v>
      </c>
      <c r="F504" t="s">
        <v>16</v>
      </c>
      <c r="G504">
        <v>0.156</v>
      </c>
      <c r="H504">
        <v>0.6118671</v>
      </c>
      <c r="I504" t="s">
        <v>10</v>
      </c>
      <c r="J504">
        <v>6.7000000000000004E-2</v>
      </c>
      <c r="K504">
        <v>4.0995095700000005E-2</v>
      </c>
      <c r="L504" t="s">
        <v>36</v>
      </c>
      <c r="M504">
        <v>0.20399999999999999</v>
      </c>
      <c r="N504">
        <v>0.1248208884</v>
      </c>
    </row>
    <row r="505" spans="1:14" x14ac:dyDescent="0.25">
      <c r="A505" s="23">
        <v>43602</v>
      </c>
      <c r="B505">
        <v>25.975000000000001</v>
      </c>
      <c r="C505" t="s">
        <v>2</v>
      </c>
      <c r="D505">
        <v>0.151</v>
      </c>
      <c r="E505">
        <v>3.9222250000000001</v>
      </c>
      <c r="F505" t="s">
        <v>16</v>
      </c>
      <c r="G505">
        <v>0.156</v>
      </c>
      <c r="H505">
        <v>0.6118671</v>
      </c>
      <c r="I505" t="s">
        <v>9</v>
      </c>
      <c r="J505">
        <v>0.49399999999999999</v>
      </c>
      <c r="K505">
        <v>0.30226234740000002</v>
      </c>
      <c r="L505" t="s">
        <v>37</v>
      </c>
      <c r="M505">
        <v>0.21600000000000003</v>
      </c>
      <c r="N505">
        <v>0.13216329360000001</v>
      </c>
    </row>
    <row r="506" spans="1:14" x14ac:dyDescent="0.25">
      <c r="A506" s="23">
        <v>43603</v>
      </c>
      <c r="B506">
        <v>25.975000000000001</v>
      </c>
      <c r="C506" t="s">
        <v>2</v>
      </c>
      <c r="D506">
        <v>0.151</v>
      </c>
      <c r="E506">
        <v>3.9222250000000001</v>
      </c>
      <c r="F506" t="s">
        <v>16</v>
      </c>
      <c r="G506">
        <v>0.156</v>
      </c>
      <c r="H506">
        <v>0.6118671</v>
      </c>
      <c r="I506" t="s">
        <v>55</v>
      </c>
      <c r="J506">
        <v>8.0000000000000002E-3</v>
      </c>
      <c r="K506">
        <v>4.8949368000000002E-3</v>
      </c>
      <c r="L506" t="s">
        <v>38</v>
      </c>
      <c r="M506">
        <v>9.0000000000000011E-3</v>
      </c>
      <c r="N506">
        <v>5.506803900000001E-3</v>
      </c>
    </row>
    <row r="507" spans="1:14" x14ac:dyDescent="0.25">
      <c r="A507" s="23">
        <v>43604</v>
      </c>
      <c r="B507">
        <v>25.975000000000001</v>
      </c>
      <c r="C507" t="s">
        <v>2</v>
      </c>
      <c r="D507">
        <v>0.151</v>
      </c>
      <c r="E507">
        <v>3.9222250000000001</v>
      </c>
      <c r="F507" t="s">
        <v>16</v>
      </c>
      <c r="G507">
        <v>0.156</v>
      </c>
      <c r="H507">
        <v>0.6118671</v>
      </c>
      <c r="L507" t="s">
        <v>39</v>
      </c>
      <c r="M507">
        <v>9.0000000000000011E-3</v>
      </c>
      <c r="N507">
        <v>5.506803900000001E-3</v>
      </c>
    </row>
    <row r="508" spans="1:14" x14ac:dyDescent="0.25">
      <c r="A508" s="23">
        <v>43605</v>
      </c>
      <c r="B508">
        <v>25.975000000000001</v>
      </c>
      <c r="C508" t="s">
        <v>2</v>
      </c>
      <c r="D508">
        <v>0.151</v>
      </c>
      <c r="E508">
        <v>3.9222250000000001</v>
      </c>
      <c r="F508" t="s">
        <v>46</v>
      </c>
      <c r="G508">
        <v>0.161</v>
      </c>
      <c r="H508">
        <v>0.63147822500000006</v>
      </c>
      <c r="I508" t="s">
        <v>11</v>
      </c>
      <c r="J508">
        <v>0.26500000000000001</v>
      </c>
      <c r="K508">
        <v>0.16734172962500002</v>
      </c>
      <c r="L508" t="s">
        <v>32</v>
      </c>
      <c r="M508">
        <v>0.02</v>
      </c>
      <c r="N508">
        <v>1.2629564500000001E-2</v>
      </c>
    </row>
    <row r="509" spans="1:14" x14ac:dyDescent="0.25">
      <c r="A509" s="23">
        <v>43606</v>
      </c>
      <c r="B509">
        <v>25.975000000000001</v>
      </c>
      <c r="C509" t="s">
        <v>2</v>
      </c>
      <c r="D509">
        <v>0.151</v>
      </c>
      <c r="E509">
        <v>3.9222250000000001</v>
      </c>
      <c r="F509" t="s">
        <v>13</v>
      </c>
      <c r="G509">
        <v>0.161</v>
      </c>
      <c r="H509">
        <v>0.63147822500000006</v>
      </c>
      <c r="I509" t="s">
        <v>12</v>
      </c>
      <c r="J509">
        <v>0.13</v>
      </c>
      <c r="K509">
        <v>8.2092169250000013E-2</v>
      </c>
      <c r="L509" t="s">
        <v>33</v>
      </c>
      <c r="M509">
        <v>8.1000000000000003E-2</v>
      </c>
      <c r="N509">
        <v>5.1149736225000006E-2</v>
      </c>
    </row>
    <row r="510" spans="1:14" x14ac:dyDescent="0.25">
      <c r="A510" s="23">
        <v>43607</v>
      </c>
      <c r="B510">
        <v>25.975000000000001</v>
      </c>
      <c r="C510" t="s">
        <v>2</v>
      </c>
      <c r="D510">
        <v>0.151</v>
      </c>
      <c r="E510">
        <v>3.9222250000000001</v>
      </c>
      <c r="F510" t="s">
        <v>13</v>
      </c>
      <c r="G510">
        <v>0.161</v>
      </c>
      <c r="H510">
        <v>0.63147822500000006</v>
      </c>
      <c r="I510" t="s">
        <v>7</v>
      </c>
      <c r="J510">
        <v>1.2E-2</v>
      </c>
      <c r="K510">
        <v>7.5777387000000012E-3</v>
      </c>
      <c r="L510" t="s">
        <v>34</v>
      </c>
      <c r="M510">
        <v>0.13300000000000001</v>
      </c>
      <c r="N510">
        <v>8.3986603925000014E-2</v>
      </c>
    </row>
    <row r="511" spans="1:14" x14ac:dyDescent="0.25">
      <c r="A511" s="23">
        <v>43608</v>
      </c>
      <c r="B511">
        <v>25.975000000000001</v>
      </c>
      <c r="C511" t="s">
        <v>2</v>
      </c>
      <c r="D511">
        <v>0.151</v>
      </c>
      <c r="E511">
        <v>3.9222250000000001</v>
      </c>
      <c r="F511" t="s">
        <v>13</v>
      </c>
      <c r="G511">
        <v>0.161</v>
      </c>
      <c r="H511">
        <v>0.63147822500000006</v>
      </c>
      <c r="I511" t="s">
        <v>8</v>
      </c>
      <c r="J511">
        <v>0.32200000000000001</v>
      </c>
      <c r="K511">
        <v>0.20333598845000003</v>
      </c>
      <c r="L511" t="s">
        <v>35</v>
      </c>
      <c r="M511">
        <v>0.27300000000000002</v>
      </c>
      <c r="N511">
        <v>0.17239355542500004</v>
      </c>
    </row>
    <row r="512" spans="1:14" x14ac:dyDescent="0.25">
      <c r="A512" s="23">
        <v>43609</v>
      </c>
      <c r="B512">
        <v>25.975000000000001</v>
      </c>
      <c r="C512" t="s">
        <v>2</v>
      </c>
      <c r="D512">
        <v>0.151</v>
      </c>
      <c r="E512">
        <v>3.9222250000000001</v>
      </c>
      <c r="F512" t="s">
        <v>13</v>
      </c>
      <c r="G512">
        <v>0.161</v>
      </c>
      <c r="H512">
        <v>0.63147822500000006</v>
      </c>
      <c r="I512" t="s">
        <v>10</v>
      </c>
      <c r="J512">
        <v>5.9000000000000004E-2</v>
      </c>
      <c r="K512">
        <v>3.7257215275000005E-2</v>
      </c>
      <c r="L512" t="s">
        <v>36</v>
      </c>
      <c r="M512">
        <v>0.26100000000000001</v>
      </c>
      <c r="N512" t="e">
        <v>#REF!</v>
      </c>
    </row>
    <row r="513" spans="1:14" x14ac:dyDescent="0.25">
      <c r="A513" s="23">
        <v>43610</v>
      </c>
      <c r="B513">
        <v>25.975000000000001</v>
      </c>
      <c r="C513" t="s">
        <v>2</v>
      </c>
      <c r="D513">
        <v>0.151</v>
      </c>
      <c r="E513">
        <v>3.9222250000000001</v>
      </c>
      <c r="F513" t="s">
        <v>13</v>
      </c>
      <c r="G513">
        <v>0.161</v>
      </c>
      <c r="H513">
        <v>0.63147822500000006</v>
      </c>
      <c r="I513" t="s">
        <v>9</v>
      </c>
      <c r="J513">
        <v>0.20100000000000001</v>
      </c>
      <c r="K513">
        <v>0.12692712322500002</v>
      </c>
      <c r="L513" t="s">
        <v>37</v>
      </c>
      <c r="M513">
        <v>0.20699999999999999</v>
      </c>
      <c r="N513">
        <v>0.16481581672500001</v>
      </c>
    </row>
    <row r="514" spans="1:14" x14ac:dyDescent="0.25">
      <c r="A514" s="23">
        <v>43611</v>
      </c>
      <c r="B514">
        <v>25.975000000000001</v>
      </c>
      <c r="C514" t="s">
        <v>2</v>
      </c>
      <c r="D514">
        <v>0.151</v>
      </c>
      <c r="E514">
        <v>3.9222250000000001</v>
      </c>
      <c r="F514" t="s">
        <v>13</v>
      </c>
      <c r="G514">
        <v>0.161</v>
      </c>
      <c r="H514">
        <v>0.63147822500000006</v>
      </c>
      <c r="I514" t="s">
        <v>55</v>
      </c>
      <c r="J514">
        <v>0.01</v>
      </c>
      <c r="L514" t="s">
        <v>38</v>
      </c>
      <c r="M514">
        <v>1.4999999999999999E-2</v>
      </c>
      <c r="N514">
        <v>0.130715992575</v>
      </c>
    </row>
    <row r="515" spans="1:14" x14ac:dyDescent="0.25">
      <c r="A515" s="23">
        <v>43612</v>
      </c>
      <c r="B515">
        <v>25.975000000000001</v>
      </c>
      <c r="C515" t="s">
        <v>2</v>
      </c>
      <c r="D515">
        <v>0.151</v>
      </c>
      <c r="E515">
        <v>3.9222250000000001</v>
      </c>
      <c r="F515" t="s">
        <v>13</v>
      </c>
      <c r="G515">
        <v>0.161</v>
      </c>
      <c r="H515">
        <v>0.63147822500000006</v>
      </c>
      <c r="L515" t="s">
        <v>39</v>
      </c>
      <c r="M515">
        <v>1.1000000000000001E-2</v>
      </c>
      <c r="N515">
        <v>9.4721733750000002E-3</v>
      </c>
    </row>
    <row r="516" spans="1:14" x14ac:dyDescent="0.25">
      <c r="A516" s="23">
        <v>43613</v>
      </c>
      <c r="B516">
        <v>25.975000000000001</v>
      </c>
      <c r="C516" t="s">
        <v>2</v>
      </c>
      <c r="D516">
        <v>0.151</v>
      </c>
      <c r="E516">
        <v>3.9222250000000001</v>
      </c>
      <c r="F516" t="s">
        <v>47</v>
      </c>
      <c r="G516">
        <v>0.10300000000000001</v>
      </c>
      <c r="H516">
        <v>0.40398917500000003</v>
      </c>
      <c r="I516" t="s">
        <v>11</v>
      </c>
      <c r="J516">
        <v>0</v>
      </c>
      <c r="K516">
        <v>0</v>
      </c>
      <c r="L516" t="s">
        <v>32</v>
      </c>
      <c r="M516">
        <v>0</v>
      </c>
      <c r="N516">
        <v>0</v>
      </c>
    </row>
    <row r="517" spans="1:14" x14ac:dyDescent="0.25">
      <c r="A517" s="23">
        <v>43614</v>
      </c>
      <c r="B517">
        <v>25.975000000000001</v>
      </c>
      <c r="C517" t="s">
        <v>2</v>
      </c>
      <c r="D517">
        <v>0.151</v>
      </c>
      <c r="E517">
        <v>3.9222250000000001</v>
      </c>
      <c r="F517" t="s">
        <v>17</v>
      </c>
      <c r="G517">
        <v>0.10300000000000001</v>
      </c>
      <c r="H517">
        <v>0.40398917500000003</v>
      </c>
      <c r="I517" t="s">
        <v>12</v>
      </c>
      <c r="J517">
        <v>0.125</v>
      </c>
      <c r="K517">
        <v>5.0498646875000004E-2</v>
      </c>
      <c r="L517" t="s">
        <v>33</v>
      </c>
      <c r="M517">
        <v>0</v>
      </c>
      <c r="N517">
        <v>0</v>
      </c>
    </row>
    <row r="518" spans="1:14" x14ac:dyDescent="0.25">
      <c r="A518" s="23">
        <v>43615</v>
      </c>
      <c r="B518">
        <v>25.975000000000001</v>
      </c>
      <c r="C518" t="s">
        <v>2</v>
      </c>
      <c r="D518">
        <v>0.151</v>
      </c>
      <c r="E518">
        <v>3.9222250000000001</v>
      </c>
      <c r="F518" t="s">
        <v>17</v>
      </c>
      <c r="G518">
        <v>0.10300000000000001</v>
      </c>
      <c r="H518">
        <v>0.40398917500000003</v>
      </c>
      <c r="I518" t="s">
        <v>7</v>
      </c>
      <c r="J518">
        <v>0</v>
      </c>
      <c r="K518">
        <v>0</v>
      </c>
      <c r="L518" t="s">
        <v>34</v>
      </c>
      <c r="M518">
        <v>0.13600000000000001</v>
      </c>
      <c r="N518">
        <v>5.4942527800000009E-2</v>
      </c>
    </row>
    <row r="519" spans="1:14" x14ac:dyDescent="0.25">
      <c r="A519" s="23">
        <v>43616</v>
      </c>
      <c r="B519">
        <v>25.975000000000001</v>
      </c>
      <c r="C519" t="s">
        <v>2</v>
      </c>
      <c r="D519">
        <v>0.151</v>
      </c>
      <c r="E519">
        <v>3.9222250000000001</v>
      </c>
      <c r="F519" t="s">
        <v>17</v>
      </c>
      <c r="G519">
        <v>0.10300000000000001</v>
      </c>
      <c r="H519">
        <v>0.40398917500000003</v>
      </c>
      <c r="I519" t="s">
        <v>8</v>
      </c>
      <c r="J519">
        <v>0.442</v>
      </c>
      <c r="K519">
        <v>0.17856321535000003</v>
      </c>
      <c r="L519" t="s">
        <v>35</v>
      </c>
      <c r="M519">
        <v>0.152</v>
      </c>
      <c r="N519">
        <v>6.1406354600000004E-2</v>
      </c>
    </row>
    <row r="520" spans="1:14" x14ac:dyDescent="0.25">
      <c r="A520" s="23">
        <v>43617</v>
      </c>
      <c r="B520">
        <v>25.975000000000001</v>
      </c>
      <c r="C520" t="s">
        <v>2</v>
      </c>
      <c r="D520">
        <v>0.151</v>
      </c>
      <c r="E520">
        <v>3.9222250000000001</v>
      </c>
      <c r="F520" t="s">
        <v>17</v>
      </c>
      <c r="G520">
        <v>0.10300000000000001</v>
      </c>
      <c r="H520">
        <v>0.40398917500000003</v>
      </c>
      <c r="I520" t="s">
        <v>10</v>
      </c>
      <c r="J520">
        <v>4.4000000000000004E-2</v>
      </c>
      <c r="K520">
        <v>1.7775523700000004E-2</v>
      </c>
      <c r="L520" t="s">
        <v>36</v>
      </c>
      <c r="M520">
        <v>0.41700000000000004</v>
      </c>
      <c r="N520">
        <v>0.16846348597500002</v>
      </c>
    </row>
    <row r="521" spans="1:14" x14ac:dyDescent="0.25">
      <c r="A521" s="23">
        <v>43618</v>
      </c>
      <c r="B521">
        <v>25.975000000000001</v>
      </c>
      <c r="C521" t="s">
        <v>2</v>
      </c>
      <c r="D521">
        <v>0.151</v>
      </c>
      <c r="E521">
        <v>3.9222250000000001</v>
      </c>
      <c r="F521" t="s">
        <v>17</v>
      </c>
      <c r="G521">
        <v>0.10300000000000001</v>
      </c>
      <c r="H521">
        <v>0.40398917500000003</v>
      </c>
      <c r="I521" t="s">
        <v>9</v>
      </c>
      <c r="J521">
        <v>0.38900000000000001</v>
      </c>
      <c r="K521">
        <v>0.15715178907500002</v>
      </c>
      <c r="L521" t="s">
        <v>37</v>
      </c>
      <c r="M521">
        <v>0.115</v>
      </c>
      <c r="N521">
        <v>4.6458755125000008E-2</v>
      </c>
    </row>
    <row r="522" spans="1:14" x14ac:dyDescent="0.25">
      <c r="A522" s="23">
        <v>43619</v>
      </c>
      <c r="B522">
        <v>25.975000000000001</v>
      </c>
      <c r="C522" t="s">
        <v>2</v>
      </c>
      <c r="D522">
        <v>0.151</v>
      </c>
      <c r="E522">
        <v>3.9222250000000001</v>
      </c>
      <c r="F522" t="s">
        <v>17</v>
      </c>
      <c r="G522">
        <v>0.10300000000000001</v>
      </c>
      <c r="H522">
        <v>0.40398917500000003</v>
      </c>
      <c r="I522" t="s">
        <v>55</v>
      </c>
      <c r="J522">
        <v>0</v>
      </c>
      <c r="L522" t="s">
        <v>38</v>
      </c>
      <c r="M522">
        <v>0</v>
      </c>
      <c r="N522">
        <v>0</v>
      </c>
    </row>
    <row r="523" spans="1:14" x14ac:dyDescent="0.25">
      <c r="A523" s="23">
        <v>43620</v>
      </c>
      <c r="B523">
        <v>25.975000000000001</v>
      </c>
      <c r="C523" t="s">
        <v>2</v>
      </c>
      <c r="D523">
        <v>0.151</v>
      </c>
      <c r="E523">
        <v>3.9222250000000001</v>
      </c>
      <c r="F523" t="s">
        <v>17</v>
      </c>
      <c r="G523">
        <v>0.10300000000000001</v>
      </c>
      <c r="H523">
        <v>0.40398917500000003</v>
      </c>
      <c r="L523" t="s">
        <v>39</v>
      </c>
      <c r="M523">
        <v>0</v>
      </c>
      <c r="N523">
        <v>0</v>
      </c>
    </row>
    <row r="524" spans="1:14" x14ac:dyDescent="0.25">
      <c r="A524" s="23">
        <v>43621</v>
      </c>
      <c r="B524">
        <v>25.975000000000001</v>
      </c>
      <c r="C524" t="s">
        <v>2</v>
      </c>
      <c r="D524">
        <v>0.151</v>
      </c>
      <c r="E524">
        <v>3.9222250000000001</v>
      </c>
      <c r="F524" t="s">
        <v>18</v>
      </c>
      <c r="G524">
        <v>0.107</v>
      </c>
      <c r="H524">
        <v>0.41967807499999998</v>
      </c>
      <c r="I524" t="s">
        <v>11</v>
      </c>
      <c r="J524">
        <v>0.51900000000000002</v>
      </c>
      <c r="K524">
        <v>0.21781292092499999</v>
      </c>
      <c r="L524" t="s">
        <v>32</v>
      </c>
      <c r="M524">
        <v>5.5999999999999994E-2</v>
      </c>
      <c r="N524">
        <v>2.3501972199999995E-2</v>
      </c>
    </row>
    <row r="525" spans="1:14" x14ac:dyDescent="0.25">
      <c r="A525" s="23">
        <v>43622</v>
      </c>
      <c r="B525">
        <v>25.975000000000001</v>
      </c>
      <c r="C525" t="s">
        <v>2</v>
      </c>
      <c r="D525">
        <v>0.151</v>
      </c>
      <c r="E525">
        <v>3.9222250000000001</v>
      </c>
      <c r="F525" t="s">
        <v>18</v>
      </c>
      <c r="G525">
        <v>0.107</v>
      </c>
      <c r="H525">
        <v>0.41967807499999998</v>
      </c>
      <c r="I525" t="s">
        <v>12</v>
      </c>
      <c r="J525">
        <v>9.4E-2</v>
      </c>
      <c r="K525">
        <v>3.9449739050000002E-2</v>
      </c>
      <c r="L525" t="s">
        <v>33</v>
      </c>
      <c r="M525">
        <v>0.121</v>
      </c>
      <c r="N525">
        <v>5.0781047074999995E-2</v>
      </c>
    </row>
    <row r="526" spans="1:14" x14ac:dyDescent="0.25">
      <c r="A526" s="23">
        <v>43623</v>
      </c>
      <c r="B526">
        <v>25.975000000000001</v>
      </c>
      <c r="C526" t="s">
        <v>2</v>
      </c>
      <c r="D526">
        <v>0.151</v>
      </c>
      <c r="E526">
        <v>3.9222250000000001</v>
      </c>
      <c r="F526" t="s">
        <v>18</v>
      </c>
      <c r="G526">
        <v>0.107</v>
      </c>
      <c r="H526">
        <v>0.41967807499999998</v>
      </c>
      <c r="I526" t="s">
        <v>7</v>
      </c>
      <c r="J526">
        <v>6.0000000000000001E-3</v>
      </c>
      <c r="K526">
        <v>2.51806845E-3</v>
      </c>
      <c r="L526" t="s">
        <v>34</v>
      </c>
      <c r="M526">
        <v>0.10199999999999999</v>
      </c>
      <c r="N526">
        <v>4.2807163649999994E-2</v>
      </c>
    </row>
    <row r="527" spans="1:14" x14ac:dyDescent="0.25">
      <c r="A527" s="23">
        <v>43624</v>
      </c>
      <c r="B527">
        <v>25.975000000000001</v>
      </c>
      <c r="C527" t="s">
        <v>2</v>
      </c>
      <c r="D527">
        <v>0.151</v>
      </c>
      <c r="E527">
        <v>3.9222250000000001</v>
      </c>
      <c r="F527" t="s">
        <v>18</v>
      </c>
      <c r="G527">
        <v>0.107</v>
      </c>
      <c r="H527">
        <v>0.41967807499999998</v>
      </c>
      <c r="I527" t="s">
        <v>8</v>
      </c>
      <c r="J527">
        <v>0.17499999999999999</v>
      </c>
      <c r="K527">
        <v>8.3935615000000003E-4</v>
      </c>
      <c r="L527" t="s">
        <v>35</v>
      </c>
      <c r="M527">
        <v>0.27699999999999997</v>
      </c>
      <c r="N527">
        <v>0.11625082677499998</v>
      </c>
    </row>
    <row r="528" spans="1:14" x14ac:dyDescent="0.25">
      <c r="A528" s="23">
        <v>43625</v>
      </c>
      <c r="B528">
        <v>25.975000000000001</v>
      </c>
      <c r="C528" t="s">
        <v>2</v>
      </c>
      <c r="D528">
        <v>0.151</v>
      </c>
      <c r="E528">
        <v>3.9222250000000001</v>
      </c>
      <c r="F528" t="s">
        <v>18</v>
      </c>
      <c r="G528">
        <v>0.107</v>
      </c>
      <c r="H528">
        <v>0.41967807499999998</v>
      </c>
      <c r="I528" t="s">
        <v>10</v>
      </c>
      <c r="J528">
        <v>2.6000000000000002E-2</v>
      </c>
      <c r="K528">
        <v>7.3443663124999989E-2</v>
      </c>
      <c r="L528" t="s">
        <v>36</v>
      </c>
      <c r="M528">
        <v>0.22</v>
      </c>
      <c r="N528">
        <v>9.2329176499999999E-2</v>
      </c>
    </row>
    <row r="529" spans="1:14" x14ac:dyDescent="0.25">
      <c r="A529" s="23">
        <v>43626</v>
      </c>
      <c r="B529">
        <v>25.975000000000001</v>
      </c>
      <c r="C529" t="s">
        <v>2</v>
      </c>
      <c r="D529">
        <v>0.151</v>
      </c>
      <c r="E529">
        <v>3.9222250000000001</v>
      </c>
      <c r="F529" t="s">
        <v>48</v>
      </c>
      <c r="G529">
        <v>0.107</v>
      </c>
      <c r="H529">
        <v>0.41967807499999998</v>
      </c>
      <c r="I529" t="s">
        <v>9</v>
      </c>
      <c r="J529">
        <v>0.18100000000000002</v>
      </c>
      <c r="K529">
        <v>7.596173157500001E-2</v>
      </c>
      <c r="L529" t="s">
        <v>37</v>
      </c>
      <c r="M529">
        <v>0.17</v>
      </c>
      <c r="N529">
        <v>7.1345272750000008E-2</v>
      </c>
    </row>
    <row r="530" spans="1:14" x14ac:dyDescent="0.25">
      <c r="A530" s="23">
        <v>43627</v>
      </c>
      <c r="B530">
        <v>25.975000000000001</v>
      </c>
      <c r="C530" t="s">
        <v>2</v>
      </c>
      <c r="D530">
        <v>0.151</v>
      </c>
      <c r="E530">
        <v>3.9222250000000001</v>
      </c>
      <c r="F530" t="s">
        <v>18</v>
      </c>
      <c r="G530">
        <v>0.107</v>
      </c>
      <c r="H530">
        <v>0.41967807499999998</v>
      </c>
      <c r="I530" t="s">
        <v>55</v>
      </c>
      <c r="J530">
        <v>2E-3</v>
      </c>
      <c r="K530">
        <v>8.3935615000000003E-4</v>
      </c>
      <c r="L530" t="s">
        <v>38</v>
      </c>
      <c r="M530">
        <v>3.4000000000000002E-2</v>
      </c>
      <c r="N530">
        <v>1.426905455E-2</v>
      </c>
    </row>
    <row r="531" spans="1:14" x14ac:dyDescent="0.25">
      <c r="A531" s="23">
        <v>43628</v>
      </c>
      <c r="B531">
        <v>25.975000000000001</v>
      </c>
      <c r="C531" t="s">
        <v>2</v>
      </c>
      <c r="D531">
        <v>0.151</v>
      </c>
      <c r="E531">
        <v>3.9222250000000001</v>
      </c>
      <c r="F531" t="s">
        <v>18</v>
      </c>
      <c r="G531">
        <v>0.107</v>
      </c>
      <c r="H531">
        <v>0.41967807499999998</v>
      </c>
      <c r="L531" t="s">
        <v>39</v>
      </c>
      <c r="M531">
        <v>0.02</v>
      </c>
      <c r="N531">
        <v>8.3935615000000005E-3</v>
      </c>
    </row>
    <row r="532" spans="1:14" x14ac:dyDescent="0.25">
      <c r="A532" s="23">
        <v>43629</v>
      </c>
      <c r="B532">
        <v>25.975000000000001</v>
      </c>
      <c r="C532" t="s">
        <v>19</v>
      </c>
      <c r="D532">
        <v>0.84900000000000009</v>
      </c>
      <c r="E532">
        <v>22.052775000000004</v>
      </c>
      <c r="F532" t="s">
        <v>54</v>
      </c>
      <c r="G532">
        <v>0.82099999999999995</v>
      </c>
      <c r="H532">
        <v>18.105328275000002</v>
      </c>
      <c r="I532" t="s">
        <v>11</v>
      </c>
      <c r="J532">
        <v>0.13600000000000001</v>
      </c>
      <c r="K532">
        <v>2.4623246454000003</v>
      </c>
      <c r="L532" t="s">
        <v>32</v>
      </c>
      <c r="M532">
        <v>3.6000000000000004E-2</v>
      </c>
      <c r="N532">
        <v>0.65179181790000018</v>
      </c>
    </row>
    <row r="533" spans="1:14" x14ac:dyDescent="0.25">
      <c r="A533" s="23">
        <v>43630</v>
      </c>
      <c r="B533">
        <v>25.975000000000001</v>
      </c>
      <c r="C533" t="s">
        <v>19</v>
      </c>
      <c r="D533">
        <v>0.84900000000000009</v>
      </c>
      <c r="E533">
        <v>22.052775000000004</v>
      </c>
      <c r="F533" t="s">
        <v>14</v>
      </c>
      <c r="G533">
        <v>0.82099999999999995</v>
      </c>
      <c r="H533">
        <v>18.105328275000002</v>
      </c>
      <c r="I533" t="s">
        <v>12</v>
      </c>
      <c r="J533">
        <v>0.20699999999999999</v>
      </c>
      <c r="K533">
        <v>3.7478029529250003</v>
      </c>
      <c r="L533" t="s">
        <v>33</v>
      </c>
      <c r="M533">
        <v>9.9000000000000005E-2</v>
      </c>
      <c r="N533">
        <v>1.7924274992250002</v>
      </c>
    </row>
    <row r="534" spans="1:14" x14ac:dyDescent="0.25">
      <c r="A534" s="23">
        <v>43631</v>
      </c>
      <c r="B534">
        <v>25.975000000000001</v>
      </c>
      <c r="C534" t="s">
        <v>19</v>
      </c>
      <c r="D534">
        <v>0.84900000000000009</v>
      </c>
      <c r="E534">
        <v>22.052775000000004</v>
      </c>
      <c r="F534" t="s">
        <v>14</v>
      </c>
      <c r="G534">
        <v>0.82099999999999995</v>
      </c>
      <c r="H534">
        <v>18.105328275000002</v>
      </c>
      <c r="I534" t="s">
        <v>7</v>
      </c>
      <c r="J534">
        <v>1.4999999999999999E-2</v>
      </c>
      <c r="K534">
        <v>0.27157992412500004</v>
      </c>
      <c r="L534" t="s">
        <v>34</v>
      </c>
      <c r="M534">
        <v>0.16899999999999998</v>
      </c>
      <c r="N534">
        <v>3.0598004784750001</v>
      </c>
    </row>
    <row r="535" spans="1:14" x14ac:dyDescent="0.25">
      <c r="A535" s="23">
        <v>43632</v>
      </c>
      <c r="B535">
        <v>25.975000000000001</v>
      </c>
      <c r="C535" t="s">
        <v>19</v>
      </c>
      <c r="D535">
        <v>0.84900000000000009</v>
      </c>
      <c r="E535">
        <v>22.052775000000004</v>
      </c>
      <c r="F535" t="s">
        <v>14</v>
      </c>
      <c r="G535">
        <v>0.82099999999999995</v>
      </c>
      <c r="H535">
        <v>18.105328275000002</v>
      </c>
      <c r="I535" t="s">
        <v>8</v>
      </c>
      <c r="J535">
        <v>0.33799999999999997</v>
      </c>
      <c r="K535">
        <v>6.1196009569500003</v>
      </c>
      <c r="L535" t="s">
        <v>35</v>
      </c>
      <c r="M535">
        <v>0.26700000000000002</v>
      </c>
      <c r="N535">
        <v>4.8341226494250007</v>
      </c>
    </row>
    <row r="536" spans="1:14" x14ac:dyDescent="0.25">
      <c r="A536" s="23">
        <v>43633</v>
      </c>
      <c r="B536">
        <v>25.975000000000001</v>
      </c>
      <c r="C536" t="s">
        <v>19</v>
      </c>
      <c r="D536">
        <v>0.84900000000000009</v>
      </c>
      <c r="E536">
        <v>22.052775000000004</v>
      </c>
      <c r="F536" t="s">
        <v>14</v>
      </c>
      <c r="G536">
        <v>0.82099999999999995</v>
      </c>
      <c r="H536">
        <v>18.105328275000002</v>
      </c>
      <c r="I536" t="s">
        <v>10</v>
      </c>
      <c r="J536">
        <v>4.5999999999999999E-2</v>
      </c>
      <c r="K536">
        <v>0.83284510065000006</v>
      </c>
      <c r="L536" t="s">
        <v>36</v>
      </c>
      <c r="M536">
        <v>0.221</v>
      </c>
      <c r="N536">
        <v>4.0012775487750005</v>
      </c>
    </row>
    <row r="537" spans="1:14" x14ac:dyDescent="0.25">
      <c r="A537" s="23">
        <v>43634</v>
      </c>
      <c r="B537">
        <v>25.975000000000001</v>
      </c>
      <c r="C537" t="s">
        <v>19</v>
      </c>
      <c r="D537">
        <v>0.84900000000000009</v>
      </c>
      <c r="E537">
        <v>22.052775000000004</v>
      </c>
      <c r="F537" t="s">
        <v>14</v>
      </c>
      <c r="G537">
        <v>0.82099999999999995</v>
      </c>
      <c r="H537">
        <v>18.105328275000002</v>
      </c>
      <c r="I537" t="s">
        <v>9</v>
      </c>
      <c r="J537">
        <v>0.23199999999999998</v>
      </c>
      <c r="K537">
        <v>0.47073853515000008</v>
      </c>
      <c r="L537" t="s">
        <v>37</v>
      </c>
      <c r="M537">
        <v>0.17</v>
      </c>
      <c r="N537">
        <v>3.0779058067500005</v>
      </c>
    </row>
    <row r="538" spans="1:14" x14ac:dyDescent="0.25">
      <c r="A538" s="23">
        <v>43635</v>
      </c>
      <c r="B538">
        <v>25.975000000000001</v>
      </c>
      <c r="C538" t="s">
        <v>19</v>
      </c>
      <c r="D538">
        <v>0.84900000000000009</v>
      </c>
      <c r="E538">
        <v>22.052775000000004</v>
      </c>
      <c r="F538" t="s">
        <v>14</v>
      </c>
      <c r="G538">
        <v>0.82099999999999995</v>
      </c>
      <c r="H538">
        <v>18.105328275000002</v>
      </c>
      <c r="I538" t="s">
        <v>55</v>
      </c>
      <c r="J538">
        <v>2.6000000000000002E-2</v>
      </c>
      <c r="L538" t="s">
        <v>38</v>
      </c>
      <c r="M538">
        <v>2.6000000000000002E-2</v>
      </c>
      <c r="N538">
        <v>0.47073853515000008</v>
      </c>
    </row>
    <row r="539" spans="1:14" x14ac:dyDescent="0.25">
      <c r="A539" s="23">
        <v>43636</v>
      </c>
      <c r="B539">
        <v>25.975000000000001</v>
      </c>
      <c r="C539" t="s">
        <v>19</v>
      </c>
      <c r="D539">
        <v>0.84900000000000009</v>
      </c>
      <c r="E539">
        <v>22.052775000000004</v>
      </c>
      <c r="F539" t="s">
        <v>14</v>
      </c>
      <c r="G539">
        <v>0.82099999999999995</v>
      </c>
      <c r="H539">
        <v>18.105328275000002</v>
      </c>
      <c r="L539" t="s">
        <v>39</v>
      </c>
      <c r="M539">
        <v>1.1000000000000001E-2</v>
      </c>
      <c r="N539">
        <v>0.19915861102500004</v>
      </c>
    </row>
    <row r="540" spans="1:14" x14ac:dyDescent="0.25">
      <c r="A540" s="23">
        <v>43637</v>
      </c>
      <c r="B540">
        <v>25.975000000000001</v>
      </c>
      <c r="C540" t="s">
        <v>19</v>
      </c>
      <c r="D540">
        <v>0.84900000000000009</v>
      </c>
      <c r="E540">
        <v>22.052775000000004</v>
      </c>
      <c r="F540" t="s">
        <v>52</v>
      </c>
      <c r="G540">
        <v>0.86900000000000011</v>
      </c>
      <c r="H540">
        <v>19.163861475000004</v>
      </c>
      <c r="I540" t="s">
        <v>11</v>
      </c>
      <c r="J540">
        <v>0.10300000000000001</v>
      </c>
      <c r="K540">
        <v>1.9738777319250007</v>
      </c>
      <c r="L540" t="s">
        <v>32</v>
      </c>
      <c r="M540">
        <v>1.3000000000000001E-2</v>
      </c>
      <c r="N540">
        <v>0.24913019917500007</v>
      </c>
    </row>
    <row r="541" spans="1:14" x14ac:dyDescent="0.25">
      <c r="A541" s="23">
        <v>43638</v>
      </c>
      <c r="B541">
        <v>25.975000000000001</v>
      </c>
      <c r="C541" t="s">
        <v>19</v>
      </c>
      <c r="D541">
        <v>0.84900000000000009</v>
      </c>
      <c r="E541">
        <v>22.052775000000004</v>
      </c>
      <c r="F541" t="s">
        <v>15</v>
      </c>
      <c r="G541">
        <v>0.86900000000000011</v>
      </c>
      <c r="H541">
        <v>19.163861475000004</v>
      </c>
      <c r="I541" t="s">
        <v>12</v>
      </c>
      <c r="J541">
        <v>0.183</v>
      </c>
      <c r="K541">
        <v>3.5069866499250009</v>
      </c>
      <c r="L541" t="s">
        <v>33</v>
      </c>
      <c r="M541">
        <v>9.4E-2</v>
      </c>
      <c r="N541">
        <v>1.8014029786500003</v>
      </c>
    </row>
    <row r="542" spans="1:14" x14ac:dyDescent="0.25">
      <c r="A542" s="23">
        <v>43639</v>
      </c>
      <c r="B542">
        <v>25.975000000000001</v>
      </c>
      <c r="C542" t="s">
        <v>19</v>
      </c>
      <c r="D542">
        <v>0.84900000000000009</v>
      </c>
      <c r="E542">
        <v>22.052775000000004</v>
      </c>
      <c r="F542" t="s">
        <v>15</v>
      </c>
      <c r="G542">
        <v>0.86900000000000011</v>
      </c>
      <c r="H542">
        <v>19.163861475000004</v>
      </c>
      <c r="I542" t="s">
        <v>7</v>
      </c>
      <c r="J542">
        <v>6.0000000000000001E-3</v>
      </c>
      <c r="K542">
        <v>0.11498316885000003</v>
      </c>
      <c r="L542" t="s">
        <v>34</v>
      </c>
      <c r="M542">
        <v>0.20699999999999999</v>
      </c>
      <c r="N542">
        <v>3.9669193253250006</v>
      </c>
    </row>
    <row r="543" spans="1:14" x14ac:dyDescent="0.25">
      <c r="A543" s="23">
        <v>43640</v>
      </c>
      <c r="B543">
        <v>25.975000000000001</v>
      </c>
      <c r="C543" t="s">
        <v>19</v>
      </c>
      <c r="D543">
        <v>0.84900000000000009</v>
      </c>
      <c r="E543">
        <v>22.052775000000004</v>
      </c>
      <c r="F543" t="s">
        <v>15</v>
      </c>
      <c r="G543">
        <v>0.86900000000000011</v>
      </c>
      <c r="H543">
        <v>19.163861475000004</v>
      </c>
      <c r="I543" t="s">
        <v>8</v>
      </c>
      <c r="J543">
        <v>0.39200000000000002</v>
      </c>
      <c r="K543">
        <v>7.512233698200002</v>
      </c>
      <c r="L543" t="s">
        <v>35</v>
      </c>
      <c r="M543">
        <v>0.317</v>
      </c>
      <c r="N543">
        <v>6.0749440875750018</v>
      </c>
    </row>
    <row r="544" spans="1:14" x14ac:dyDescent="0.25">
      <c r="A544" s="23">
        <v>43641</v>
      </c>
      <c r="B544">
        <v>25.975000000000001</v>
      </c>
      <c r="C544" t="s">
        <v>19</v>
      </c>
      <c r="D544">
        <v>0.84900000000000009</v>
      </c>
      <c r="E544">
        <v>22.052775000000004</v>
      </c>
      <c r="F544" t="s">
        <v>15</v>
      </c>
      <c r="G544">
        <v>0.86900000000000011</v>
      </c>
      <c r="H544">
        <v>19.163861475000004</v>
      </c>
      <c r="I544" t="s">
        <v>10</v>
      </c>
      <c r="J544">
        <v>0.08</v>
      </c>
      <c r="K544">
        <v>1.5331089180000004</v>
      </c>
      <c r="L544" t="s">
        <v>36</v>
      </c>
      <c r="M544">
        <v>0.24100000000000002</v>
      </c>
      <c r="N544">
        <v>4.6184906154750012</v>
      </c>
    </row>
    <row r="545" spans="1:14" x14ac:dyDescent="0.25">
      <c r="A545" s="23">
        <v>43642</v>
      </c>
      <c r="B545">
        <v>25.975000000000001</v>
      </c>
      <c r="C545" t="s">
        <v>19</v>
      </c>
      <c r="D545">
        <v>0.84900000000000009</v>
      </c>
      <c r="E545">
        <v>22.052775000000004</v>
      </c>
      <c r="F545" t="s">
        <v>15</v>
      </c>
      <c r="G545">
        <v>0.86900000000000011</v>
      </c>
      <c r="H545">
        <v>19.163861475000004</v>
      </c>
      <c r="I545" t="s">
        <v>9</v>
      </c>
      <c r="J545">
        <v>0.20399999999999999</v>
      </c>
      <c r="K545">
        <v>3.9094277409000004</v>
      </c>
      <c r="L545" t="s">
        <v>37</v>
      </c>
      <c r="M545">
        <v>0.115</v>
      </c>
      <c r="N545">
        <v>2.2038440696250006</v>
      </c>
    </row>
    <row r="546" spans="1:14" x14ac:dyDescent="0.25">
      <c r="A546" s="23">
        <v>43643</v>
      </c>
      <c r="B546">
        <v>25.975000000000001</v>
      </c>
      <c r="C546" t="s">
        <v>19</v>
      </c>
      <c r="D546">
        <v>0.84900000000000009</v>
      </c>
      <c r="E546">
        <v>22.052775000000004</v>
      </c>
      <c r="F546" t="s">
        <v>15</v>
      </c>
      <c r="G546">
        <v>0.86900000000000011</v>
      </c>
      <c r="H546">
        <v>19.163861475000004</v>
      </c>
      <c r="I546" t="s">
        <v>55</v>
      </c>
      <c r="J546">
        <v>3.2000000000000001E-2</v>
      </c>
      <c r="L546" t="s">
        <v>38</v>
      </c>
      <c r="M546">
        <v>1.1000000000000001E-2</v>
      </c>
      <c r="N546">
        <v>0.21080247622500006</v>
      </c>
    </row>
    <row r="547" spans="1:14" x14ac:dyDescent="0.25">
      <c r="A547" s="23">
        <v>43644</v>
      </c>
      <c r="B547">
        <v>25.975000000000001</v>
      </c>
      <c r="C547" t="s">
        <v>19</v>
      </c>
      <c r="D547">
        <v>0.84900000000000009</v>
      </c>
      <c r="E547">
        <v>22.052775000000004</v>
      </c>
      <c r="F547" t="s">
        <v>15</v>
      </c>
      <c r="G547">
        <v>0.86900000000000011</v>
      </c>
      <c r="H547">
        <v>19.163861475000004</v>
      </c>
      <c r="L547" t="s">
        <v>39</v>
      </c>
      <c r="M547">
        <v>2E-3</v>
      </c>
      <c r="N547">
        <v>3.8327722950000011E-2</v>
      </c>
    </row>
    <row r="548" spans="1:14" x14ac:dyDescent="0.25">
      <c r="A548" s="23">
        <v>43645</v>
      </c>
      <c r="B548">
        <v>25.975000000000001</v>
      </c>
      <c r="C548" t="s">
        <v>19</v>
      </c>
      <c r="D548">
        <v>0.84900000000000009</v>
      </c>
      <c r="E548">
        <v>22.052775000000004</v>
      </c>
      <c r="F548" t="s">
        <v>53</v>
      </c>
      <c r="G548">
        <v>0.84400000000000008</v>
      </c>
      <c r="H548">
        <v>18.612542100000006</v>
      </c>
      <c r="I548" t="s">
        <v>11</v>
      </c>
      <c r="J548">
        <v>0.16300000000000001</v>
      </c>
      <c r="K548">
        <v>3.0338443623000009</v>
      </c>
      <c r="L548" t="s">
        <v>32</v>
      </c>
      <c r="M548">
        <v>5.2999999999999999E-2</v>
      </c>
      <c r="N548">
        <v>0.98646473130000034</v>
      </c>
    </row>
    <row r="549" spans="1:14" x14ac:dyDescent="0.25">
      <c r="A549" s="23">
        <v>43646</v>
      </c>
      <c r="B549">
        <v>25.975000000000001</v>
      </c>
      <c r="C549" t="s">
        <v>19</v>
      </c>
      <c r="D549">
        <v>0.84900000000000009</v>
      </c>
      <c r="E549">
        <v>22.052775000000004</v>
      </c>
      <c r="F549" t="s">
        <v>16</v>
      </c>
      <c r="G549">
        <v>0.84400000000000008</v>
      </c>
      <c r="H549">
        <v>18.612542100000006</v>
      </c>
      <c r="I549" t="s">
        <v>12</v>
      </c>
      <c r="J549">
        <v>0.20499999999999999</v>
      </c>
      <c r="K549">
        <v>3.8155711305000009</v>
      </c>
      <c r="L549" t="s">
        <v>33</v>
      </c>
      <c r="M549">
        <v>0.113</v>
      </c>
      <c r="N549">
        <v>2.1032172573000008</v>
      </c>
    </row>
    <row r="550" spans="1:14" x14ac:dyDescent="0.25">
      <c r="A550" s="23">
        <v>43647</v>
      </c>
      <c r="B550">
        <v>25.975000000000001</v>
      </c>
      <c r="C550" t="s">
        <v>19</v>
      </c>
      <c r="D550">
        <v>0.84900000000000009</v>
      </c>
      <c r="E550">
        <v>22.052775000000004</v>
      </c>
      <c r="F550" t="s">
        <v>16</v>
      </c>
      <c r="G550">
        <v>0.84400000000000008</v>
      </c>
      <c r="H550">
        <v>18.612542100000006</v>
      </c>
      <c r="I550" t="s">
        <v>7</v>
      </c>
      <c r="J550">
        <v>1.3000000000000001E-2</v>
      </c>
      <c r="K550">
        <v>0.24196304730000009</v>
      </c>
      <c r="L550" t="s">
        <v>34</v>
      </c>
      <c r="M550">
        <v>0.155</v>
      </c>
      <c r="N550">
        <v>2.8849440255000007</v>
      </c>
    </row>
    <row r="551" spans="1:14" x14ac:dyDescent="0.25">
      <c r="A551" s="23">
        <v>43648</v>
      </c>
      <c r="B551">
        <v>25.975000000000001</v>
      </c>
      <c r="C551" t="s">
        <v>19</v>
      </c>
      <c r="D551">
        <v>0.84900000000000009</v>
      </c>
      <c r="E551">
        <v>22.052775000000004</v>
      </c>
      <c r="F551" t="s">
        <v>16</v>
      </c>
      <c r="G551">
        <v>0.84400000000000008</v>
      </c>
      <c r="H551">
        <v>18.612542100000006</v>
      </c>
      <c r="I551" t="s">
        <v>8</v>
      </c>
      <c r="J551">
        <v>0.371</v>
      </c>
      <c r="K551">
        <v>6.9052531191000019</v>
      </c>
      <c r="L551" t="s">
        <v>35</v>
      </c>
      <c r="M551">
        <v>0.26200000000000001</v>
      </c>
      <c r="N551">
        <v>4.8764860302000015</v>
      </c>
    </row>
    <row r="552" spans="1:14" x14ac:dyDescent="0.25">
      <c r="A552" s="23">
        <v>43649</v>
      </c>
      <c r="B552">
        <v>25.975000000000001</v>
      </c>
      <c r="C552" t="s">
        <v>19</v>
      </c>
      <c r="D552">
        <v>0.84900000000000009</v>
      </c>
      <c r="E552">
        <v>22.052775000000004</v>
      </c>
      <c r="F552" t="s">
        <v>16</v>
      </c>
      <c r="G552">
        <v>0.84400000000000008</v>
      </c>
      <c r="H552">
        <v>18.612542100000006</v>
      </c>
      <c r="I552" t="s">
        <v>10</v>
      </c>
      <c r="J552">
        <v>4.7E-2</v>
      </c>
      <c r="K552">
        <v>0.87478947870000023</v>
      </c>
      <c r="L552" t="s">
        <v>36</v>
      </c>
      <c r="M552">
        <v>0.20800000000000002</v>
      </c>
      <c r="N552">
        <v>3.8714087568000015</v>
      </c>
    </row>
    <row r="553" spans="1:14" x14ac:dyDescent="0.25">
      <c r="A553" s="23">
        <v>43650</v>
      </c>
      <c r="B553">
        <v>25.975000000000001</v>
      </c>
      <c r="C553" t="s">
        <v>19</v>
      </c>
      <c r="D553">
        <v>0.84900000000000009</v>
      </c>
      <c r="E553">
        <v>22.052775000000004</v>
      </c>
      <c r="F553" t="s">
        <v>16</v>
      </c>
      <c r="G553">
        <v>0.84400000000000008</v>
      </c>
      <c r="H553">
        <v>18.612542100000006</v>
      </c>
      <c r="I553" t="s">
        <v>9</v>
      </c>
      <c r="J553">
        <v>0.184</v>
      </c>
      <c r="K553">
        <v>3.4247077464000011</v>
      </c>
      <c r="L553" t="s">
        <v>37</v>
      </c>
      <c r="M553">
        <v>0.17600000000000002</v>
      </c>
      <c r="N553">
        <v>3.2758074096000014</v>
      </c>
    </row>
    <row r="554" spans="1:14" x14ac:dyDescent="0.25">
      <c r="A554" s="23">
        <v>43651</v>
      </c>
      <c r="B554">
        <v>25.975000000000001</v>
      </c>
      <c r="C554" t="s">
        <v>19</v>
      </c>
      <c r="D554">
        <v>0.84900000000000009</v>
      </c>
      <c r="E554">
        <v>22.052775000000004</v>
      </c>
      <c r="F554" t="s">
        <v>16</v>
      </c>
      <c r="G554">
        <v>0.84400000000000008</v>
      </c>
      <c r="H554">
        <v>18.612542100000006</v>
      </c>
      <c r="I554" t="s">
        <v>55</v>
      </c>
      <c r="J554">
        <v>1.7000000000000001E-2</v>
      </c>
      <c r="L554" t="s">
        <v>38</v>
      </c>
      <c r="M554">
        <v>2.3E-2</v>
      </c>
      <c r="N554">
        <v>0.42808846830000014</v>
      </c>
    </row>
    <row r="555" spans="1:14" x14ac:dyDescent="0.25">
      <c r="A555" s="23">
        <v>43652</v>
      </c>
      <c r="B555">
        <v>25.975000000000001</v>
      </c>
      <c r="C555" t="s">
        <v>19</v>
      </c>
      <c r="D555">
        <v>0.84900000000000009</v>
      </c>
      <c r="E555">
        <v>22.052775000000004</v>
      </c>
      <c r="F555" t="s">
        <v>16</v>
      </c>
      <c r="G555">
        <v>0.84400000000000008</v>
      </c>
      <c r="H555">
        <v>18.612542100000006</v>
      </c>
      <c r="L555" t="s">
        <v>39</v>
      </c>
      <c r="M555">
        <v>0.01</v>
      </c>
      <c r="N555">
        <v>0.18612542100000007</v>
      </c>
    </row>
    <row r="556" spans="1:14" x14ac:dyDescent="0.25">
      <c r="A556" s="23">
        <v>43653</v>
      </c>
      <c r="B556">
        <v>25.975000000000001</v>
      </c>
      <c r="C556" t="s">
        <v>19</v>
      </c>
      <c r="D556">
        <v>0.84900000000000009</v>
      </c>
      <c r="E556">
        <v>22.052775000000004</v>
      </c>
      <c r="F556" t="s">
        <v>51</v>
      </c>
      <c r="G556">
        <v>0.82099999999999995</v>
      </c>
      <c r="H556">
        <v>18.105328275000002</v>
      </c>
      <c r="I556" t="s">
        <v>11</v>
      </c>
      <c r="J556">
        <v>0.20100000000000001</v>
      </c>
      <c r="K556">
        <v>3.6391709832750005</v>
      </c>
      <c r="L556" t="s">
        <v>32</v>
      </c>
      <c r="M556">
        <v>4.7E-2</v>
      </c>
      <c r="N556">
        <v>0.85095042892500006</v>
      </c>
    </row>
    <row r="557" spans="1:14" x14ac:dyDescent="0.25">
      <c r="A557" s="23">
        <v>43654</v>
      </c>
      <c r="B557">
        <v>25.975000000000001</v>
      </c>
      <c r="C557" t="s">
        <v>19</v>
      </c>
      <c r="D557">
        <v>0.84900000000000009</v>
      </c>
      <c r="E557">
        <v>22.052775000000004</v>
      </c>
      <c r="F557" t="s">
        <v>13</v>
      </c>
      <c r="G557">
        <v>0.82099999999999995</v>
      </c>
      <c r="H557">
        <v>18.105328275000002</v>
      </c>
      <c r="I557" t="s">
        <v>12</v>
      </c>
      <c r="J557">
        <v>0.23</v>
      </c>
      <c r="K557">
        <v>4.1642255032500008</v>
      </c>
      <c r="L557" t="s">
        <v>33</v>
      </c>
      <c r="M557">
        <v>0.113</v>
      </c>
      <c r="N557">
        <v>2.0459020950750002</v>
      </c>
    </row>
    <row r="558" spans="1:14" x14ac:dyDescent="0.25">
      <c r="A558" s="23">
        <v>43655</v>
      </c>
      <c r="B558">
        <v>25.975000000000001</v>
      </c>
      <c r="C558" t="s">
        <v>19</v>
      </c>
      <c r="D558">
        <v>0.84900000000000009</v>
      </c>
      <c r="E558">
        <v>22.052775000000004</v>
      </c>
      <c r="F558" t="s">
        <v>13</v>
      </c>
      <c r="G558">
        <v>0.82099999999999995</v>
      </c>
      <c r="H558">
        <v>18.105328275000002</v>
      </c>
      <c r="I558" t="s">
        <v>7</v>
      </c>
      <c r="J558">
        <v>2.2000000000000002E-2</v>
      </c>
      <c r="K558">
        <v>0.39831722205000009</v>
      </c>
      <c r="L558" t="s">
        <v>34</v>
      </c>
      <c r="M558">
        <v>0.16500000000000001</v>
      </c>
      <c r="N558">
        <v>2.9873791653750006</v>
      </c>
    </row>
    <row r="559" spans="1:14" x14ac:dyDescent="0.25">
      <c r="A559" s="23">
        <v>43656</v>
      </c>
      <c r="B559">
        <v>25.975000000000001</v>
      </c>
      <c r="C559" t="s">
        <v>19</v>
      </c>
      <c r="D559">
        <v>0.84900000000000009</v>
      </c>
      <c r="E559">
        <v>22.052775000000004</v>
      </c>
      <c r="F559" t="s">
        <v>13</v>
      </c>
      <c r="G559">
        <v>0.82099999999999995</v>
      </c>
      <c r="H559">
        <v>18.105328275000002</v>
      </c>
      <c r="I559" t="s">
        <v>8</v>
      </c>
      <c r="J559">
        <v>0.36799999999999999</v>
      </c>
      <c r="K559">
        <v>6.6627608052000005</v>
      </c>
      <c r="L559" t="s">
        <v>35</v>
      </c>
      <c r="M559">
        <v>0.26500000000000001</v>
      </c>
      <c r="N559">
        <v>4.7979119928750009</v>
      </c>
    </row>
    <row r="560" spans="1:14" x14ac:dyDescent="0.25">
      <c r="A560" s="23">
        <v>43657</v>
      </c>
      <c r="B560">
        <v>25.975000000000001</v>
      </c>
      <c r="C560" t="s">
        <v>19</v>
      </c>
      <c r="D560">
        <v>0.84900000000000009</v>
      </c>
      <c r="E560">
        <v>22.052775000000004</v>
      </c>
      <c r="F560" t="s">
        <v>13</v>
      </c>
      <c r="G560">
        <v>0.82099999999999995</v>
      </c>
      <c r="H560">
        <v>18.105328275000002</v>
      </c>
      <c r="I560" t="s">
        <v>10</v>
      </c>
      <c r="J560">
        <v>3.1E-2</v>
      </c>
      <c r="K560">
        <v>0.56126517652500008</v>
      </c>
      <c r="L560" t="s">
        <v>36</v>
      </c>
      <c r="M560">
        <v>0.20300000000000001</v>
      </c>
      <c r="N560">
        <v>3.6753816398250008</v>
      </c>
    </row>
    <row r="561" spans="1:14" x14ac:dyDescent="0.25">
      <c r="A561" s="23">
        <v>43658</v>
      </c>
      <c r="B561">
        <v>25.975000000000001</v>
      </c>
      <c r="C561" t="s">
        <v>19</v>
      </c>
      <c r="D561">
        <v>0.84900000000000009</v>
      </c>
      <c r="E561">
        <v>22.052775000000004</v>
      </c>
      <c r="F561" t="s">
        <v>13</v>
      </c>
      <c r="G561">
        <v>0.82099999999999995</v>
      </c>
      <c r="H561">
        <v>18.105328275000002</v>
      </c>
      <c r="I561" t="s">
        <v>9</v>
      </c>
      <c r="J561">
        <v>0.13100000000000001</v>
      </c>
      <c r="K561">
        <v>2.3717980040250004</v>
      </c>
      <c r="L561" t="s">
        <v>37</v>
      </c>
      <c r="M561">
        <v>0.16200000000000001</v>
      </c>
      <c r="N561">
        <v>2.9330631805500005</v>
      </c>
    </row>
    <row r="562" spans="1:14" x14ac:dyDescent="0.25">
      <c r="A562" s="23">
        <v>43659</v>
      </c>
      <c r="B562">
        <v>25.975000000000001</v>
      </c>
      <c r="C562" t="s">
        <v>19</v>
      </c>
      <c r="D562">
        <v>0.84900000000000009</v>
      </c>
      <c r="E562">
        <v>22.052775000000004</v>
      </c>
      <c r="F562" t="s">
        <v>13</v>
      </c>
      <c r="G562">
        <v>0.82099999999999995</v>
      </c>
      <c r="H562">
        <v>18.105328275000002</v>
      </c>
      <c r="I562" t="s">
        <v>55</v>
      </c>
      <c r="J562">
        <v>1.9E-2</v>
      </c>
      <c r="L562" t="s">
        <v>38</v>
      </c>
      <c r="M562">
        <v>2.8999999999999998E-2</v>
      </c>
      <c r="N562">
        <v>0.52505451997499997</v>
      </c>
    </row>
    <row r="563" spans="1:14" x14ac:dyDescent="0.25">
      <c r="A563" s="23">
        <v>43660</v>
      </c>
      <c r="B563">
        <v>25.975000000000001</v>
      </c>
      <c r="C563" t="s">
        <v>19</v>
      </c>
      <c r="D563">
        <v>0.84900000000000009</v>
      </c>
      <c r="E563">
        <v>22.052775000000004</v>
      </c>
      <c r="F563" t="s">
        <v>13</v>
      </c>
      <c r="G563">
        <v>0.82099999999999995</v>
      </c>
      <c r="H563">
        <v>18.105328275000002</v>
      </c>
      <c r="L563" t="s">
        <v>39</v>
      </c>
      <c r="M563">
        <v>1.7000000000000001E-2</v>
      </c>
      <c r="N563">
        <v>0.30779058067500004</v>
      </c>
    </row>
    <row r="564" spans="1:14" x14ac:dyDescent="0.25">
      <c r="A564" s="23">
        <v>43661</v>
      </c>
      <c r="B564">
        <v>25.975000000000001</v>
      </c>
      <c r="C564" t="s">
        <v>19</v>
      </c>
      <c r="D564">
        <v>0.84900000000000009</v>
      </c>
      <c r="E564">
        <v>22.052775000000004</v>
      </c>
      <c r="F564" t="s">
        <v>50</v>
      </c>
      <c r="G564">
        <v>0.89700000000000002</v>
      </c>
      <c r="H564">
        <v>19.781339175000003</v>
      </c>
      <c r="I564" t="s">
        <v>11</v>
      </c>
      <c r="J564">
        <v>0.14899999999999999</v>
      </c>
      <c r="K564">
        <v>2.9474195370750005</v>
      </c>
      <c r="L564" t="s">
        <v>32</v>
      </c>
      <c r="M564">
        <v>6.8000000000000005E-2</v>
      </c>
      <c r="N564">
        <v>1.3451310639000003</v>
      </c>
    </row>
    <row r="565" spans="1:14" x14ac:dyDescent="0.25">
      <c r="A565" s="23">
        <v>43662</v>
      </c>
      <c r="B565">
        <v>25.975000000000001</v>
      </c>
      <c r="C565" t="s">
        <v>19</v>
      </c>
      <c r="D565">
        <v>0.84900000000000009</v>
      </c>
      <c r="E565">
        <v>22.052775000000004</v>
      </c>
      <c r="F565" t="s">
        <v>17</v>
      </c>
      <c r="G565">
        <v>0.89700000000000002</v>
      </c>
      <c r="H565">
        <v>19.781339175000003</v>
      </c>
      <c r="I565" t="s">
        <v>12</v>
      </c>
      <c r="J565">
        <v>0.249</v>
      </c>
      <c r="K565">
        <v>4.9255534545750006</v>
      </c>
      <c r="L565" t="s">
        <v>33</v>
      </c>
      <c r="M565">
        <v>0.128</v>
      </c>
      <c r="N565">
        <v>2.5320114144000003</v>
      </c>
    </row>
    <row r="566" spans="1:14" x14ac:dyDescent="0.25">
      <c r="A566" s="23">
        <v>43663</v>
      </c>
      <c r="B566">
        <v>25.975000000000001</v>
      </c>
      <c r="C566" t="s">
        <v>19</v>
      </c>
      <c r="D566">
        <v>0.84900000000000009</v>
      </c>
      <c r="E566">
        <v>22.052775000000004</v>
      </c>
      <c r="F566" t="s">
        <v>17</v>
      </c>
      <c r="G566">
        <v>0.89700000000000002</v>
      </c>
      <c r="H566">
        <v>19.781339175000003</v>
      </c>
      <c r="I566" t="s">
        <v>7</v>
      </c>
      <c r="J566">
        <v>1.2E-2</v>
      </c>
      <c r="K566">
        <v>0.23737607010000003</v>
      </c>
      <c r="L566" t="s">
        <v>34</v>
      </c>
      <c r="M566">
        <v>0.191</v>
      </c>
      <c r="N566">
        <v>3.7782357824250008</v>
      </c>
    </row>
    <row r="567" spans="1:14" x14ac:dyDescent="0.25">
      <c r="A567" s="23">
        <v>43664</v>
      </c>
      <c r="B567">
        <v>25.975000000000001</v>
      </c>
      <c r="C567" t="s">
        <v>19</v>
      </c>
      <c r="D567">
        <v>0.84900000000000009</v>
      </c>
      <c r="E567">
        <v>22.052775000000004</v>
      </c>
      <c r="F567" t="s">
        <v>17</v>
      </c>
      <c r="G567">
        <v>0.89700000000000002</v>
      </c>
      <c r="H567">
        <v>19.781339175000003</v>
      </c>
      <c r="I567" t="s">
        <v>8</v>
      </c>
      <c r="J567">
        <v>0.36700000000000005</v>
      </c>
      <c r="K567">
        <v>7.2597514772250022</v>
      </c>
      <c r="L567" t="s">
        <v>35</v>
      </c>
      <c r="M567">
        <v>0.26400000000000001</v>
      </c>
      <c r="N567">
        <v>5.2222735422000008</v>
      </c>
    </row>
    <row r="568" spans="1:14" x14ac:dyDescent="0.25">
      <c r="A568" s="23">
        <v>43665</v>
      </c>
      <c r="B568">
        <v>25.975000000000001</v>
      </c>
      <c r="C568" t="s">
        <v>19</v>
      </c>
      <c r="D568">
        <v>0.84900000000000009</v>
      </c>
      <c r="E568">
        <v>22.052775000000004</v>
      </c>
      <c r="F568" t="s">
        <v>17</v>
      </c>
      <c r="G568">
        <v>0.89700000000000002</v>
      </c>
      <c r="H568">
        <v>19.781339175000003</v>
      </c>
      <c r="I568" t="s">
        <v>10</v>
      </c>
      <c r="J568">
        <v>5.2999999999999999E-2</v>
      </c>
      <c r="K568">
        <v>1.048410976275</v>
      </c>
      <c r="L568" t="s">
        <v>36</v>
      </c>
      <c r="M568">
        <v>0.20300000000000001</v>
      </c>
      <c r="N568">
        <v>5.2222735422000008</v>
      </c>
    </row>
    <row r="569" spans="1:14" x14ac:dyDescent="0.25">
      <c r="A569" s="23">
        <v>43666</v>
      </c>
      <c r="B569">
        <v>25.975000000000001</v>
      </c>
      <c r="C569" t="s">
        <v>19</v>
      </c>
      <c r="D569">
        <v>0.84900000000000009</v>
      </c>
      <c r="E569">
        <v>22.052775000000004</v>
      </c>
      <c r="F569" t="s">
        <v>17</v>
      </c>
      <c r="G569">
        <v>0.89700000000000002</v>
      </c>
      <c r="H569">
        <v>19.781339175000003</v>
      </c>
      <c r="I569" t="s">
        <v>9</v>
      </c>
      <c r="J569">
        <v>0.16699999999999998</v>
      </c>
      <c r="K569">
        <v>3.3034836422250002</v>
      </c>
      <c r="L569" t="s">
        <v>37</v>
      </c>
      <c r="M569">
        <v>0.128</v>
      </c>
      <c r="N569">
        <v>4.0156118525250006</v>
      </c>
    </row>
    <row r="570" spans="1:14" x14ac:dyDescent="0.25">
      <c r="A570" s="23">
        <v>43667</v>
      </c>
      <c r="B570">
        <v>25.975000000000001</v>
      </c>
      <c r="C570" t="s">
        <v>19</v>
      </c>
      <c r="D570">
        <v>0.84900000000000009</v>
      </c>
      <c r="E570">
        <v>22.052775000000004</v>
      </c>
      <c r="F570" t="s">
        <v>17</v>
      </c>
      <c r="G570">
        <v>0.89700000000000002</v>
      </c>
      <c r="H570">
        <v>19.781339175000003</v>
      </c>
      <c r="I570" t="s">
        <v>55</v>
      </c>
      <c r="J570">
        <v>4.0000000000000001E-3</v>
      </c>
      <c r="L570" t="s">
        <v>38</v>
      </c>
      <c r="M570">
        <v>1.6E-2</v>
      </c>
      <c r="N570">
        <v>2.5320114144000003</v>
      </c>
    </row>
    <row r="571" spans="1:14" x14ac:dyDescent="0.25">
      <c r="A571" s="23">
        <v>43668</v>
      </c>
      <c r="B571">
        <v>25.975000000000001</v>
      </c>
      <c r="C571" t="s">
        <v>19</v>
      </c>
      <c r="D571">
        <v>0.84900000000000009</v>
      </c>
      <c r="E571">
        <v>22.052775000000004</v>
      </c>
      <c r="F571" t="s">
        <v>17</v>
      </c>
      <c r="G571">
        <v>0.89700000000000002</v>
      </c>
      <c r="H571">
        <v>19.781339175000003</v>
      </c>
      <c r="L571" t="s">
        <v>39</v>
      </c>
      <c r="M571">
        <v>2E-3</v>
      </c>
      <c r="N571">
        <v>0.31650142680000004</v>
      </c>
    </row>
    <row r="572" spans="1:14" x14ac:dyDescent="0.25">
      <c r="A572" s="23">
        <v>43669</v>
      </c>
      <c r="B572">
        <v>25.975000000000001</v>
      </c>
      <c r="C572" t="s">
        <v>19</v>
      </c>
      <c r="D572">
        <v>0.84900000000000009</v>
      </c>
      <c r="E572">
        <v>22.052775000000004</v>
      </c>
      <c r="F572" t="s">
        <v>49</v>
      </c>
      <c r="G572">
        <v>0.89300000000000002</v>
      </c>
      <c r="H572">
        <v>19.693128075000004</v>
      </c>
      <c r="I572" t="s">
        <v>11</v>
      </c>
      <c r="J572">
        <v>0.26400000000000001</v>
      </c>
      <c r="K572">
        <v>5.198985811800001</v>
      </c>
      <c r="L572" t="s">
        <v>32</v>
      </c>
      <c r="M572">
        <v>7.6999999999999999E-2</v>
      </c>
      <c r="N572">
        <v>1.5163708617750002</v>
      </c>
    </row>
    <row r="573" spans="1:14" x14ac:dyDescent="0.25">
      <c r="A573" s="23">
        <v>43670</v>
      </c>
      <c r="B573">
        <v>25.975000000000001</v>
      </c>
      <c r="C573" t="s">
        <v>19</v>
      </c>
      <c r="D573">
        <v>0.84900000000000009</v>
      </c>
      <c r="E573">
        <v>22.052775000000004</v>
      </c>
      <c r="F573" t="s">
        <v>18</v>
      </c>
      <c r="G573">
        <v>0.89300000000000002</v>
      </c>
      <c r="H573">
        <v>19.693128075000004</v>
      </c>
      <c r="I573" t="s">
        <v>12</v>
      </c>
      <c r="J573">
        <v>0.217</v>
      </c>
      <c r="K573">
        <v>4.273408792275001</v>
      </c>
      <c r="L573" t="s">
        <v>33</v>
      </c>
      <c r="M573">
        <v>0.129</v>
      </c>
      <c r="N573">
        <v>2.5404135216750006</v>
      </c>
    </row>
    <row r="574" spans="1:14" x14ac:dyDescent="0.25">
      <c r="A574" s="23">
        <v>43671</v>
      </c>
      <c r="B574">
        <v>25.975000000000001</v>
      </c>
      <c r="C574" t="s">
        <v>19</v>
      </c>
      <c r="D574">
        <v>0.84900000000000009</v>
      </c>
      <c r="E574">
        <v>22.052775000000004</v>
      </c>
      <c r="F574" t="s">
        <v>18</v>
      </c>
      <c r="G574">
        <v>0.89300000000000002</v>
      </c>
      <c r="H574">
        <v>19.693128075000004</v>
      </c>
      <c r="I574" t="s">
        <v>7</v>
      </c>
      <c r="J574">
        <v>2.4E-2</v>
      </c>
      <c r="K574">
        <v>0.47263507380000008</v>
      </c>
      <c r="L574" t="s">
        <v>34</v>
      </c>
      <c r="M574">
        <v>0.16399999999999998</v>
      </c>
      <c r="N574">
        <v>3.2296730043000004</v>
      </c>
    </row>
    <row r="575" spans="1:14" x14ac:dyDescent="0.25">
      <c r="A575" s="23">
        <v>43672</v>
      </c>
      <c r="B575">
        <v>25.975000000000001</v>
      </c>
      <c r="C575" t="s">
        <v>19</v>
      </c>
      <c r="D575">
        <v>0.84900000000000009</v>
      </c>
      <c r="E575">
        <v>22.052775000000004</v>
      </c>
      <c r="F575" t="s">
        <v>18</v>
      </c>
      <c r="G575">
        <v>0.89300000000000002</v>
      </c>
      <c r="H575">
        <v>19.693128075000004</v>
      </c>
      <c r="I575" t="s">
        <v>8</v>
      </c>
      <c r="J575">
        <v>0.36099999999999999</v>
      </c>
      <c r="K575">
        <v>7.1092192350750016</v>
      </c>
      <c r="L575" t="s">
        <v>35</v>
      </c>
      <c r="M575">
        <v>0.24399999999999999</v>
      </c>
      <c r="N575">
        <v>4.8051232503000012</v>
      </c>
    </row>
    <row r="576" spans="1:14" x14ac:dyDescent="0.25">
      <c r="A576" s="23">
        <v>43673</v>
      </c>
      <c r="B576">
        <v>25.975000000000001</v>
      </c>
      <c r="C576" t="s">
        <v>19</v>
      </c>
      <c r="D576">
        <v>0.84900000000000009</v>
      </c>
      <c r="E576">
        <v>22.052775000000004</v>
      </c>
      <c r="F576" t="s">
        <v>18</v>
      </c>
      <c r="G576">
        <v>0.89300000000000002</v>
      </c>
      <c r="H576">
        <v>19.693128075000004</v>
      </c>
      <c r="I576" t="s">
        <v>10</v>
      </c>
      <c r="J576">
        <v>2.6000000000000002E-2</v>
      </c>
      <c r="K576">
        <v>0.51202132995000016</v>
      </c>
      <c r="L576" t="s">
        <v>36</v>
      </c>
      <c r="M576">
        <v>0.193</v>
      </c>
      <c r="N576">
        <v>3.8007737184750008</v>
      </c>
    </row>
    <row r="577" spans="1:14" x14ac:dyDescent="0.25">
      <c r="A577" s="23">
        <v>43674</v>
      </c>
      <c r="B577">
        <v>25.975000000000001</v>
      </c>
      <c r="C577" t="s">
        <v>19</v>
      </c>
      <c r="D577">
        <v>0.84900000000000009</v>
      </c>
      <c r="E577">
        <v>22.052775000000004</v>
      </c>
      <c r="F577" t="s">
        <v>18</v>
      </c>
      <c r="G577">
        <v>0.89300000000000002</v>
      </c>
      <c r="H577">
        <v>19.693128075000004</v>
      </c>
      <c r="I577" t="s">
        <v>9</v>
      </c>
      <c r="J577">
        <v>5.7999999999999996E-2</v>
      </c>
      <c r="K577">
        <v>1.1422014283500002</v>
      </c>
      <c r="L577" t="s">
        <v>37</v>
      </c>
      <c r="M577">
        <v>0.14300000000000002</v>
      </c>
      <c r="N577">
        <v>2.8161173147250009</v>
      </c>
    </row>
    <row r="578" spans="1:14" x14ac:dyDescent="0.25">
      <c r="A578" s="23">
        <v>43675</v>
      </c>
      <c r="B578">
        <v>25.975000000000001</v>
      </c>
      <c r="C578" t="s">
        <v>19</v>
      </c>
      <c r="D578">
        <v>0.84900000000000009</v>
      </c>
      <c r="E578">
        <v>22.052775000000004</v>
      </c>
      <c r="F578" t="s">
        <v>18</v>
      </c>
      <c r="G578">
        <v>0.89300000000000002</v>
      </c>
      <c r="H578">
        <v>19.693128075000004</v>
      </c>
      <c r="I578" t="s">
        <v>55</v>
      </c>
      <c r="J578">
        <v>2.2000000000000002E-2</v>
      </c>
      <c r="L578" t="s">
        <v>38</v>
      </c>
      <c r="M578">
        <v>2.6000000000000002E-2</v>
      </c>
      <c r="N578">
        <v>0.51202132995000016</v>
      </c>
    </row>
    <row r="579" spans="1:14" x14ac:dyDescent="0.25">
      <c r="A579" s="23">
        <v>43676</v>
      </c>
      <c r="B579">
        <v>25.975000000000001</v>
      </c>
      <c r="C579" t="s">
        <v>19</v>
      </c>
      <c r="D579">
        <v>0.84900000000000009</v>
      </c>
      <c r="E579">
        <v>22.052775000000004</v>
      </c>
      <c r="F579" t="s">
        <v>18</v>
      </c>
      <c r="G579">
        <v>0.89300000000000002</v>
      </c>
      <c r="H579">
        <v>19.693128075000004</v>
      </c>
      <c r="L579" t="s">
        <v>39</v>
      </c>
      <c r="M579">
        <v>2.3E-2</v>
      </c>
      <c r="N579">
        <v>0.45294194572500007</v>
      </c>
    </row>
    <row r="580" spans="1:14" x14ac:dyDescent="0.25">
      <c r="A580" s="23">
        <v>43677</v>
      </c>
      <c r="B580">
        <v>26.193999999999999</v>
      </c>
      <c r="C580" t="s">
        <v>2</v>
      </c>
      <c r="D580">
        <v>0.14599999999999999</v>
      </c>
      <c r="E580">
        <v>3.8243239999999998</v>
      </c>
      <c r="F580" t="s">
        <v>14</v>
      </c>
      <c r="G580">
        <v>0.19500000000000001</v>
      </c>
      <c r="H580">
        <v>0.74574317999999995</v>
      </c>
      <c r="I580" t="s">
        <v>11</v>
      </c>
      <c r="J580">
        <v>0.13900000000000001</v>
      </c>
      <c r="K580">
        <v>0.10365830202</v>
      </c>
      <c r="L580" t="s">
        <v>32</v>
      </c>
      <c r="M580">
        <v>2.4E-2</v>
      </c>
      <c r="N580">
        <v>1.7897836319999999E-2</v>
      </c>
    </row>
    <row r="581" spans="1:14" x14ac:dyDescent="0.25">
      <c r="A581" s="23">
        <v>43678</v>
      </c>
      <c r="B581">
        <v>26.193999999999999</v>
      </c>
      <c r="C581" t="s">
        <v>2</v>
      </c>
      <c r="D581">
        <v>0.14599999999999999</v>
      </c>
      <c r="E581">
        <v>3.8243239999999998</v>
      </c>
      <c r="F581" t="s">
        <v>43</v>
      </c>
      <c r="G581">
        <v>0.19500000000000001</v>
      </c>
      <c r="H581">
        <v>0.74574317999999995</v>
      </c>
      <c r="I581" t="s">
        <v>12</v>
      </c>
      <c r="J581">
        <v>7.4999999999999997E-2</v>
      </c>
      <c r="K581">
        <v>5.5930738499999993E-2</v>
      </c>
      <c r="L581" t="s">
        <v>33</v>
      </c>
      <c r="M581">
        <v>0.06</v>
      </c>
      <c r="N581">
        <v>4.4744590799999998E-2</v>
      </c>
    </row>
    <row r="582" spans="1:14" x14ac:dyDescent="0.25">
      <c r="A582" s="23">
        <v>43679</v>
      </c>
      <c r="B582">
        <v>26.193999999999999</v>
      </c>
      <c r="C582" t="s">
        <v>2</v>
      </c>
      <c r="D582">
        <v>0.14599999999999999</v>
      </c>
      <c r="E582">
        <v>3.8243239999999998</v>
      </c>
      <c r="F582" t="s">
        <v>14</v>
      </c>
      <c r="G582">
        <v>0.19500000000000001</v>
      </c>
      <c r="H582">
        <v>0.74574317999999995</v>
      </c>
      <c r="I582" t="s">
        <v>7</v>
      </c>
      <c r="J582">
        <v>1.1000000000000001E-2</v>
      </c>
      <c r="K582">
        <v>8.2031749800000001E-3</v>
      </c>
      <c r="L582" t="s">
        <v>34</v>
      </c>
      <c r="M582">
        <v>0.14000000000000001</v>
      </c>
      <c r="N582">
        <v>0.1044040452</v>
      </c>
    </row>
    <row r="583" spans="1:14" x14ac:dyDescent="0.25">
      <c r="A583" s="23">
        <v>43680</v>
      </c>
      <c r="B583">
        <v>26.193999999999999</v>
      </c>
      <c r="C583" t="s">
        <v>2</v>
      </c>
      <c r="D583">
        <v>0.14599999999999999</v>
      </c>
      <c r="E583">
        <v>3.8243239999999998</v>
      </c>
      <c r="F583" t="s">
        <v>14</v>
      </c>
      <c r="G583">
        <v>0.19500000000000001</v>
      </c>
      <c r="H583">
        <v>0.74574317999999995</v>
      </c>
      <c r="I583" t="s">
        <v>8</v>
      </c>
      <c r="J583">
        <v>0.32500000000000001</v>
      </c>
      <c r="K583">
        <v>0.24236653349999998</v>
      </c>
      <c r="L583" t="s">
        <v>35</v>
      </c>
      <c r="M583">
        <v>0.26899999999999996</v>
      </c>
      <c r="N583">
        <v>0.20060491541999995</v>
      </c>
    </row>
    <row r="584" spans="1:14" x14ac:dyDescent="0.25">
      <c r="A584" s="23">
        <v>43681</v>
      </c>
      <c r="B584">
        <v>26.193999999999999</v>
      </c>
      <c r="C584" t="s">
        <v>2</v>
      </c>
      <c r="D584">
        <v>0.14599999999999999</v>
      </c>
      <c r="E584">
        <v>3.8243239999999998</v>
      </c>
      <c r="F584" t="s">
        <v>14</v>
      </c>
      <c r="G584">
        <v>0.19500000000000001</v>
      </c>
      <c r="H584">
        <v>0.74574317999999995</v>
      </c>
      <c r="I584" t="s">
        <v>10</v>
      </c>
      <c r="J584">
        <v>4.2999999999999997E-2</v>
      </c>
      <c r="K584">
        <v>3.2066956739999992E-2</v>
      </c>
      <c r="L584" t="s">
        <v>36</v>
      </c>
      <c r="M584">
        <v>0.23699999999999999</v>
      </c>
      <c r="N584" t="e">
        <v>#REF!</v>
      </c>
    </row>
    <row r="585" spans="1:14" x14ac:dyDescent="0.25">
      <c r="A585" s="23">
        <v>43682</v>
      </c>
      <c r="B585">
        <v>26.193999999999999</v>
      </c>
      <c r="C585" t="s">
        <v>2</v>
      </c>
      <c r="D585">
        <v>0.14599999999999999</v>
      </c>
      <c r="E585">
        <v>3.8243239999999998</v>
      </c>
      <c r="F585" t="s">
        <v>14</v>
      </c>
      <c r="G585">
        <v>0.19500000000000001</v>
      </c>
      <c r="H585">
        <v>0.74574317999999995</v>
      </c>
      <c r="I585" t="s">
        <v>9</v>
      </c>
      <c r="J585">
        <v>0.40100000000000002</v>
      </c>
      <c r="K585">
        <v>0.29904301517999998</v>
      </c>
      <c r="L585" t="s">
        <v>37</v>
      </c>
      <c r="M585">
        <v>0.24</v>
      </c>
      <c r="N585">
        <v>0.17674113365999997</v>
      </c>
    </row>
    <row r="586" spans="1:14" x14ac:dyDescent="0.25">
      <c r="A586" s="23">
        <v>43683</v>
      </c>
      <c r="B586">
        <v>26.193999999999999</v>
      </c>
      <c r="C586" t="s">
        <v>2</v>
      </c>
      <c r="D586">
        <v>0.14599999999999999</v>
      </c>
      <c r="E586">
        <v>3.8243239999999998</v>
      </c>
      <c r="F586" t="s">
        <v>14</v>
      </c>
      <c r="G586">
        <v>0.19500000000000001</v>
      </c>
      <c r="H586">
        <v>0.74574317999999995</v>
      </c>
      <c r="I586" t="s">
        <v>55</v>
      </c>
      <c r="J586">
        <v>6.0000000000000001E-3</v>
      </c>
      <c r="K586">
        <v>4.4744590799999998E-3</v>
      </c>
      <c r="L586" t="s">
        <v>38</v>
      </c>
      <c r="M586">
        <v>2.2000000000000002E-2</v>
      </c>
      <c r="N586">
        <v>1.640634996E-2</v>
      </c>
    </row>
    <row r="587" spans="1:14" x14ac:dyDescent="0.25">
      <c r="A587" s="23">
        <v>43684</v>
      </c>
      <c r="B587">
        <v>26.193999999999999</v>
      </c>
      <c r="C587" t="s">
        <v>2</v>
      </c>
      <c r="D587">
        <v>0.14599999999999999</v>
      </c>
      <c r="E587">
        <v>3.8243239999999998</v>
      </c>
      <c r="F587" t="s">
        <v>14</v>
      </c>
      <c r="G587">
        <v>0.19500000000000001</v>
      </c>
      <c r="H587">
        <v>0.74574317999999995</v>
      </c>
      <c r="L587" t="s">
        <v>39</v>
      </c>
      <c r="M587">
        <v>9.0000000000000011E-3</v>
      </c>
      <c r="N587">
        <v>6.7116886200000005E-3</v>
      </c>
    </row>
    <row r="588" spans="1:14" x14ac:dyDescent="0.25">
      <c r="A588" s="23">
        <v>43685</v>
      </c>
      <c r="B588">
        <v>26.193999999999999</v>
      </c>
      <c r="C588" t="s">
        <v>2</v>
      </c>
      <c r="D588">
        <v>0.14599999999999999</v>
      </c>
      <c r="E588">
        <v>3.8243239999999998</v>
      </c>
      <c r="F588" t="s">
        <v>44</v>
      </c>
      <c r="G588">
        <v>0.14899999999999999</v>
      </c>
      <c r="H588">
        <v>0.56982427599999996</v>
      </c>
      <c r="I588" t="s">
        <v>11</v>
      </c>
      <c r="J588">
        <v>2.5000000000000001E-2</v>
      </c>
      <c r="K588">
        <v>1.4245606899999999E-2</v>
      </c>
      <c r="L588" t="s">
        <v>32</v>
      </c>
      <c r="M588">
        <v>0</v>
      </c>
      <c r="N588">
        <v>0</v>
      </c>
    </row>
    <row r="589" spans="1:14" x14ac:dyDescent="0.25">
      <c r="A589" s="23">
        <v>43686</v>
      </c>
      <c r="B589">
        <v>26.193999999999999</v>
      </c>
      <c r="C589" t="s">
        <v>2</v>
      </c>
      <c r="D589">
        <v>0.14599999999999999</v>
      </c>
      <c r="E589">
        <v>3.8243239999999998</v>
      </c>
      <c r="F589" t="s">
        <v>15</v>
      </c>
      <c r="G589">
        <v>0.14899999999999999</v>
      </c>
      <c r="H589">
        <v>0.56982427599999996</v>
      </c>
      <c r="I589" t="s">
        <v>12</v>
      </c>
      <c r="J589">
        <v>0.02</v>
      </c>
      <c r="K589">
        <v>1.1396485519999999E-2</v>
      </c>
      <c r="L589" t="s">
        <v>33</v>
      </c>
      <c r="M589">
        <v>6.7000000000000004E-2</v>
      </c>
      <c r="N589">
        <v>3.8178226491999999E-2</v>
      </c>
    </row>
    <row r="590" spans="1:14" x14ac:dyDescent="0.25">
      <c r="A590" s="23">
        <v>43687</v>
      </c>
      <c r="B590">
        <v>26.193999999999999</v>
      </c>
      <c r="C590" t="s">
        <v>2</v>
      </c>
      <c r="D590">
        <v>0.14599999999999999</v>
      </c>
      <c r="E590">
        <v>3.8243239999999998</v>
      </c>
      <c r="F590" t="s">
        <v>15</v>
      </c>
      <c r="G590">
        <v>0.14899999999999999</v>
      </c>
      <c r="H590">
        <v>0.56982427599999996</v>
      </c>
      <c r="I590" t="s">
        <v>7</v>
      </c>
      <c r="J590">
        <v>0</v>
      </c>
      <c r="K590">
        <v>0</v>
      </c>
      <c r="L590" t="s">
        <v>34</v>
      </c>
      <c r="M590">
        <v>0.18</v>
      </c>
      <c r="N590">
        <v>0.10256836967999999</v>
      </c>
    </row>
    <row r="591" spans="1:14" x14ac:dyDescent="0.25">
      <c r="A591" s="23">
        <v>43688</v>
      </c>
      <c r="B591">
        <v>26.193999999999999</v>
      </c>
      <c r="C591" t="s">
        <v>2</v>
      </c>
      <c r="D591">
        <v>0.14599999999999999</v>
      </c>
      <c r="E591">
        <v>3.8243239999999998</v>
      </c>
      <c r="F591" t="s">
        <v>15</v>
      </c>
      <c r="G591">
        <v>0.14899999999999999</v>
      </c>
      <c r="H591">
        <v>0.56982427599999996</v>
      </c>
      <c r="I591" t="s">
        <v>8</v>
      </c>
      <c r="J591">
        <v>0.38400000000000001</v>
      </c>
      <c r="K591">
        <v>0.218812521984</v>
      </c>
      <c r="L591" t="s">
        <v>35</v>
      </c>
      <c r="M591">
        <v>0.26800000000000002</v>
      </c>
      <c r="N591">
        <v>0.152712905968</v>
      </c>
    </row>
    <row r="592" spans="1:14" x14ac:dyDescent="0.25">
      <c r="A592" s="23">
        <v>43689</v>
      </c>
      <c r="B592">
        <v>26.193999999999999</v>
      </c>
      <c r="C592" t="s">
        <v>2</v>
      </c>
      <c r="D592">
        <v>0.14599999999999999</v>
      </c>
      <c r="E592">
        <v>3.8243239999999998</v>
      </c>
      <c r="F592" t="s">
        <v>15</v>
      </c>
      <c r="G592">
        <v>0.14899999999999999</v>
      </c>
      <c r="H592">
        <v>0.56982427599999996</v>
      </c>
      <c r="I592" t="s">
        <v>10</v>
      </c>
      <c r="J592">
        <v>0.06</v>
      </c>
      <c r="K592">
        <v>3.4189456559999998E-2</v>
      </c>
      <c r="L592" t="s">
        <v>36</v>
      </c>
      <c r="M592">
        <v>0.29600000000000004</v>
      </c>
      <c r="N592">
        <v>0.168667985696</v>
      </c>
    </row>
    <row r="593" spans="1:14" x14ac:dyDescent="0.25">
      <c r="A593" s="23">
        <v>43690</v>
      </c>
      <c r="B593">
        <v>26.193999999999999</v>
      </c>
      <c r="C593" t="s">
        <v>2</v>
      </c>
      <c r="D593">
        <v>0.14599999999999999</v>
      </c>
      <c r="E593">
        <v>3.8243239999999998</v>
      </c>
      <c r="F593" t="s">
        <v>15</v>
      </c>
      <c r="G593">
        <v>0.14899999999999999</v>
      </c>
      <c r="H593">
        <v>0.56982427599999996</v>
      </c>
      <c r="I593" t="s">
        <v>9</v>
      </c>
      <c r="J593">
        <v>0.51100000000000001</v>
      </c>
      <c r="K593">
        <v>0.29118020503600001</v>
      </c>
      <c r="L593" t="s">
        <v>37</v>
      </c>
      <c r="M593">
        <v>0.18</v>
      </c>
      <c r="N593">
        <v>0.10256836967999999</v>
      </c>
    </row>
    <row r="594" spans="1:14" x14ac:dyDescent="0.25">
      <c r="A594" s="23">
        <v>43691</v>
      </c>
      <c r="B594">
        <v>26.193999999999999</v>
      </c>
      <c r="C594" t="s">
        <v>2</v>
      </c>
      <c r="D594">
        <v>0.14599999999999999</v>
      </c>
      <c r="E594">
        <v>3.8243239999999998</v>
      </c>
      <c r="F594" t="s">
        <v>15</v>
      </c>
      <c r="G594">
        <v>0.14899999999999999</v>
      </c>
      <c r="H594">
        <v>0.56982427599999996</v>
      </c>
      <c r="I594" t="s">
        <v>55</v>
      </c>
      <c r="J594">
        <v>0</v>
      </c>
      <c r="K594">
        <v>0</v>
      </c>
      <c r="L594" t="s">
        <v>38</v>
      </c>
      <c r="M594">
        <v>0.01</v>
      </c>
      <c r="N594">
        <v>5.6982427599999996E-3</v>
      </c>
    </row>
    <row r="595" spans="1:14" x14ac:dyDescent="0.25">
      <c r="A595" s="23">
        <v>43692</v>
      </c>
      <c r="B595">
        <v>26.193999999999999</v>
      </c>
      <c r="C595" t="s">
        <v>2</v>
      </c>
      <c r="D595">
        <v>0.14599999999999999</v>
      </c>
      <c r="E595">
        <v>3.8243239999999998</v>
      </c>
      <c r="F595" t="s">
        <v>15</v>
      </c>
      <c r="G595">
        <v>0.14899999999999999</v>
      </c>
      <c r="H595">
        <v>0.56982427599999996</v>
      </c>
      <c r="J595" t="s">
        <v>56</v>
      </c>
      <c r="L595" t="s">
        <v>39</v>
      </c>
      <c r="M595">
        <v>0</v>
      </c>
      <c r="N595">
        <v>0</v>
      </c>
    </row>
    <row r="596" spans="1:14" x14ac:dyDescent="0.25">
      <c r="A596" s="23">
        <v>43693</v>
      </c>
      <c r="B596">
        <v>26.193999999999999</v>
      </c>
      <c r="C596" t="s">
        <v>2</v>
      </c>
      <c r="D596">
        <v>0.14599999999999999</v>
      </c>
      <c r="E596">
        <v>3.8243239999999998</v>
      </c>
      <c r="F596" t="s">
        <v>45</v>
      </c>
      <c r="G596">
        <v>0.14499999999999999</v>
      </c>
      <c r="H596">
        <v>0.55452697999999989</v>
      </c>
      <c r="I596" t="s">
        <v>11</v>
      </c>
      <c r="J596">
        <v>9.0999999999999998E-2</v>
      </c>
      <c r="K596">
        <v>5.046195517999999E-2</v>
      </c>
      <c r="L596" t="s">
        <v>32</v>
      </c>
      <c r="M596">
        <v>0.02</v>
      </c>
      <c r="N596">
        <v>1.1090539599999998E-2</v>
      </c>
    </row>
    <row r="597" spans="1:14" x14ac:dyDescent="0.25">
      <c r="A597" s="23">
        <v>43694</v>
      </c>
      <c r="B597">
        <v>26.193999999999999</v>
      </c>
      <c r="C597" t="s">
        <v>2</v>
      </c>
      <c r="D597">
        <v>0.14599999999999999</v>
      </c>
      <c r="E597">
        <v>3.8243239999999998</v>
      </c>
      <c r="F597" t="s">
        <v>16</v>
      </c>
      <c r="G597">
        <v>0.14499999999999999</v>
      </c>
      <c r="H597">
        <v>0.55452697999999989</v>
      </c>
      <c r="I597" t="s">
        <v>12</v>
      </c>
      <c r="J597">
        <v>6.9000000000000006E-2</v>
      </c>
      <c r="K597">
        <v>3.8262361619999997E-2</v>
      </c>
      <c r="L597" t="s">
        <v>33</v>
      </c>
      <c r="M597">
        <v>9.0999999999999998E-2</v>
      </c>
      <c r="N597">
        <v>5.046195517999999E-2</v>
      </c>
    </row>
    <row r="598" spans="1:14" x14ac:dyDescent="0.25">
      <c r="A598" s="23">
        <v>43695</v>
      </c>
      <c r="B598">
        <v>26.193999999999999</v>
      </c>
      <c r="C598" t="s">
        <v>2</v>
      </c>
      <c r="D598">
        <v>0.14599999999999999</v>
      </c>
      <c r="E598">
        <v>3.8243239999999998</v>
      </c>
      <c r="F598" t="s">
        <v>16</v>
      </c>
      <c r="G598">
        <v>0.14499999999999999</v>
      </c>
      <c r="H598">
        <v>0.55452697999999989</v>
      </c>
      <c r="I598" t="s">
        <v>7</v>
      </c>
      <c r="J598">
        <v>4.0000000000000001E-3</v>
      </c>
      <c r="K598">
        <v>2.2181079199999998E-3</v>
      </c>
      <c r="L598" t="s">
        <v>34</v>
      </c>
      <c r="M598">
        <v>0.153</v>
      </c>
      <c r="N598">
        <v>8.4842627939999984E-2</v>
      </c>
    </row>
    <row r="599" spans="1:14" x14ac:dyDescent="0.25">
      <c r="A599" s="23">
        <v>43696</v>
      </c>
      <c r="B599">
        <v>26.193999999999999</v>
      </c>
      <c r="C599" t="s">
        <v>2</v>
      </c>
      <c r="D599">
        <v>0.14599999999999999</v>
      </c>
      <c r="E599">
        <v>3.8243239999999998</v>
      </c>
      <c r="F599" t="s">
        <v>16</v>
      </c>
      <c r="G599">
        <v>0.14499999999999999</v>
      </c>
      <c r="H599">
        <v>0.55452697999999989</v>
      </c>
      <c r="I599" t="s">
        <v>8</v>
      </c>
      <c r="J599">
        <v>0.27600000000000002</v>
      </c>
      <c r="K599">
        <v>0.15304944647999999</v>
      </c>
      <c r="L599" t="s">
        <v>35</v>
      </c>
      <c r="M599">
        <v>0.255</v>
      </c>
      <c r="N599">
        <v>0.14140437989999999</v>
      </c>
    </row>
    <row r="600" spans="1:14" x14ac:dyDescent="0.25">
      <c r="A600" s="23">
        <v>43697</v>
      </c>
      <c r="B600">
        <v>26.193999999999999</v>
      </c>
      <c r="C600" t="s">
        <v>2</v>
      </c>
      <c r="D600">
        <v>0.14599999999999999</v>
      </c>
      <c r="E600">
        <v>3.8243239999999998</v>
      </c>
      <c r="F600" t="s">
        <v>16</v>
      </c>
      <c r="G600">
        <v>0.14499999999999999</v>
      </c>
      <c r="H600">
        <v>0.55452697999999989</v>
      </c>
      <c r="I600" t="s">
        <v>10</v>
      </c>
      <c r="J600">
        <v>7.0999999999999994E-2</v>
      </c>
      <c r="K600">
        <v>3.9371415579999985E-2</v>
      </c>
      <c r="L600" t="s">
        <v>36</v>
      </c>
      <c r="M600">
        <v>0.24399999999999999</v>
      </c>
      <c r="N600">
        <v>0.13530458311999996</v>
      </c>
    </row>
    <row r="601" spans="1:14" x14ac:dyDescent="0.25">
      <c r="A601" s="23">
        <v>43698</v>
      </c>
      <c r="B601">
        <v>26.193999999999999</v>
      </c>
      <c r="C601" t="s">
        <v>2</v>
      </c>
      <c r="D601">
        <v>0.14599999999999999</v>
      </c>
      <c r="E601">
        <v>3.8243239999999998</v>
      </c>
      <c r="F601" t="s">
        <v>16</v>
      </c>
      <c r="G601">
        <v>0.14499999999999999</v>
      </c>
      <c r="H601">
        <v>0.55452697999999989</v>
      </c>
      <c r="I601" t="s">
        <v>9</v>
      </c>
      <c r="J601">
        <v>0.48299999999999998</v>
      </c>
      <c r="K601">
        <v>0.26783653133999996</v>
      </c>
      <c r="L601" t="s">
        <v>37</v>
      </c>
      <c r="M601">
        <v>0.21899999999999997</v>
      </c>
      <c r="N601">
        <v>0.12144140861999995</v>
      </c>
    </row>
    <row r="602" spans="1:14" x14ac:dyDescent="0.25">
      <c r="A602" s="23">
        <v>43699</v>
      </c>
      <c r="B602">
        <v>26.193999999999999</v>
      </c>
      <c r="C602" t="s">
        <v>2</v>
      </c>
      <c r="D602">
        <v>0.14599999999999999</v>
      </c>
      <c r="E602">
        <v>3.8243239999999998</v>
      </c>
      <c r="F602" t="s">
        <v>16</v>
      </c>
      <c r="G602">
        <v>0.14499999999999999</v>
      </c>
      <c r="H602">
        <v>0.55452697999999989</v>
      </c>
      <c r="I602" t="s">
        <v>55</v>
      </c>
      <c r="J602">
        <v>6.0000000000000001E-3</v>
      </c>
      <c r="K602">
        <v>3.3271618799999994E-3</v>
      </c>
      <c r="L602" t="s">
        <v>38</v>
      </c>
      <c r="M602">
        <v>1.1000000000000001E-2</v>
      </c>
      <c r="N602">
        <v>6.0997967799999997E-3</v>
      </c>
    </row>
    <row r="603" spans="1:14" x14ac:dyDescent="0.25">
      <c r="A603" s="23">
        <v>43700</v>
      </c>
      <c r="B603">
        <v>26.193999999999999</v>
      </c>
      <c r="C603" t="s">
        <v>2</v>
      </c>
      <c r="D603">
        <v>0.14599999999999999</v>
      </c>
      <c r="E603">
        <v>3.8243239999999998</v>
      </c>
      <c r="F603" t="s">
        <v>16</v>
      </c>
      <c r="G603">
        <v>0.14499999999999999</v>
      </c>
      <c r="H603">
        <v>0.55452697999999989</v>
      </c>
      <c r="L603" t="s">
        <v>39</v>
      </c>
      <c r="M603">
        <v>6.9999999999999993E-3</v>
      </c>
      <c r="N603">
        <v>3.8816888599999991E-3</v>
      </c>
    </row>
    <row r="604" spans="1:14" x14ac:dyDescent="0.25">
      <c r="A604" s="23">
        <v>43701</v>
      </c>
      <c r="B604">
        <v>26.193999999999999</v>
      </c>
      <c r="C604" t="s">
        <v>2</v>
      </c>
      <c r="D604">
        <v>0.14599999999999999</v>
      </c>
      <c r="E604">
        <v>3.8243239999999998</v>
      </c>
      <c r="F604" t="s">
        <v>46</v>
      </c>
      <c r="G604">
        <v>0.16600000000000001</v>
      </c>
      <c r="H604">
        <v>0.63483778400000002</v>
      </c>
      <c r="I604" t="s">
        <v>11</v>
      </c>
      <c r="J604">
        <v>0.28100000000000003</v>
      </c>
      <c r="K604">
        <v>0.17838941730400001</v>
      </c>
      <c r="L604" t="s">
        <v>32</v>
      </c>
      <c r="M604">
        <v>2.6000000000000002E-2</v>
      </c>
      <c r="N604">
        <v>1.6505782384000002E-2</v>
      </c>
    </row>
    <row r="605" spans="1:14" x14ac:dyDescent="0.25">
      <c r="A605" s="23">
        <v>43702</v>
      </c>
      <c r="B605">
        <v>26.193999999999999</v>
      </c>
      <c r="C605" t="s">
        <v>2</v>
      </c>
      <c r="D605">
        <v>0.14599999999999999</v>
      </c>
      <c r="E605">
        <v>3.8243239999999998</v>
      </c>
      <c r="F605" t="s">
        <v>13</v>
      </c>
      <c r="G605">
        <v>0.16600000000000001</v>
      </c>
      <c r="H605">
        <v>0.63483778400000002</v>
      </c>
      <c r="I605" t="s">
        <v>12</v>
      </c>
      <c r="J605">
        <v>0.13200000000000001</v>
      </c>
      <c r="K605">
        <v>8.3798587488000009E-2</v>
      </c>
      <c r="L605" t="s">
        <v>33</v>
      </c>
      <c r="M605">
        <v>8.199999999999999E-2</v>
      </c>
      <c r="N605">
        <v>5.2056698287999997E-2</v>
      </c>
    </row>
    <row r="606" spans="1:14" x14ac:dyDescent="0.25">
      <c r="A606" s="23">
        <v>43703</v>
      </c>
      <c r="B606">
        <v>26.193999999999999</v>
      </c>
      <c r="C606" t="s">
        <v>2</v>
      </c>
      <c r="D606">
        <v>0.14599999999999999</v>
      </c>
      <c r="E606">
        <v>3.8243239999999998</v>
      </c>
      <c r="F606" t="s">
        <v>13</v>
      </c>
      <c r="G606">
        <v>0.16600000000000001</v>
      </c>
      <c r="H606">
        <v>0.63483778400000002</v>
      </c>
      <c r="I606" t="s">
        <v>7</v>
      </c>
      <c r="J606">
        <v>1.6E-2</v>
      </c>
      <c r="K606">
        <v>1.0157404544E-2</v>
      </c>
      <c r="L606" t="s">
        <v>34</v>
      </c>
      <c r="M606">
        <v>0.13800000000000001</v>
      </c>
      <c r="N606">
        <v>8.7607614192000013E-2</v>
      </c>
    </row>
    <row r="607" spans="1:14" x14ac:dyDescent="0.25">
      <c r="A607" s="23">
        <v>43704</v>
      </c>
      <c r="B607">
        <v>26.193999999999999</v>
      </c>
      <c r="C607" t="s">
        <v>2</v>
      </c>
      <c r="D607">
        <v>0.14599999999999999</v>
      </c>
      <c r="E607">
        <v>3.8243239999999998</v>
      </c>
      <c r="F607" t="s">
        <v>13</v>
      </c>
      <c r="G607">
        <v>0.16600000000000001</v>
      </c>
      <c r="H607">
        <v>0.63483778400000002</v>
      </c>
      <c r="I607" t="s">
        <v>8</v>
      </c>
      <c r="J607">
        <v>0.32200000000000001</v>
      </c>
      <c r="K607">
        <v>0.204417766448</v>
      </c>
      <c r="L607" t="s">
        <v>35</v>
      </c>
      <c r="M607">
        <v>0.26600000000000001</v>
      </c>
      <c r="N607">
        <v>0.16886685054400002</v>
      </c>
    </row>
    <row r="608" spans="1:14" x14ac:dyDescent="0.25">
      <c r="A608" s="23">
        <v>43705</v>
      </c>
      <c r="B608">
        <v>26.193999999999999</v>
      </c>
      <c r="C608" t="s">
        <v>2</v>
      </c>
      <c r="D608">
        <v>0.14599999999999999</v>
      </c>
      <c r="E608">
        <v>3.8243239999999998</v>
      </c>
      <c r="F608" t="s">
        <v>13</v>
      </c>
      <c r="G608">
        <v>0.16600000000000001</v>
      </c>
      <c r="H608">
        <v>0.63483778400000002</v>
      </c>
      <c r="I608" t="s">
        <v>10</v>
      </c>
      <c r="J608">
        <v>4.2999999999999997E-2</v>
      </c>
      <c r="K608">
        <v>2.7298024711999998E-2</v>
      </c>
      <c r="L608" t="s">
        <v>36</v>
      </c>
      <c r="M608">
        <v>0.26800000000000002</v>
      </c>
      <c r="N608" t="e">
        <v>#REF!</v>
      </c>
    </row>
    <row r="609" spans="1:14" x14ac:dyDescent="0.25">
      <c r="A609" s="23">
        <v>43706</v>
      </c>
      <c r="B609">
        <v>26.193999999999999</v>
      </c>
      <c r="C609" t="s">
        <v>2</v>
      </c>
      <c r="D609">
        <v>0.14599999999999999</v>
      </c>
      <c r="E609">
        <v>3.8243239999999998</v>
      </c>
      <c r="F609" t="s">
        <v>13</v>
      </c>
      <c r="G609">
        <v>0.16600000000000001</v>
      </c>
      <c r="H609">
        <v>0.63483778400000002</v>
      </c>
      <c r="I609" t="s">
        <v>9</v>
      </c>
      <c r="J609">
        <v>0.19500000000000001</v>
      </c>
      <c r="K609">
        <v>0.12379336788</v>
      </c>
      <c r="L609" t="s">
        <v>37</v>
      </c>
      <c r="M609">
        <v>0.19</v>
      </c>
      <c r="N609">
        <v>0.170136526112</v>
      </c>
    </row>
    <row r="610" spans="1:14" x14ac:dyDescent="0.25">
      <c r="A610" s="23">
        <v>43707</v>
      </c>
      <c r="B610">
        <v>26.193999999999999</v>
      </c>
      <c r="C610" t="s">
        <v>2</v>
      </c>
      <c r="D610">
        <v>0.14599999999999999</v>
      </c>
      <c r="E610">
        <v>3.8243239999999998</v>
      </c>
      <c r="F610" t="s">
        <v>13</v>
      </c>
      <c r="G610">
        <v>0.16600000000000001</v>
      </c>
      <c r="H610">
        <v>0.63483778400000002</v>
      </c>
      <c r="I610" t="s">
        <v>55</v>
      </c>
      <c r="J610">
        <v>1.1000000000000001E-2</v>
      </c>
      <c r="L610" t="s">
        <v>38</v>
      </c>
      <c r="M610">
        <v>0.02</v>
      </c>
      <c r="N610">
        <v>0.12061917896</v>
      </c>
    </row>
    <row r="611" spans="1:14" x14ac:dyDescent="0.25">
      <c r="A611" s="23">
        <v>43708</v>
      </c>
      <c r="B611">
        <v>26.193999999999999</v>
      </c>
      <c r="C611" t="s">
        <v>2</v>
      </c>
      <c r="D611">
        <v>0.14599999999999999</v>
      </c>
      <c r="E611">
        <v>3.8243239999999998</v>
      </c>
      <c r="F611" t="s">
        <v>13</v>
      </c>
      <c r="G611">
        <v>0.16600000000000001</v>
      </c>
      <c r="H611">
        <v>0.63483778400000002</v>
      </c>
      <c r="L611" t="s">
        <v>39</v>
      </c>
      <c r="M611">
        <v>1.1000000000000001E-2</v>
      </c>
      <c r="N611">
        <v>1.2696755680000001E-2</v>
      </c>
    </row>
    <row r="612" spans="1:14" x14ac:dyDescent="0.25">
      <c r="A612" s="23">
        <v>43709</v>
      </c>
      <c r="B612">
        <v>26.193999999999999</v>
      </c>
      <c r="C612" t="s">
        <v>2</v>
      </c>
      <c r="D612">
        <v>0.14599999999999999</v>
      </c>
      <c r="E612">
        <v>3.8243239999999998</v>
      </c>
      <c r="F612" t="s">
        <v>47</v>
      </c>
      <c r="G612">
        <v>0.111</v>
      </c>
      <c r="H612">
        <v>0.42449996400000001</v>
      </c>
      <c r="I612" t="s">
        <v>11</v>
      </c>
      <c r="J612">
        <v>0</v>
      </c>
      <c r="K612">
        <v>0</v>
      </c>
      <c r="L612" t="s">
        <v>32</v>
      </c>
      <c r="M612">
        <v>0</v>
      </c>
      <c r="N612">
        <v>0</v>
      </c>
    </row>
    <row r="613" spans="1:14" x14ac:dyDescent="0.25">
      <c r="A613" s="23">
        <v>43710</v>
      </c>
      <c r="B613">
        <v>26.193999999999999</v>
      </c>
      <c r="C613" t="s">
        <v>2</v>
      </c>
      <c r="D613">
        <v>0.14599999999999999</v>
      </c>
      <c r="E613">
        <v>3.8243239999999998</v>
      </c>
      <c r="F613" t="s">
        <v>17</v>
      </c>
      <c r="G613">
        <v>0.111</v>
      </c>
      <c r="H613">
        <v>0.42449996400000001</v>
      </c>
      <c r="I613" t="s">
        <v>12</v>
      </c>
      <c r="J613">
        <v>6.5000000000000002E-2</v>
      </c>
      <c r="K613">
        <v>2.7592497660000003E-2</v>
      </c>
      <c r="L613" t="s">
        <v>33</v>
      </c>
      <c r="M613">
        <v>0</v>
      </c>
      <c r="N613">
        <v>0</v>
      </c>
    </row>
    <row r="614" spans="1:14" x14ac:dyDescent="0.25">
      <c r="A614" s="23">
        <v>43711</v>
      </c>
      <c r="B614">
        <v>26.193999999999999</v>
      </c>
      <c r="C614" t="s">
        <v>2</v>
      </c>
      <c r="D614">
        <v>0.14599999999999999</v>
      </c>
      <c r="E614">
        <v>3.8243239999999998</v>
      </c>
      <c r="F614" t="s">
        <v>17</v>
      </c>
      <c r="G614">
        <v>0.111</v>
      </c>
      <c r="H614">
        <v>0.42449996400000001</v>
      </c>
      <c r="I614" t="s">
        <v>7</v>
      </c>
      <c r="J614">
        <v>0</v>
      </c>
      <c r="K614">
        <v>0</v>
      </c>
      <c r="L614" t="s">
        <v>34</v>
      </c>
      <c r="M614">
        <v>0.38</v>
      </c>
      <c r="N614">
        <v>0.16130998632000002</v>
      </c>
    </row>
    <row r="615" spans="1:14" x14ac:dyDescent="0.25">
      <c r="A615" s="23">
        <v>43712</v>
      </c>
      <c r="B615">
        <v>26.193999999999999</v>
      </c>
      <c r="C615" t="s">
        <v>2</v>
      </c>
      <c r="D615">
        <v>0.14599999999999999</v>
      </c>
      <c r="E615">
        <v>3.8243239999999998</v>
      </c>
      <c r="F615" t="s">
        <v>17</v>
      </c>
      <c r="G615">
        <v>0.111</v>
      </c>
      <c r="H615">
        <v>0.42449996400000001</v>
      </c>
      <c r="I615" t="s">
        <v>8</v>
      </c>
      <c r="J615">
        <v>0.52500000000000002</v>
      </c>
      <c r="K615">
        <v>0.22286248110000001</v>
      </c>
      <c r="L615" t="s">
        <v>35</v>
      </c>
      <c r="M615">
        <v>0.184</v>
      </c>
      <c r="N615">
        <v>7.8107993375999996E-2</v>
      </c>
    </row>
    <row r="616" spans="1:14" x14ac:dyDescent="0.25">
      <c r="A616" s="23">
        <v>43713</v>
      </c>
      <c r="B616">
        <v>26.193999999999999</v>
      </c>
      <c r="C616" t="s">
        <v>2</v>
      </c>
      <c r="D616">
        <v>0.14599999999999999</v>
      </c>
      <c r="E616">
        <v>3.8243239999999998</v>
      </c>
      <c r="F616" t="s">
        <v>17</v>
      </c>
      <c r="G616">
        <v>0.111</v>
      </c>
      <c r="H616">
        <v>0.42449996400000001</v>
      </c>
      <c r="I616" t="s">
        <v>10</v>
      </c>
      <c r="J616">
        <v>0</v>
      </c>
      <c r="K616">
        <v>0</v>
      </c>
      <c r="L616" t="s">
        <v>36</v>
      </c>
      <c r="M616">
        <v>0.128</v>
      </c>
      <c r="N616">
        <v>5.4335995392E-2</v>
      </c>
    </row>
    <row r="617" spans="1:14" x14ac:dyDescent="0.25">
      <c r="A617" s="23">
        <v>43714</v>
      </c>
      <c r="B617">
        <v>26.193999999999999</v>
      </c>
      <c r="C617" t="s">
        <v>2</v>
      </c>
      <c r="D617">
        <v>0.14599999999999999</v>
      </c>
      <c r="E617">
        <v>3.8243239999999998</v>
      </c>
      <c r="F617" t="s">
        <v>17</v>
      </c>
      <c r="G617">
        <v>0.111</v>
      </c>
      <c r="H617">
        <v>0.42449996400000001</v>
      </c>
      <c r="I617" t="s">
        <v>9</v>
      </c>
      <c r="J617">
        <v>0.26600000000000001</v>
      </c>
      <c r="K617">
        <v>0.11291699042400001</v>
      </c>
      <c r="L617" t="s">
        <v>37</v>
      </c>
      <c r="M617">
        <v>0.309</v>
      </c>
      <c r="N617">
        <v>0.131170488876</v>
      </c>
    </row>
    <row r="618" spans="1:14" x14ac:dyDescent="0.25">
      <c r="A618" s="23">
        <v>43715</v>
      </c>
      <c r="B618">
        <v>26.193999999999999</v>
      </c>
      <c r="C618" t="s">
        <v>2</v>
      </c>
      <c r="D618">
        <v>0.14599999999999999</v>
      </c>
      <c r="E618">
        <v>3.8243239999999998</v>
      </c>
      <c r="F618" t="s">
        <v>17</v>
      </c>
      <c r="G618">
        <v>0.111</v>
      </c>
      <c r="H618">
        <v>0.42449996400000001</v>
      </c>
      <c r="I618" t="s">
        <v>55</v>
      </c>
      <c r="J618">
        <v>0.14400000000000002</v>
      </c>
      <c r="K618">
        <v>6.1127994816000009E-2</v>
      </c>
      <c r="L618" t="s">
        <v>38</v>
      </c>
      <c r="M618">
        <v>0</v>
      </c>
      <c r="N618">
        <v>0</v>
      </c>
    </row>
    <row r="619" spans="1:14" x14ac:dyDescent="0.25">
      <c r="A619" s="23">
        <v>43716</v>
      </c>
      <c r="B619">
        <v>26.193999999999999</v>
      </c>
      <c r="C619" t="s">
        <v>2</v>
      </c>
      <c r="D619">
        <v>0.14599999999999999</v>
      </c>
      <c r="E619">
        <v>3.8243239999999998</v>
      </c>
      <c r="F619" t="s">
        <v>17</v>
      </c>
      <c r="G619">
        <v>0.111</v>
      </c>
      <c r="H619">
        <v>0.42449996400000001</v>
      </c>
      <c r="L619" t="s">
        <v>39</v>
      </c>
      <c r="M619">
        <v>0</v>
      </c>
      <c r="N619">
        <v>0</v>
      </c>
    </row>
    <row r="620" spans="1:14" x14ac:dyDescent="0.25">
      <c r="A620" s="23">
        <v>43717</v>
      </c>
      <c r="B620">
        <v>26.193999999999999</v>
      </c>
      <c r="C620" t="s">
        <v>2</v>
      </c>
      <c r="D620">
        <v>0.14599999999999999</v>
      </c>
      <c r="E620">
        <v>3.8243239999999998</v>
      </c>
      <c r="F620" t="s">
        <v>18</v>
      </c>
      <c r="G620">
        <v>0.08</v>
      </c>
      <c r="H620">
        <v>0.30594591999999998</v>
      </c>
      <c r="I620" t="s">
        <v>11</v>
      </c>
      <c r="J620">
        <v>0.39100000000000001</v>
      </c>
      <c r="K620">
        <v>0.11962485471999999</v>
      </c>
      <c r="L620" t="s">
        <v>32</v>
      </c>
      <c r="M620">
        <v>3.6000000000000004E-2</v>
      </c>
      <c r="N620">
        <v>1.1014053120000001E-2</v>
      </c>
    </row>
    <row r="621" spans="1:14" x14ac:dyDescent="0.25">
      <c r="A621" s="23">
        <v>43718</v>
      </c>
      <c r="B621">
        <v>26.193999999999999</v>
      </c>
      <c r="C621" t="s">
        <v>2</v>
      </c>
      <c r="D621">
        <v>0.14599999999999999</v>
      </c>
      <c r="E621">
        <v>3.8243239999999998</v>
      </c>
      <c r="F621" t="s">
        <v>18</v>
      </c>
      <c r="G621">
        <v>0.08</v>
      </c>
      <c r="H621">
        <v>0.30594591999999998</v>
      </c>
      <c r="I621" t="s">
        <v>12</v>
      </c>
      <c r="J621">
        <v>0.11</v>
      </c>
      <c r="K621">
        <v>3.36540512E-2</v>
      </c>
      <c r="L621" t="s">
        <v>33</v>
      </c>
      <c r="M621">
        <v>9.3000000000000013E-2</v>
      </c>
      <c r="N621">
        <v>2.8452970560000002E-2</v>
      </c>
    </row>
    <row r="622" spans="1:14" x14ac:dyDescent="0.25">
      <c r="A622" s="23">
        <v>43719</v>
      </c>
      <c r="B622">
        <v>26.193999999999999</v>
      </c>
      <c r="C622" t="s">
        <v>2</v>
      </c>
      <c r="D622">
        <v>0.14599999999999999</v>
      </c>
      <c r="E622">
        <v>3.8243239999999998</v>
      </c>
      <c r="F622" t="s">
        <v>18</v>
      </c>
      <c r="G622">
        <v>0.08</v>
      </c>
      <c r="H622">
        <v>0.30594591999999998</v>
      </c>
      <c r="I622" t="s">
        <v>7</v>
      </c>
      <c r="J622">
        <v>5.0000000000000001E-3</v>
      </c>
      <c r="K622">
        <v>1.5297295999999998E-3</v>
      </c>
      <c r="L622" t="s">
        <v>34</v>
      </c>
      <c r="M622">
        <v>0.13900000000000001</v>
      </c>
      <c r="N622">
        <v>4.2526482880000001E-2</v>
      </c>
    </row>
    <row r="623" spans="1:14" x14ac:dyDescent="0.25">
      <c r="A623" s="23">
        <v>43720</v>
      </c>
      <c r="B623">
        <v>26.193999999999999</v>
      </c>
      <c r="C623" t="s">
        <v>2</v>
      </c>
      <c r="D623">
        <v>0.14599999999999999</v>
      </c>
      <c r="E623">
        <v>3.8243239999999998</v>
      </c>
      <c r="F623" t="s">
        <v>18</v>
      </c>
      <c r="G623">
        <v>0.08</v>
      </c>
      <c r="H623">
        <v>0.30594591999999998</v>
      </c>
      <c r="I623" t="s">
        <v>8</v>
      </c>
      <c r="J623">
        <v>0.24399999999999999</v>
      </c>
      <c r="K623">
        <v>1.83567552E-3</v>
      </c>
      <c r="L623" t="s">
        <v>35</v>
      </c>
      <c r="M623">
        <v>0.29499999999999998</v>
      </c>
      <c r="N623">
        <v>9.0254046399999996E-2</v>
      </c>
    </row>
    <row r="624" spans="1:14" x14ac:dyDescent="0.25">
      <c r="A624" s="23">
        <v>43721</v>
      </c>
      <c r="B624">
        <v>26.193999999999999</v>
      </c>
      <c r="C624" t="s">
        <v>2</v>
      </c>
      <c r="D624">
        <v>0.14599999999999999</v>
      </c>
      <c r="E624">
        <v>3.8243239999999998</v>
      </c>
      <c r="F624" t="s">
        <v>18</v>
      </c>
      <c r="G624">
        <v>0.08</v>
      </c>
      <c r="H624">
        <v>0.30594591999999998</v>
      </c>
      <c r="I624" t="s">
        <v>10</v>
      </c>
      <c r="J624">
        <v>5.5E-2</v>
      </c>
      <c r="K624">
        <v>7.4650804479999999E-2</v>
      </c>
      <c r="L624" t="s">
        <v>36</v>
      </c>
      <c r="M624">
        <v>0.27300000000000002</v>
      </c>
      <c r="N624">
        <v>8.352323616E-2</v>
      </c>
    </row>
    <row r="625" spans="1:14" x14ac:dyDescent="0.25">
      <c r="A625" s="23">
        <v>43722</v>
      </c>
      <c r="B625">
        <v>26.193999999999999</v>
      </c>
      <c r="C625" t="s">
        <v>2</v>
      </c>
      <c r="D625">
        <v>0.14599999999999999</v>
      </c>
      <c r="E625">
        <v>3.8243239999999998</v>
      </c>
      <c r="F625" t="s">
        <v>48</v>
      </c>
      <c r="G625">
        <v>0.08</v>
      </c>
      <c r="H625">
        <v>0.30594591999999998</v>
      </c>
      <c r="I625" t="s">
        <v>9</v>
      </c>
      <c r="J625">
        <v>0.19</v>
      </c>
      <c r="K625">
        <v>5.8129724799999997E-2</v>
      </c>
      <c r="L625" t="s">
        <v>37</v>
      </c>
      <c r="M625">
        <v>0.13200000000000001</v>
      </c>
      <c r="N625">
        <v>4.0384861440000003E-2</v>
      </c>
    </row>
    <row r="626" spans="1:14" x14ac:dyDescent="0.25">
      <c r="A626" s="23">
        <v>43723</v>
      </c>
      <c r="B626">
        <v>26.193999999999999</v>
      </c>
      <c r="C626" t="s">
        <v>2</v>
      </c>
      <c r="D626">
        <v>0.14599999999999999</v>
      </c>
      <c r="E626">
        <v>3.8243239999999998</v>
      </c>
      <c r="F626" t="s">
        <v>18</v>
      </c>
      <c r="G626">
        <v>0.08</v>
      </c>
      <c r="H626">
        <v>0.30594591999999998</v>
      </c>
      <c r="I626" t="s">
        <v>55</v>
      </c>
      <c r="J626">
        <v>6.0000000000000001E-3</v>
      </c>
      <c r="K626">
        <v>1.83567552E-3</v>
      </c>
      <c r="L626" t="s">
        <v>38</v>
      </c>
      <c r="M626">
        <v>0.02</v>
      </c>
      <c r="N626">
        <v>6.1189183999999994E-3</v>
      </c>
    </row>
    <row r="627" spans="1:14" x14ac:dyDescent="0.25">
      <c r="A627" s="23">
        <v>43724</v>
      </c>
      <c r="B627">
        <v>26.193999999999999</v>
      </c>
      <c r="C627" t="s">
        <v>2</v>
      </c>
      <c r="D627">
        <v>0.14599999999999999</v>
      </c>
      <c r="E627">
        <v>3.8243239999999998</v>
      </c>
      <c r="F627" t="s">
        <v>18</v>
      </c>
      <c r="G627">
        <v>0.08</v>
      </c>
      <c r="H627">
        <v>0.30594591999999998</v>
      </c>
      <c r="L627" t="s">
        <v>39</v>
      </c>
      <c r="M627">
        <v>1.2E-2</v>
      </c>
      <c r="N627">
        <v>3.6713510400000001E-3</v>
      </c>
    </row>
    <row r="628" spans="1:14" x14ac:dyDescent="0.25">
      <c r="A628" s="23">
        <v>43725</v>
      </c>
      <c r="B628">
        <v>26.193999999999999</v>
      </c>
      <c r="C628" t="s">
        <v>19</v>
      </c>
      <c r="D628">
        <v>0.85400000000000009</v>
      </c>
      <c r="E628">
        <v>22.369676000000002</v>
      </c>
      <c r="F628" t="s">
        <v>54</v>
      </c>
      <c r="G628">
        <v>0.80500000000000005</v>
      </c>
      <c r="H628">
        <v>18.007589180000004</v>
      </c>
      <c r="I628" t="s">
        <v>11</v>
      </c>
      <c r="J628">
        <v>0.128</v>
      </c>
      <c r="K628">
        <v>2.3049714150400007</v>
      </c>
      <c r="L628" t="s">
        <v>32</v>
      </c>
      <c r="M628">
        <v>3.5000000000000003E-2</v>
      </c>
      <c r="N628">
        <v>0.63026562130000019</v>
      </c>
    </row>
    <row r="629" spans="1:14" x14ac:dyDescent="0.25">
      <c r="A629" s="23">
        <v>43726</v>
      </c>
      <c r="B629">
        <v>26.193999999999999</v>
      </c>
      <c r="C629" t="s">
        <v>19</v>
      </c>
      <c r="D629">
        <v>0.85400000000000009</v>
      </c>
      <c r="E629">
        <v>22.369676000000002</v>
      </c>
      <c r="F629" t="s">
        <v>14</v>
      </c>
      <c r="G629">
        <v>0.80500000000000005</v>
      </c>
      <c r="H629">
        <v>18.007589180000004</v>
      </c>
      <c r="I629" t="s">
        <v>12</v>
      </c>
      <c r="J629">
        <v>0.191</v>
      </c>
      <c r="K629">
        <v>3.4394495333800008</v>
      </c>
      <c r="L629" t="s">
        <v>33</v>
      </c>
      <c r="M629">
        <v>0.107</v>
      </c>
      <c r="N629">
        <v>1.9268120422600004</v>
      </c>
    </row>
    <row r="630" spans="1:14" x14ac:dyDescent="0.25">
      <c r="A630" s="23">
        <v>43727</v>
      </c>
      <c r="B630">
        <v>26.193999999999999</v>
      </c>
      <c r="C630" t="s">
        <v>19</v>
      </c>
      <c r="D630">
        <v>0.85400000000000009</v>
      </c>
      <c r="E630">
        <v>22.369676000000002</v>
      </c>
      <c r="F630" t="s">
        <v>14</v>
      </c>
      <c r="G630">
        <v>0.80500000000000005</v>
      </c>
      <c r="H630">
        <v>18.007589180000004</v>
      </c>
      <c r="I630" t="s">
        <v>7</v>
      </c>
      <c r="J630">
        <v>1.7000000000000001E-2</v>
      </c>
      <c r="K630">
        <v>0.30612901606000009</v>
      </c>
      <c r="L630" t="s">
        <v>34</v>
      </c>
      <c r="M630">
        <v>0.17</v>
      </c>
      <c r="N630">
        <v>3.0612901606000009</v>
      </c>
    </row>
    <row r="631" spans="1:14" x14ac:dyDescent="0.25">
      <c r="A631" s="23">
        <v>43728</v>
      </c>
      <c r="B631">
        <v>26.193999999999999</v>
      </c>
      <c r="C631" t="s">
        <v>19</v>
      </c>
      <c r="D631">
        <v>0.85400000000000009</v>
      </c>
      <c r="E631">
        <v>22.369676000000002</v>
      </c>
      <c r="F631" t="s">
        <v>14</v>
      </c>
      <c r="G631">
        <v>0.80500000000000005</v>
      </c>
      <c r="H631">
        <v>18.007589180000004</v>
      </c>
      <c r="I631" t="s">
        <v>8</v>
      </c>
      <c r="J631">
        <v>0.377</v>
      </c>
      <c r="K631">
        <v>6.7888611208600018</v>
      </c>
      <c r="L631" t="s">
        <v>35</v>
      </c>
      <c r="M631">
        <v>0.26400000000000001</v>
      </c>
      <c r="N631">
        <v>4.7540035435200014</v>
      </c>
    </row>
    <row r="632" spans="1:14" x14ac:dyDescent="0.25">
      <c r="A632" s="23">
        <v>43729</v>
      </c>
      <c r="B632">
        <v>26.193999999999999</v>
      </c>
      <c r="C632" t="s">
        <v>19</v>
      </c>
      <c r="D632">
        <v>0.85400000000000009</v>
      </c>
      <c r="E632">
        <v>22.369676000000002</v>
      </c>
      <c r="F632" t="s">
        <v>14</v>
      </c>
      <c r="G632">
        <v>0.80500000000000005</v>
      </c>
      <c r="H632">
        <v>18.007589180000004</v>
      </c>
      <c r="I632" t="s">
        <v>10</v>
      </c>
      <c r="J632">
        <v>3.6000000000000004E-2</v>
      </c>
      <c r="K632">
        <v>0.64827321048000019</v>
      </c>
      <c r="L632" t="s">
        <v>36</v>
      </c>
      <c r="M632">
        <v>0.21600000000000003</v>
      </c>
      <c r="N632">
        <v>3.8896392628800012</v>
      </c>
    </row>
    <row r="633" spans="1:14" x14ac:dyDescent="0.25">
      <c r="A633" s="23">
        <v>43730</v>
      </c>
      <c r="B633">
        <v>26.193999999999999</v>
      </c>
      <c r="C633" t="s">
        <v>19</v>
      </c>
      <c r="D633">
        <v>0.85400000000000009</v>
      </c>
      <c r="E633">
        <v>22.369676000000002</v>
      </c>
      <c r="F633" t="s">
        <v>14</v>
      </c>
      <c r="G633">
        <v>0.80500000000000005</v>
      </c>
      <c r="H633">
        <v>18.007589180000004</v>
      </c>
      <c r="I633" t="s">
        <v>9</v>
      </c>
      <c r="J633">
        <v>0.22800000000000001</v>
      </c>
      <c r="K633">
        <v>0.43218214032000007</v>
      </c>
      <c r="L633" t="s">
        <v>37</v>
      </c>
      <c r="M633">
        <v>0.16899999999999998</v>
      </c>
      <c r="N633">
        <v>3.0432825714200002</v>
      </c>
    </row>
    <row r="634" spans="1:14" x14ac:dyDescent="0.25">
      <c r="A634" s="23">
        <v>43731</v>
      </c>
      <c r="B634">
        <v>26.193999999999999</v>
      </c>
      <c r="C634" t="s">
        <v>19</v>
      </c>
      <c r="D634">
        <v>0.85400000000000009</v>
      </c>
      <c r="E634">
        <v>22.369676000000002</v>
      </c>
      <c r="F634" t="s">
        <v>14</v>
      </c>
      <c r="G634">
        <v>0.80500000000000005</v>
      </c>
      <c r="H634">
        <v>18.007589180000004</v>
      </c>
      <c r="I634" t="s">
        <v>55</v>
      </c>
      <c r="J634">
        <v>2.4E-2</v>
      </c>
      <c r="K634">
        <v>0.43218214032000007</v>
      </c>
      <c r="L634" t="s">
        <v>38</v>
      </c>
      <c r="M634">
        <v>2.5000000000000001E-2</v>
      </c>
      <c r="N634">
        <v>0.45018972950000014</v>
      </c>
    </row>
    <row r="635" spans="1:14" x14ac:dyDescent="0.25">
      <c r="A635" s="23">
        <v>43732</v>
      </c>
      <c r="B635">
        <v>26.193999999999999</v>
      </c>
      <c r="C635" t="s">
        <v>19</v>
      </c>
      <c r="D635">
        <v>0.85400000000000009</v>
      </c>
      <c r="E635">
        <v>22.369676000000002</v>
      </c>
      <c r="F635" t="s">
        <v>14</v>
      </c>
      <c r="G635">
        <v>0.80500000000000005</v>
      </c>
      <c r="H635">
        <v>18.007589180000004</v>
      </c>
      <c r="L635" t="s">
        <v>39</v>
      </c>
      <c r="M635">
        <v>1.3000000000000001E-2</v>
      </c>
      <c r="N635">
        <v>0.23409865934000007</v>
      </c>
    </row>
    <row r="636" spans="1:14" x14ac:dyDescent="0.25">
      <c r="A636" s="23">
        <v>43733</v>
      </c>
      <c r="B636">
        <v>26.193999999999999</v>
      </c>
      <c r="C636" t="s">
        <v>19</v>
      </c>
      <c r="D636">
        <v>0.85400000000000009</v>
      </c>
      <c r="E636">
        <v>22.369676000000002</v>
      </c>
      <c r="F636" t="s">
        <v>52</v>
      </c>
      <c r="G636">
        <v>0.85099999999999998</v>
      </c>
      <c r="H636">
        <v>19.036594276000002</v>
      </c>
      <c r="I636" t="s">
        <v>11</v>
      </c>
      <c r="J636">
        <v>9.0999999999999998E-2</v>
      </c>
      <c r="K636">
        <v>1.7323300791160001</v>
      </c>
      <c r="L636" t="s">
        <v>32</v>
      </c>
      <c r="M636">
        <v>9.0000000000000011E-3</v>
      </c>
      <c r="N636">
        <v>0.17132934848400005</v>
      </c>
    </row>
    <row r="637" spans="1:14" x14ac:dyDescent="0.25">
      <c r="A637" s="23">
        <v>43734</v>
      </c>
      <c r="B637">
        <v>26.193999999999999</v>
      </c>
      <c r="C637" t="s">
        <v>19</v>
      </c>
      <c r="D637">
        <v>0.85400000000000009</v>
      </c>
      <c r="E637">
        <v>22.369676000000002</v>
      </c>
      <c r="F637" t="s">
        <v>15</v>
      </c>
      <c r="G637">
        <v>0.85099999999999998</v>
      </c>
      <c r="H637">
        <v>19.036594276000002</v>
      </c>
      <c r="I637" t="s">
        <v>12</v>
      </c>
      <c r="J637">
        <v>0.128</v>
      </c>
      <c r="K637">
        <v>2.4366840673280006</v>
      </c>
      <c r="L637" t="s">
        <v>33</v>
      </c>
      <c r="M637">
        <v>8.4000000000000005E-2</v>
      </c>
      <c r="N637">
        <v>1.5990739191840002</v>
      </c>
    </row>
    <row r="638" spans="1:14" x14ac:dyDescent="0.25">
      <c r="A638" s="23">
        <v>43735</v>
      </c>
      <c r="B638">
        <v>26.193999999999999</v>
      </c>
      <c r="C638" t="s">
        <v>19</v>
      </c>
      <c r="D638">
        <v>0.85400000000000009</v>
      </c>
      <c r="E638">
        <v>22.369676000000002</v>
      </c>
      <c r="F638" t="s">
        <v>15</v>
      </c>
      <c r="G638">
        <v>0.85099999999999998</v>
      </c>
      <c r="H638">
        <v>19.036594276000002</v>
      </c>
      <c r="I638" t="s">
        <v>7</v>
      </c>
      <c r="J638">
        <v>1.8000000000000002E-2</v>
      </c>
      <c r="K638">
        <v>0.34265869696800011</v>
      </c>
      <c r="L638" t="s">
        <v>34</v>
      </c>
      <c r="M638">
        <v>0.22899999999999998</v>
      </c>
      <c r="N638">
        <v>4.3593800892040004</v>
      </c>
    </row>
    <row r="639" spans="1:14" x14ac:dyDescent="0.25">
      <c r="A639" s="23">
        <v>43736</v>
      </c>
      <c r="B639">
        <v>26.193999999999999</v>
      </c>
      <c r="C639" t="s">
        <v>19</v>
      </c>
      <c r="D639">
        <v>0.85400000000000009</v>
      </c>
      <c r="E639">
        <v>22.369676000000002</v>
      </c>
      <c r="F639" t="s">
        <v>15</v>
      </c>
      <c r="G639">
        <v>0.85099999999999998</v>
      </c>
      <c r="H639">
        <v>19.036594276000002</v>
      </c>
      <c r="I639" t="s">
        <v>8</v>
      </c>
      <c r="J639">
        <v>0.42899999999999999</v>
      </c>
      <c r="K639">
        <v>8.1666989444040006</v>
      </c>
      <c r="L639" t="s">
        <v>35</v>
      </c>
      <c r="M639">
        <v>0.318</v>
      </c>
      <c r="N639">
        <v>6.053636979768001</v>
      </c>
    </row>
    <row r="640" spans="1:14" x14ac:dyDescent="0.25">
      <c r="A640" s="23">
        <v>43737</v>
      </c>
      <c r="B640">
        <v>26.193999999999999</v>
      </c>
      <c r="C640" t="s">
        <v>19</v>
      </c>
      <c r="D640">
        <v>0.85400000000000009</v>
      </c>
      <c r="E640">
        <v>22.369676000000002</v>
      </c>
      <c r="F640" t="s">
        <v>15</v>
      </c>
      <c r="G640">
        <v>0.85099999999999998</v>
      </c>
      <c r="H640">
        <v>19.036594276000002</v>
      </c>
      <c r="I640" t="s">
        <v>10</v>
      </c>
      <c r="J640">
        <v>7.0999999999999994E-2</v>
      </c>
      <c r="K640">
        <v>1.351598193596</v>
      </c>
      <c r="L640" t="s">
        <v>36</v>
      </c>
      <c r="M640">
        <v>0.182</v>
      </c>
      <c r="N640">
        <v>3.4646601582320002</v>
      </c>
    </row>
    <row r="641" spans="1:14" x14ac:dyDescent="0.25">
      <c r="A641" s="23">
        <v>43738</v>
      </c>
      <c r="B641">
        <v>26.193999999999999</v>
      </c>
      <c r="C641" t="s">
        <v>19</v>
      </c>
      <c r="D641">
        <v>0.85400000000000009</v>
      </c>
      <c r="E641">
        <v>22.369676000000002</v>
      </c>
      <c r="F641" t="s">
        <v>15</v>
      </c>
      <c r="G641">
        <v>0.85099999999999998</v>
      </c>
      <c r="H641">
        <v>19.036594276000002</v>
      </c>
      <c r="I641" t="s">
        <v>9</v>
      </c>
      <c r="J641">
        <v>0.217</v>
      </c>
      <c r="K641">
        <v>4.1309409578920002</v>
      </c>
      <c r="L641" t="s">
        <v>37</v>
      </c>
      <c r="M641">
        <v>0.16200000000000001</v>
      </c>
      <c r="N641">
        <v>3.0839282727120003</v>
      </c>
    </row>
    <row r="642" spans="1:14" x14ac:dyDescent="0.25">
      <c r="A642" s="23">
        <v>43739</v>
      </c>
      <c r="B642">
        <v>26.193999999999999</v>
      </c>
      <c r="C642" t="s">
        <v>19</v>
      </c>
      <c r="D642">
        <v>0.85400000000000009</v>
      </c>
      <c r="E642">
        <v>22.369676000000002</v>
      </c>
      <c r="F642" t="s">
        <v>15</v>
      </c>
      <c r="G642">
        <v>0.85099999999999998</v>
      </c>
      <c r="H642">
        <v>19.036594276000002</v>
      </c>
      <c r="I642" t="s">
        <v>55</v>
      </c>
      <c r="J642">
        <v>4.5999999999999999E-2</v>
      </c>
      <c r="L642" t="s">
        <v>38</v>
      </c>
      <c r="M642">
        <v>8.0000000000000002E-3</v>
      </c>
      <c r="N642">
        <v>0.15229275420800004</v>
      </c>
    </row>
    <row r="643" spans="1:14" x14ac:dyDescent="0.25">
      <c r="A643" s="23">
        <v>43740</v>
      </c>
      <c r="B643">
        <v>26.193999999999999</v>
      </c>
      <c r="C643" t="s">
        <v>19</v>
      </c>
      <c r="D643">
        <v>0.85400000000000009</v>
      </c>
      <c r="E643">
        <v>22.369676000000002</v>
      </c>
      <c r="F643" t="s">
        <v>15</v>
      </c>
      <c r="G643">
        <v>0.85099999999999998</v>
      </c>
      <c r="H643">
        <v>19.036594276000002</v>
      </c>
      <c r="L643" t="s">
        <v>39</v>
      </c>
      <c r="M643">
        <v>9.0000000000000011E-3</v>
      </c>
      <c r="N643">
        <v>0.17132934848400005</v>
      </c>
    </row>
    <row r="644" spans="1:14" x14ac:dyDescent="0.25">
      <c r="A644" s="23">
        <v>43741</v>
      </c>
      <c r="B644">
        <v>26.193999999999999</v>
      </c>
      <c r="C644" t="s">
        <v>19</v>
      </c>
      <c r="D644">
        <v>0.85400000000000009</v>
      </c>
      <c r="E644">
        <v>22.369676000000002</v>
      </c>
      <c r="F644" t="s">
        <v>53</v>
      </c>
      <c r="G644">
        <v>0.85499999999999998</v>
      </c>
      <c r="H644">
        <v>19.12607298</v>
      </c>
      <c r="I644" t="s">
        <v>11</v>
      </c>
      <c r="J644">
        <v>0.156</v>
      </c>
      <c r="K644">
        <v>2.9836673848799999</v>
      </c>
      <c r="L644" t="s">
        <v>32</v>
      </c>
      <c r="M644">
        <v>5.2000000000000005E-2</v>
      </c>
      <c r="N644">
        <v>0.99455579496000013</v>
      </c>
    </row>
    <row r="645" spans="1:14" x14ac:dyDescent="0.25">
      <c r="A645" s="23">
        <v>43742</v>
      </c>
      <c r="B645">
        <v>26.193999999999999</v>
      </c>
      <c r="C645" t="s">
        <v>19</v>
      </c>
      <c r="D645">
        <v>0.85400000000000009</v>
      </c>
      <c r="E645">
        <v>22.369676000000002</v>
      </c>
      <c r="F645" t="s">
        <v>16</v>
      </c>
      <c r="G645">
        <v>0.85499999999999998</v>
      </c>
      <c r="H645">
        <v>19.12607298</v>
      </c>
      <c r="I645" t="s">
        <v>12</v>
      </c>
      <c r="J645">
        <v>0.188</v>
      </c>
      <c r="K645">
        <v>3.5957017202400001</v>
      </c>
      <c r="L645" t="s">
        <v>33</v>
      </c>
      <c r="M645">
        <v>0.10800000000000001</v>
      </c>
      <c r="N645">
        <v>2.0656158818400003</v>
      </c>
    </row>
    <row r="646" spans="1:14" x14ac:dyDescent="0.25">
      <c r="A646" s="23">
        <v>43743</v>
      </c>
      <c r="B646">
        <v>26.193999999999999</v>
      </c>
      <c r="C646" t="s">
        <v>19</v>
      </c>
      <c r="D646">
        <v>0.85400000000000009</v>
      </c>
      <c r="E646">
        <v>22.369676000000002</v>
      </c>
      <c r="F646" t="s">
        <v>16</v>
      </c>
      <c r="G646">
        <v>0.85499999999999998</v>
      </c>
      <c r="H646">
        <v>19.12607298</v>
      </c>
      <c r="I646" t="s">
        <v>7</v>
      </c>
      <c r="J646">
        <v>1.7000000000000001E-2</v>
      </c>
      <c r="K646">
        <v>0.32514324066</v>
      </c>
      <c r="L646" t="s">
        <v>34</v>
      </c>
      <c r="M646">
        <v>0.17300000000000001</v>
      </c>
      <c r="N646">
        <v>3.3088106255400005</v>
      </c>
    </row>
    <row r="647" spans="1:14" x14ac:dyDescent="0.25">
      <c r="A647" s="23">
        <v>43744</v>
      </c>
      <c r="B647">
        <v>26.193999999999999</v>
      </c>
      <c r="C647" t="s">
        <v>19</v>
      </c>
      <c r="D647">
        <v>0.85400000000000009</v>
      </c>
      <c r="E647">
        <v>22.369676000000002</v>
      </c>
      <c r="F647" t="s">
        <v>16</v>
      </c>
      <c r="G647">
        <v>0.85499999999999998</v>
      </c>
      <c r="H647">
        <v>19.12607298</v>
      </c>
      <c r="I647" t="s">
        <v>8</v>
      </c>
      <c r="J647">
        <v>0.36499999999999999</v>
      </c>
      <c r="K647">
        <v>6.9810166376999998</v>
      </c>
      <c r="L647" t="s">
        <v>35</v>
      </c>
      <c r="M647">
        <v>0.25600000000000001</v>
      </c>
      <c r="N647">
        <v>4.8962746828799997</v>
      </c>
    </row>
    <row r="648" spans="1:14" x14ac:dyDescent="0.25">
      <c r="A648" s="23">
        <v>43745</v>
      </c>
      <c r="B648">
        <v>26.193999999999999</v>
      </c>
      <c r="C648" t="s">
        <v>19</v>
      </c>
      <c r="D648">
        <v>0.85400000000000009</v>
      </c>
      <c r="E648">
        <v>22.369676000000002</v>
      </c>
      <c r="F648" t="s">
        <v>16</v>
      </c>
      <c r="G648">
        <v>0.85499999999999998</v>
      </c>
      <c r="H648">
        <v>19.12607298</v>
      </c>
      <c r="I648" t="s">
        <v>10</v>
      </c>
      <c r="J648">
        <v>4.2999999999999997E-2</v>
      </c>
      <c r="K648">
        <v>0.82242113813999995</v>
      </c>
      <c r="L648" t="s">
        <v>36</v>
      </c>
      <c r="M648">
        <v>0.21600000000000003</v>
      </c>
      <c r="N648">
        <v>4.1312317636800007</v>
      </c>
    </row>
    <row r="649" spans="1:14" x14ac:dyDescent="0.25">
      <c r="A649" s="23">
        <v>43746</v>
      </c>
      <c r="B649">
        <v>26.193999999999999</v>
      </c>
      <c r="C649" t="s">
        <v>19</v>
      </c>
      <c r="D649">
        <v>0.85400000000000009</v>
      </c>
      <c r="E649">
        <v>22.369676000000002</v>
      </c>
      <c r="F649" t="s">
        <v>16</v>
      </c>
      <c r="G649">
        <v>0.85499999999999998</v>
      </c>
      <c r="H649">
        <v>19.12607298</v>
      </c>
      <c r="I649" t="s">
        <v>9</v>
      </c>
      <c r="J649">
        <v>0.21</v>
      </c>
      <c r="K649">
        <v>4.0164753258000001</v>
      </c>
      <c r="L649" t="s">
        <v>37</v>
      </c>
      <c r="M649">
        <v>0.157</v>
      </c>
      <c r="N649">
        <v>3.0027934578600002</v>
      </c>
    </row>
    <row r="650" spans="1:14" x14ac:dyDescent="0.25">
      <c r="A650" s="23">
        <v>43747</v>
      </c>
      <c r="B650">
        <v>26.193999999999999</v>
      </c>
      <c r="C650" t="s">
        <v>19</v>
      </c>
      <c r="D650">
        <v>0.85400000000000009</v>
      </c>
      <c r="E650">
        <v>22.369676000000002</v>
      </c>
      <c r="F650" t="s">
        <v>16</v>
      </c>
      <c r="G650">
        <v>0.85499999999999998</v>
      </c>
      <c r="H650">
        <v>19.12607298</v>
      </c>
      <c r="I650" t="s">
        <v>55</v>
      </c>
      <c r="J650">
        <v>2.2000000000000002E-2</v>
      </c>
      <c r="L650" t="s">
        <v>38</v>
      </c>
      <c r="M650">
        <v>2.5000000000000001E-2</v>
      </c>
      <c r="N650">
        <v>0.47815182450000004</v>
      </c>
    </row>
    <row r="651" spans="1:14" x14ac:dyDescent="0.25">
      <c r="A651" s="23">
        <v>43748</v>
      </c>
      <c r="B651">
        <v>26.193999999999999</v>
      </c>
      <c r="C651" t="s">
        <v>19</v>
      </c>
      <c r="D651">
        <v>0.85400000000000009</v>
      </c>
      <c r="E651">
        <v>22.369676000000002</v>
      </c>
      <c r="F651" t="s">
        <v>16</v>
      </c>
      <c r="G651">
        <v>0.85499999999999998</v>
      </c>
      <c r="H651">
        <v>19.12607298</v>
      </c>
      <c r="L651" t="s">
        <v>39</v>
      </c>
      <c r="M651">
        <v>1.2E-2</v>
      </c>
      <c r="N651">
        <v>0.22951287576000001</v>
      </c>
    </row>
    <row r="652" spans="1:14" x14ac:dyDescent="0.25">
      <c r="A652" s="23">
        <v>43749</v>
      </c>
      <c r="B652">
        <v>26.193999999999999</v>
      </c>
      <c r="C652" t="s">
        <v>19</v>
      </c>
      <c r="D652">
        <v>0.85400000000000009</v>
      </c>
      <c r="E652">
        <v>22.369676000000002</v>
      </c>
      <c r="F652" t="s">
        <v>51</v>
      </c>
      <c r="G652">
        <v>0.83400000000000007</v>
      </c>
      <c r="H652">
        <v>18.656309784000005</v>
      </c>
      <c r="I652" t="s">
        <v>11</v>
      </c>
      <c r="J652">
        <v>0.185</v>
      </c>
      <c r="K652">
        <v>3.451417310040001</v>
      </c>
      <c r="L652" t="s">
        <v>32</v>
      </c>
      <c r="M652">
        <v>5.5E-2</v>
      </c>
      <c r="N652">
        <v>1.0260970381200003</v>
      </c>
    </row>
    <row r="653" spans="1:14" x14ac:dyDescent="0.25">
      <c r="A653" s="23">
        <v>43750</v>
      </c>
      <c r="B653">
        <v>26.193999999999999</v>
      </c>
      <c r="C653" t="s">
        <v>19</v>
      </c>
      <c r="D653">
        <v>0.85400000000000009</v>
      </c>
      <c r="E653">
        <v>22.369676000000002</v>
      </c>
      <c r="F653" t="s">
        <v>13</v>
      </c>
      <c r="G653">
        <v>0.83400000000000007</v>
      </c>
      <c r="H653">
        <v>18.656309784000005</v>
      </c>
      <c r="I653" t="s">
        <v>12</v>
      </c>
      <c r="J653">
        <v>0.23100000000000001</v>
      </c>
      <c r="K653">
        <v>4.3096075601040011</v>
      </c>
      <c r="L653" t="s">
        <v>33</v>
      </c>
      <c r="M653">
        <v>0.115</v>
      </c>
      <c r="N653">
        <v>2.1454756251600005</v>
      </c>
    </row>
    <row r="654" spans="1:14" x14ac:dyDescent="0.25">
      <c r="A654" s="23">
        <v>43751</v>
      </c>
      <c r="B654">
        <v>26.193999999999999</v>
      </c>
      <c r="C654" t="s">
        <v>19</v>
      </c>
      <c r="D654">
        <v>0.85400000000000009</v>
      </c>
      <c r="E654">
        <v>22.369676000000002</v>
      </c>
      <c r="F654" t="s">
        <v>13</v>
      </c>
      <c r="G654">
        <v>0.83400000000000007</v>
      </c>
      <c r="H654">
        <v>18.656309784000005</v>
      </c>
      <c r="I654" t="s">
        <v>7</v>
      </c>
      <c r="J654">
        <v>2.8999999999999998E-2</v>
      </c>
      <c r="K654">
        <v>0.54103298373600006</v>
      </c>
      <c r="L654" t="s">
        <v>34</v>
      </c>
      <c r="M654">
        <v>0.16300000000000001</v>
      </c>
      <c r="N654">
        <v>3.0409784947920007</v>
      </c>
    </row>
    <row r="655" spans="1:14" x14ac:dyDescent="0.25">
      <c r="A655" s="23">
        <v>43752</v>
      </c>
      <c r="B655">
        <v>26.193999999999999</v>
      </c>
      <c r="C655" t="s">
        <v>19</v>
      </c>
      <c r="D655">
        <v>0.85400000000000009</v>
      </c>
      <c r="E655">
        <v>22.369676000000002</v>
      </c>
      <c r="F655" t="s">
        <v>13</v>
      </c>
      <c r="G655">
        <v>0.83400000000000007</v>
      </c>
      <c r="H655">
        <v>18.656309784000005</v>
      </c>
      <c r="I655" t="s">
        <v>8</v>
      </c>
      <c r="J655">
        <v>0.37200000000000005</v>
      </c>
      <c r="K655">
        <v>6.9401472396480024</v>
      </c>
      <c r="L655" t="s">
        <v>35</v>
      </c>
      <c r="M655">
        <v>0.254</v>
      </c>
      <c r="N655">
        <v>4.7387026851360012</v>
      </c>
    </row>
    <row r="656" spans="1:14" x14ac:dyDescent="0.25">
      <c r="A656" s="23">
        <v>43753</v>
      </c>
      <c r="B656">
        <v>26.193999999999999</v>
      </c>
      <c r="C656" t="s">
        <v>19</v>
      </c>
      <c r="D656">
        <v>0.85400000000000009</v>
      </c>
      <c r="E656">
        <v>22.369676000000002</v>
      </c>
      <c r="F656" t="s">
        <v>13</v>
      </c>
      <c r="G656">
        <v>0.83400000000000007</v>
      </c>
      <c r="H656">
        <v>18.656309784000005</v>
      </c>
      <c r="I656" t="s">
        <v>10</v>
      </c>
      <c r="J656">
        <v>0.03</v>
      </c>
      <c r="K656">
        <v>0.55968929352000008</v>
      </c>
      <c r="L656" t="s">
        <v>36</v>
      </c>
      <c r="M656">
        <v>0.20600000000000002</v>
      </c>
      <c r="N656">
        <v>3.8431998155040015</v>
      </c>
    </row>
    <row r="657" spans="1:14" x14ac:dyDescent="0.25">
      <c r="A657" s="23">
        <v>43754</v>
      </c>
      <c r="B657">
        <v>26.193999999999999</v>
      </c>
      <c r="C657" t="s">
        <v>19</v>
      </c>
      <c r="D657">
        <v>0.85400000000000009</v>
      </c>
      <c r="E657">
        <v>22.369676000000002</v>
      </c>
      <c r="F657" t="s">
        <v>13</v>
      </c>
      <c r="G657">
        <v>0.83400000000000007</v>
      </c>
      <c r="H657">
        <v>18.656309784000005</v>
      </c>
      <c r="I657" t="s">
        <v>9</v>
      </c>
      <c r="J657">
        <v>0.128</v>
      </c>
      <c r="K657">
        <v>2.3880076523520009</v>
      </c>
      <c r="L657" t="s">
        <v>37</v>
      </c>
      <c r="M657">
        <v>0.16399999999999998</v>
      </c>
      <c r="N657">
        <v>3.0596348045760005</v>
      </c>
    </row>
    <row r="658" spans="1:14" x14ac:dyDescent="0.25">
      <c r="A658" s="23">
        <v>43755</v>
      </c>
      <c r="B658">
        <v>26.193999999999999</v>
      </c>
      <c r="C658" t="s">
        <v>19</v>
      </c>
      <c r="D658">
        <v>0.85400000000000009</v>
      </c>
      <c r="E658">
        <v>22.369676000000002</v>
      </c>
      <c r="F658" t="s">
        <v>13</v>
      </c>
      <c r="G658">
        <v>0.83400000000000007</v>
      </c>
      <c r="H658">
        <v>18.656309784000005</v>
      </c>
      <c r="I658" t="s">
        <v>55</v>
      </c>
      <c r="J658">
        <v>2.5000000000000001E-2</v>
      </c>
      <c r="L658" t="s">
        <v>38</v>
      </c>
      <c r="M658">
        <v>2.6000000000000002E-2</v>
      </c>
      <c r="N658">
        <v>0.48506405438400019</v>
      </c>
    </row>
    <row r="659" spans="1:14" x14ac:dyDescent="0.25">
      <c r="A659" s="23">
        <v>43756</v>
      </c>
      <c r="B659">
        <v>26.193999999999999</v>
      </c>
      <c r="C659" t="s">
        <v>19</v>
      </c>
      <c r="D659">
        <v>0.85400000000000009</v>
      </c>
      <c r="E659">
        <v>22.369676000000002</v>
      </c>
      <c r="F659" t="s">
        <v>13</v>
      </c>
      <c r="G659">
        <v>0.83400000000000007</v>
      </c>
      <c r="H659">
        <v>18.656309784000005</v>
      </c>
      <c r="L659" t="s">
        <v>39</v>
      </c>
      <c r="M659">
        <v>1.7000000000000001E-2</v>
      </c>
      <c r="N659">
        <v>0.31715726632800012</v>
      </c>
    </row>
    <row r="660" spans="1:14" x14ac:dyDescent="0.25">
      <c r="A660" s="23">
        <v>43757</v>
      </c>
      <c r="B660">
        <v>26.193999999999999</v>
      </c>
      <c r="C660" t="s">
        <v>19</v>
      </c>
      <c r="D660">
        <v>0.85400000000000009</v>
      </c>
      <c r="E660">
        <v>22.369676000000002</v>
      </c>
      <c r="F660" t="s">
        <v>50</v>
      </c>
      <c r="G660">
        <v>0.88900000000000001</v>
      </c>
      <c r="H660">
        <v>19.886641964000003</v>
      </c>
      <c r="I660" t="s">
        <v>11</v>
      </c>
      <c r="J660">
        <v>0.111</v>
      </c>
      <c r="K660">
        <v>2.2074172580040003</v>
      </c>
      <c r="L660" t="s">
        <v>32</v>
      </c>
      <c r="M660">
        <v>1.1000000000000001E-2</v>
      </c>
      <c r="N660">
        <v>0.21875306160400004</v>
      </c>
    </row>
    <row r="661" spans="1:14" x14ac:dyDescent="0.25">
      <c r="A661" s="23">
        <v>43758</v>
      </c>
      <c r="B661">
        <v>26.193999999999999</v>
      </c>
      <c r="C661" t="s">
        <v>19</v>
      </c>
      <c r="D661">
        <v>0.85400000000000009</v>
      </c>
      <c r="E661">
        <v>22.369676000000002</v>
      </c>
      <c r="F661" t="s">
        <v>17</v>
      </c>
      <c r="G661">
        <v>0.88900000000000001</v>
      </c>
      <c r="H661">
        <v>19.886641964000003</v>
      </c>
      <c r="I661" t="s">
        <v>12</v>
      </c>
      <c r="J661">
        <v>0.21899999999999997</v>
      </c>
      <c r="K661">
        <v>4.3551745901160004</v>
      </c>
      <c r="L661" t="s">
        <v>33</v>
      </c>
      <c r="M661">
        <v>0.155</v>
      </c>
      <c r="N661">
        <v>3.0824295044200003</v>
      </c>
    </row>
    <row r="662" spans="1:14" x14ac:dyDescent="0.25">
      <c r="A662" s="23">
        <v>43759</v>
      </c>
      <c r="B662">
        <v>26.193999999999999</v>
      </c>
      <c r="C662" t="s">
        <v>19</v>
      </c>
      <c r="D662">
        <v>0.85400000000000009</v>
      </c>
      <c r="E662">
        <v>22.369676000000002</v>
      </c>
      <c r="F662" t="s">
        <v>17</v>
      </c>
      <c r="G662">
        <v>0.88900000000000001</v>
      </c>
      <c r="H662">
        <v>19.886641964000003</v>
      </c>
      <c r="I662" t="s">
        <v>7</v>
      </c>
      <c r="J662">
        <v>6.9999999999999993E-3</v>
      </c>
      <c r="K662">
        <v>0.13920649374800001</v>
      </c>
      <c r="L662" t="s">
        <v>34</v>
      </c>
      <c r="M662">
        <v>0.19500000000000001</v>
      </c>
      <c r="N662">
        <v>3.8778951829800006</v>
      </c>
    </row>
    <row r="663" spans="1:14" x14ac:dyDescent="0.25">
      <c r="A663" s="23">
        <v>43760</v>
      </c>
      <c r="B663">
        <v>26.193999999999999</v>
      </c>
      <c r="C663" t="s">
        <v>19</v>
      </c>
      <c r="D663">
        <v>0.85400000000000009</v>
      </c>
      <c r="E663">
        <v>22.369676000000002</v>
      </c>
      <c r="F663" t="s">
        <v>17</v>
      </c>
      <c r="G663">
        <v>0.88900000000000001</v>
      </c>
      <c r="H663">
        <v>19.886641964000003</v>
      </c>
      <c r="I663" t="s">
        <v>8</v>
      </c>
      <c r="J663">
        <v>0.433</v>
      </c>
      <c r="K663">
        <v>8.6109159704120017</v>
      </c>
      <c r="L663" t="s">
        <v>35</v>
      </c>
      <c r="M663">
        <v>0.29799999999999999</v>
      </c>
      <c r="N663">
        <v>5.9262193052720002</v>
      </c>
    </row>
    <row r="664" spans="1:14" x14ac:dyDescent="0.25">
      <c r="A664" s="23">
        <v>43761</v>
      </c>
      <c r="B664">
        <v>26.193999999999999</v>
      </c>
      <c r="C664" t="s">
        <v>19</v>
      </c>
      <c r="D664">
        <v>0.85400000000000009</v>
      </c>
      <c r="E664">
        <v>22.369676000000002</v>
      </c>
      <c r="F664" t="s">
        <v>17</v>
      </c>
      <c r="G664">
        <v>0.88900000000000001</v>
      </c>
      <c r="H664">
        <v>19.886641964000003</v>
      </c>
      <c r="I664" t="s">
        <v>10</v>
      </c>
      <c r="J664">
        <v>0.04</v>
      </c>
      <c r="K664">
        <v>0.79546567856000017</v>
      </c>
      <c r="L664" t="s">
        <v>36</v>
      </c>
      <c r="M664">
        <v>0.182</v>
      </c>
      <c r="N664">
        <v>5.9262193052720002</v>
      </c>
    </row>
    <row r="665" spans="1:14" x14ac:dyDescent="0.25">
      <c r="A665" s="23">
        <v>43762</v>
      </c>
      <c r="B665">
        <v>26.193999999999999</v>
      </c>
      <c r="C665" t="s">
        <v>19</v>
      </c>
      <c r="D665">
        <v>0.85400000000000009</v>
      </c>
      <c r="E665">
        <v>22.369676000000002</v>
      </c>
      <c r="F665" t="s">
        <v>17</v>
      </c>
      <c r="G665">
        <v>0.88900000000000001</v>
      </c>
      <c r="H665">
        <v>19.886641964000003</v>
      </c>
      <c r="I665" t="s">
        <v>9</v>
      </c>
      <c r="J665">
        <v>0.155</v>
      </c>
      <c r="K665">
        <v>3.0824295044200003</v>
      </c>
      <c r="L665" t="s">
        <v>37</v>
      </c>
      <c r="M665">
        <v>0.14599999999999999</v>
      </c>
      <c r="N665">
        <v>3.6193688374480004</v>
      </c>
    </row>
    <row r="666" spans="1:14" x14ac:dyDescent="0.25">
      <c r="A666" s="23">
        <v>43763</v>
      </c>
      <c r="B666">
        <v>26.193999999999999</v>
      </c>
      <c r="C666" t="s">
        <v>19</v>
      </c>
      <c r="D666">
        <v>0.85400000000000009</v>
      </c>
      <c r="E666">
        <v>22.369676000000002</v>
      </c>
      <c r="F666" t="s">
        <v>17</v>
      </c>
      <c r="G666">
        <v>0.88900000000000001</v>
      </c>
      <c r="H666">
        <v>19.886641964000003</v>
      </c>
      <c r="I666" t="s">
        <v>55</v>
      </c>
      <c r="J666">
        <v>3.5000000000000003E-2</v>
      </c>
      <c r="L666" t="s">
        <v>38</v>
      </c>
      <c r="M666">
        <v>6.9999999999999993E-3</v>
      </c>
      <c r="N666">
        <v>2.9034497267440003</v>
      </c>
    </row>
    <row r="667" spans="1:14" x14ac:dyDescent="0.25">
      <c r="A667" s="23">
        <v>43764</v>
      </c>
      <c r="B667">
        <v>26.193999999999999</v>
      </c>
      <c r="C667" t="s">
        <v>19</v>
      </c>
      <c r="D667">
        <v>0.85400000000000009</v>
      </c>
      <c r="E667">
        <v>22.369676000000002</v>
      </c>
      <c r="F667" t="s">
        <v>17</v>
      </c>
      <c r="G667">
        <v>0.88900000000000001</v>
      </c>
      <c r="H667">
        <v>19.886641964000003</v>
      </c>
      <c r="L667" t="s">
        <v>39</v>
      </c>
      <c r="M667">
        <v>5.0000000000000001E-3</v>
      </c>
      <c r="N667">
        <v>0.13920649374800001</v>
      </c>
    </row>
    <row r="668" spans="1:14" x14ac:dyDescent="0.25">
      <c r="A668" s="23">
        <v>43765</v>
      </c>
      <c r="B668">
        <v>26.193999999999999</v>
      </c>
      <c r="C668" t="s">
        <v>19</v>
      </c>
      <c r="D668">
        <v>0.85400000000000009</v>
      </c>
      <c r="E668">
        <v>22.369676000000002</v>
      </c>
      <c r="F668" t="s">
        <v>49</v>
      </c>
      <c r="G668">
        <v>0.92</v>
      </c>
      <c r="H668">
        <v>20.580101920000004</v>
      </c>
      <c r="I668" t="s">
        <v>11</v>
      </c>
      <c r="J668">
        <v>0.247</v>
      </c>
      <c r="K668">
        <v>5.0832851742400011</v>
      </c>
      <c r="L668" t="s">
        <v>32</v>
      </c>
      <c r="M668">
        <v>8.199999999999999E-2</v>
      </c>
      <c r="N668">
        <v>1.6875683574400002</v>
      </c>
    </row>
    <row r="669" spans="1:14" x14ac:dyDescent="0.25">
      <c r="A669" s="23">
        <v>43766</v>
      </c>
      <c r="B669">
        <v>26.193999999999999</v>
      </c>
      <c r="C669" t="s">
        <v>19</v>
      </c>
      <c r="D669">
        <v>0.85400000000000009</v>
      </c>
      <c r="E669">
        <v>22.369676000000002</v>
      </c>
      <c r="F669" t="s">
        <v>18</v>
      </c>
      <c r="G669">
        <v>0.92</v>
      </c>
      <c r="H669">
        <v>20.580101920000004</v>
      </c>
      <c r="I669" t="s">
        <v>12</v>
      </c>
      <c r="J669">
        <v>0.222</v>
      </c>
      <c r="K669">
        <v>4.5687826262400009</v>
      </c>
      <c r="L669" t="s">
        <v>33</v>
      </c>
      <c r="M669">
        <v>0.13600000000000001</v>
      </c>
      <c r="N669">
        <v>2.7988938611200007</v>
      </c>
    </row>
    <row r="670" spans="1:14" x14ac:dyDescent="0.25">
      <c r="A670" s="23">
        <v>43767</v>
      </c>
      <c r="B670">
        <v>26.193999999999999</v>
      </c>
      <c r="C670" t="s">
        <v>19</v>
      </c>
      <c r="D670">
        <v>0.85400000000000009</v>
      </c>
      <c r="E670">
        <v>22.369676000000002</v>
      </c>
      <c r="F670" t="s">
        <v>18</v>
      </c>
      <c r="G670">
        <v>0.92</v>
      </c>
      <c r="H670">
        <v>20.580101920000004</v>
      </c>
      <c r="I670" t="s">
        <v>7</v>
      </c>
      <c r="J670">
        <v>2.8999999999999998E-2</v>
      </c>
      <c r="K670">
        <v>0.5968229556800001</v>
      </c>
      <c r="L670" t="s">
        <v>34</v>
      </c>
      <c r="M670">
        <v>0.16</v>
      </c>
      <c r="N670">
        <v>3.2928163072000007</v>
      </c>
    </row>
    <row r="671" spans="1:14" x14ac:dyDescent="0.25">
      <c r="A671" s="23">
        <v>43768</v>
      </c>
      <c r="B671">
        <v>26.193999999999999</v>
      </c>
      <c r="C671" t="s">
        <v>19</v>
      </c>
      <c r="D671">
        <v>0.85400000000000009</v>
      </c>
      <c r="E671">
        <v>22.369676000000002</v>
      </c>
      <c r="F671" t="s">
        <v>18</v>
      </c>
      <c r="G671">
        <v>0.92</v>
      </c>
      <c r="H671">
        <v>20.580101920000004</v>
      </c>
      <c r="I671" t="s">
        <v>8</v>
      </c>
      <c r="J671">
        <v>0.36899999999999999</v>
      </c>
      <c r="K671">
        <v>7.5940576084800018</v>
      </c>
      <c r="L671" t="s">
        <v>35</v>
      </c>
      <c r="M671">
        <v>0.23300000000000001</v>
      </c>
      <c r="N671">
        <v>4.7951637473600011</v>
      </c>
    </row>
    <row r="672" spans="1:14" x14ac:dyDescent="0.25">
      <c r="A672" s="23">
        <v>43769</v>
      </c>
      <c r="B672">
        <v>26.193999999999999</v>
      </c>
      <c r="C672" t="s">
        <v>19</v>
      </c>
      <c r="D672">
        <v>0.85400000000000009</v>
      </c>
      <c r="E672">
        <v>22.369676000000002</v>
      </c>
      <c r="F672" t="s">
        <v>18</v>
      </c>
      <c r="G672">
        <v>0.92</v>
      </c>
      <c r="H672">
        <v>20.580101920000004</v>
      </c>
      <c r="I672" t="s">
        <v>10</v>
      </c>
      <c r="J672">
        <v>2.4E-2</v>
      </c>
      <c r="K672">
        <v>0.49392244608000013</v>
      </c>
      <c r="L672" t="s">
        <v>36</v>
      </c>
      <c r="M672">
        <v>0.19600000000000001</v>
      </c>
      <c r="N672">
        <v>4.0336999763200012</v>
      </c>
    </row>
    <row r="673" spans="1:14" x14ac:dyDescent="0.25">
      <c r="A673" s="23">
        <v>43770</v>
      </c>
      <c r="B673">
        <v>26.193999999999999</v>
      </c>
      <c r="C673" t="s">
        <v>19</v>
      </c>
      <c r="D673">
        <v>0.85400000000000009</v>
      </c>
      <c r="E673">
        <v>22.369676000000002</v>
      </c>
      <c r="F673" t="s">
        <v>18</v>
      </c>
      <c r="G673">
        <v>0.92</v>
      </c>
      <c r="H673">
        <v>20.580101920000004</v>
      </c>
      <c r="I673" t="s">
        <v>9</v>
      </c>
      <c r="J673">
        <v>8.4000000000000005E-2</v>
      </c>
      <c r="K673">
        <v>1.7287285612800005</v>
      </c>
      <c r="L673" t="s">
        <v>37</v>
      </c>
      <c r="M673">
        <v>0.14000000000000001</v>
      </c>
      <c r="N673">
        <v>2.8812142688000009</v>
      </c>
    </row>
    <row r="674" spans="1:14" x14ac:dyDescent="0.25">
      <c r="A674" s="23">
        <v>43771</v>
      </c>
      <c r="B674">
        <v>26.193999999999999</v>
      </c>
      <c r="C674" t="s">
        <v>19</v>
      </c>
      <c r="D674">
        <v>0.85400000000000009</v>
      </c>
      <c r="E674">
        <v>22.369676000000002</v>
      </c>
      <c r="F674" t="s">
        <v>18</v>
      </c>
      <c r="G674">
        <v>0.92</v>
      </c>
      <c r="H674">
        <v>20.580101920000004</v>
      </c>
      <c r="I674" t="s">
        <v>55</v>
      </c>
      <c r="J674">
        <v>2.4E-2</v>
      </c>
      <c r="L674" t="s">
        <v>38</v>
      </c>
      <c r="M674">
        <v>3.2000000000000001E-2</v>
      </c>
      <c r="N674">
        <v>0.6585632614400001</v>
      </c>
    </row>
    <row r="675" spans="1:14" x14ac:dyDescent="0.25">
      <c r="A675" s="23">
        <v>43772</v>
      </c>
      <c r="B675">
        <v>26.193999999999999</v>
      </c>
      <c r="C675" t="s">
        <v>19</v>
      </c>
      <c r="D675">
        <v>0.85400000000000009</v>
      </c>
      <c r="E675">
        <v>22.369676000000002</v>
      </c>
      <c r="F675" t="s">
        <v>18</v>
      </c>
      <c r="G675">
        <v>0.92</v>
      </c>
      <c r="H675">
        <v>20.580101920000004</v>
      </c>
      <c r="L675" t="s">
        <v>39</v>
      </c>
      <c r="M675">
        <v>2.1000000000000001E-2</v>
      </c>
      <c r="N675">
        <v>0.43218214032000013</v>
      </c>
    </row>
    <row r="676" spans="1:14" x14ac:dyDescent="0.25">
      <c r="A676" s="23">
        <v>43773</v>
      </c>
      <c r="B676">
        <v>26.620999999999999</v>
      </c>
      <c r="C676" t="s">
        <v>2</v>
      </c>
      <c r="D676">
        <v>0.154</v>
      </c>
      <c r="E676">
        <v>4.099634</v>
      </c>
      <c r="F676" t="s">
        <v>14</v>
      </c>
      <c r="G676">
        <v>0.185</v>
      </c>
      <c r="H676">
        <v>0.75843229000000001</v>
      </c>
      <c r="I676" t="s">
        <v>11</v>
      </c>
      <c r="J676">
        <v>0.109</v>
      </c>
      <c r="K676">
        <v>8.2669119609999994E-2</v>
      </c>
      <c r="L676" t="s">
        <v>32</v>
      </c>
      <c r="M676">
        <v>4.0999999999999995E-2</v>
      </c>
      <c r="N676">
        <v>3.1095723889999996E-2</v>
      </c>
    </row>
    <row r="677" spans="1:14" x14ac:dyDescent="0.25">
      <c r="A677" s="23">
        <v>43774</v>
      </c>
      <c r="B677">
        <v>26.620999999999999</v>
      </c>
      <c r="C677" t="s">
        <v>2</v>
      </c>
      <c r="D677">
        <v>0.154</v>
      </c>
      <c r="E677">
        <v>4.099634</v>
      </c>
      <c r="F677" t="s">
        <v>43</v>
      </c>
      <c r="G677">
        <v>0.185</v>
      </c>
      <c r="H677">
        <v>0.75843229000000001</v>
      </c>
      <c r="I677" t="s">
        <v>12</v>
      </c>
      <c r="J677">
        <v>0.125</v>
      </c>
      <c r="K677">
        <v>9.4804036250000001E-2</v>
      </c>
      <c r="L677" t="s">
        <v>33</v>
      </c>
      <c r="M677">
        <v>7.8E-2</v>
      </c>
      <c r="N677">
        <v>5.9157718620000001E-2</v>
      </c>
    </row>
    <row r="678" spans="1:14" x14ac:dyDescent="0.25">
      <c r="A678" s="23">
        <v>43775</v>
      </c>
      <c r="B678">
        <v>26.620999999999999</v>
      </c>
      <c r="C678" t="s">
        <v>2</v>
      </c>
      <c r="D678">
        <v>0.154</v>
      </c>
      <c r="E678">
        <v>4.099634</v>
      </c>
      <c r="F678" t="s">
        <v>14</v>
      </c>
      <c r="G678">
        <v>0.185</v>
      </c>
      <c r="H678">
        <v>0.75843229000000001</v>
      </c>
      <c r="I678" t="s">
        <v>7</v>
      </c>
      <c r="J678">
        <v>8.0000000000000002E-3</v>
      </c>
      <c r="K678">
        <v>6.06745832E-3</v>
      </c>
      <c r="L678" t="s">
        <v>34</v>
      </c>
      <c r="M678">
        <v>0.14099999999999999</v>
      </c>
      <c r="N678">
        <v>0.10693895288999999</v>
      </c>
    </row>
    <row r="679" spans="1:14" x14ac:dyDescent="0.25">
      <c r="A679" s="23">
        <v>43776</v>
      </c>
      <c r="B679">
        <v>26.620999999999999</v>
      </c>
      <c r="C679" t="s">
        <v>2</v>
      </c>
      <c r="D679">
        <v>0.154</v>
      </c>
      <c r="E679">
        <v>4.099634</v>
      </c>
      <c r="F679" t="s">
        <v>14</v>
      </c>
      <c r="G679">
        <v>0.185</v>
      </c>
      <c r="H679">
        <v>0.75843229000000001</v>
      </c>
      <c r="I679" t="s">
        <v>8</v>
      </c>
      <c r="J679">
        <v>0.317</v>
      </c>
      <c r="K679">
        <v>0.24042303593</v>
      </c>
      <c r="L679" t="s">
        <v>35</v>
      </c>
      <c r="M679">
        <v>0.23</v>
      </c>
      <c r="N679">
        <v>0.17443942670000001</v>
      </c>
    </row>
    <row r="680" spans="1:14" x14ac:dyDescent="0.25">
      <c r="A680" s="23">
        <v>43777</v>
      </c>
      <c r="B680">
        <v>26.620999999999999</v>
      </c>
      <c r="C680" t="s">
        <v>2</v>
      </c>
      <c r="D680">
        <v>0.154</v>
      </c>
      <c r="E680">
        <v>4.099634</v>
      </c>
      <c r="F680" t="s">
        <v>14</v>
      </c>
      <c r="G680">
        <v>0.185</v>
      </c>
      <c r="H680">
        <v>0.75843229000000001</v>
      </c>
      <c r="I680" t="s">
        <v>10</v>
      </c>
      <c r="J680">
        <v>5.9000000000000004E-2</v>
      </c>
      <c r="K680">
        <v>4.4747505110000002E-2</v>
      </c>
      <c r="L680" t="s">
        <v>36</v>
      </c>
      <c r="M680">
        <v>0.245</v>
      </c>
      <c r="N680" t="e">
        <v>#REF!</v>
      </c>
    </row>
    <row r="681" spans="1:14" x14ac:dyDescent="0.25">
      <c r="A681" s="23">
        <v>43778</v>
      </c>
      <c r="B681">
        <v>26.620999999999999</v>
      </c>
      <c r="C681" t="s">
        <v>2</v>
      </c>
      <c r="D681">
        <v>0.154</v>
      </c>
      <c r="E681">
        <v>4.099634</v>
      </c>
      <c r="F681" t="s">
        <v>14</v>
      </c>
      <c r="G681">
        <v>0.185</v>
      </c>
      <c r="H681">
        <v>0.75843229000000001</v>
      </c>
      <c r="I681" t="s">
        <v>9</v>
      </c>
      <c r="J681">
        <v>0.379</v>
      </c>
      <c r="K681">
        <v>0.28744583791</v>
      </c>
      <c r="L681" t="s">
        <v>37</v>
      </c>
      <c r="M681">
        <v>0.23800000000000002</v>
      </c>
      <c r="N681">
        <v>0.18581591105</v>
      </c>
    </row>
    <row r="682" spans="1:14" x14ac:dyDescent="0.25">
      <c r="A682" s="23">
        <v>43779</v>
      </c>
      <c r="B682">
        <v>26.620999999999999</v>
      </c>
      <c r="C682" t="s">
        <v>2</v>
      </c>
      <c r="D682">
        <v>0.154</v>
      </c>
      <c r="E682">
        <v>4.099634</v>
      </c>
      <c r="F682" t="s">
        <v>14</v>
      </c>
      <c r="G682">
        <v>0.185</v>
      </c>
      <c r="H682">
        <v>0.75843229000000001</v>
      </c>
      <c r="I682" t="s">
        <v>55</v>
      </c>
      <c r="J682">
        <v>3.0000000000000001E-3</v>
      </c>
      <c r="K682">
        <v>2.27529687E-3</v>
      </c>
      <c r="L682" t="s">
        <v>38</v>
      </c>
      <c r="M682">
        <v>1.7000000000000001E-2</v>
      </c>
      <c r="N682">
        <v>1.2893348930000001E-2</v>
      </c>
    </row>
    <row r="683" spans="1:14" x14ac:dyDescent="0.25">
      <c r="A683" s="23">
        <v>43780</v>
      </c>
      <c r="B683">
        <v>26.620999999999999</v>
      </c>
      <c r="C683" t="s">
        <v>2</v>
      </c>
      <c r="D683">
        <v>0.154</v>
      </c>
      <c r="E683">
        <v>4.099634</v>
      </c>
      <c r="F683" t="s">
        <v>14</v>
      </c>
      <c r="G683">
        <v>0.185</v>
      </c>
      <c r="H683">
        <v>0.75843229000000001</v>
      </c>
      <c r="L683" t="s">
        <v>39</v>
      </c>
      <c r="M683">
        <v>1.1000000000000001E-2</v>
      </c>
      <c r="N683">
        <v>8.3427551900000004E-3</v>
      </c>
    </row>
    <row r="684" spans="1:14" x14ac:dyDescent="0.25">
      <c r="A684" s="23">
        <v>43781</v>
      </c>
      <c r="B684">
        <v>26.620999999999999</v>
      </c>
      <c r="C684" t="s">
        <v>2</v>
      </c>
      <c r="D684">
        <v>0.154</v>
      </c>
      <c r="E684">
        <v>4.099634</v>
      </c>
      <c r="F684" t="s">
        <v>44</v>
      </c>
      <c r="G684">
        <v>0.10800000000000001</v>
      </c>
      <c r="H684">
        <v>0.44276047200000007</v>
      </c>
      <c r="I684" t="s">
        <v>11</v>
      </c>
      <c r="J684">
        <v>2.7000000000000003E-2</v>
      </c>
      <c r="K684">
        <v>1.1954532744000003E-2</v>
      </c>
      <c r="L684" t="s">
        <v>32</v>
      </c>
      <c r="M684">
        <v>0</v>
      </c>
      <c r="N684">
        <v>0</v>
      </c>
    </row>
    <row r="685" spans="1:14" x14ac:dyDescent="0.25">
      <c r="A685" s="23">
        <v>43782</v>
      </c>
      <c r="B685">
        <v>26.620999999999999</v>
      </c>
      <c r="C685" t="s">
        <v>2</v>
      </c>
      <c r="D685">
        <v>0.154</v>
      </c>
      <c r="E685">
        <v>4.099634</v>
      </c>
      <c r="F685" t="s">
        <v>15</v>
      </c>
      <c r="G685">
        <v>0.10800000000000001</v>
      </c>
      <c r="H685">
        <v>0.44276047200000007</v>
      </c>
      <c r="I685" t="s">
        <v>12</v>
      </c>
      <c r="J685">
        <v>3.4000000000000002E-2</v>
      </c>
      <c r="K685">
        <v>1.5053856048000004E-2</v>
      </c>
      <c r="L685" t="s">
        <v>33</v>
      </c>
      <c r="M685">
        <v>0</v>
      </c>
      <c r="N685">
        <v>0</v>
      </c>
    </row>
    <row r="686" spans="1:14" x14ac:dyDescent="0.25">
      <c r="A686" s="23">
        <v>43783</v>
      </c>
      <c r="B686">
        <v>26.620999999999999</v>
      </c>
      <c r="C686" t="s">
        <v>2</v>
      </c>
      <c r="D686">
        <v>0.154</v>
      </c>
      <c r="E686">
        <v>4.099634</v>
      </c>
      <c r="F686" t="s">
        <v>15</v>
      </c>
      <c r="G686">
        <v>0.10800000000000001</v>
      </c>
      <c r="H686">
        <v>0.44276047200000007</v>
      </c>
      <c r="I686" t="s">
        <v>7</v>
      </c>
      <c r="J686">
        <v>2.3E-2</v>
      </c>
      <c r="K686">
        <v>1.0183490856000002E-2</v>
      </c>
      <c r="L686" t="s">
        <v>34</v>
      </c>
      <c r="M686">
        <v>0.153</v>
      </c>
      <c r="N686">
        <v>6.7742352216000015E-2</v>
      </c>
    </row>
    <row r="687" spans="1:14" x14ac:dyDescent="0.25">
      <c r="A687" s="23">
        <v>43784</v>
      </c>
      <c r="B687">
        <v>26.620999999999999</v>
      </c>
      <c r="C687" t="s">
        <v>2</v>
      </c>
      <c r="D687">
        <v>0.154</v>
      </c>
      <c r="E687">
        <v>4.099634</v>
      </c>
      <c r="F687" t="s">
        <v>15</v>
      </c>
      <c r="G687">
        <v>0.10800000000000001</v>
      </c>
      <c r="H687">
        <v>0.44276047200000007</v>
      </c>
      <c r="I687" t="s">
        <v>8</v>
      </c>
      <c r="J687">
        <v>0.30499999999999999</v>
      </c>
      <c r="K687">
        <v>0.13504194396000002</v>
      </c>
      <c r="L687" t="s">
        <v>35</v>
      </c>
      <c r="M687">
        <v>0.34899999999999998</v>
      </c>
      <c r="N687">
        <v>0.15452340472800002</v>
      </c>
    </row>
    <row r="688" spans="1:14" x14ac:dyDescent="0.25">
      <c r="A688" s="23">
        <v>43785</v>
      </c>
      <c r="B688">
        <v>26.620999999999999</v>
      </c>
      <c r="C688" t="s">
        <v>2</v>
      </c>
      <c r="D688">
        <v>0.154</v>
      </c>
      <c r="E688">
        <v>4.099634</v>
      </c>
      <c r="F688" t="s">
        <v>15</v>
      </c>
      <c r="G688">
        <v>0.10800000000000001</v>
      </c>
      <c r="H688">
        <v>0.44276047200000007</v>
      </c>
      <c r="I688" t="s">
        <v>10</v>
      </c>
      <c r="J688">
        <v>7.2999999999999995E-2</v>
      </c>
      <c r="K688">
        <v>3.2321514456000004E-2</v>
      </c>
      <c r="L688" t="s">
        <v>36</v>
      </c>
      <c r="M688">
        <v>0.27</v>
      </c>
      <c r="N688">
        <v>0.11954532744000003</v>
      </c>
    </row>
    <row r="689" spans="1:14" x14ac:dyDescent="0.25">
      <c r="A689" s="23">
        <v>43786</v>
      </c>
      <c r="B689">
        <v>26.620999999999999</v>
      </c>
      <c r="C689" t="s">
        <v>2</v>
      </c>
      <c r="D689">
        <v>0.154</v>
      </c>
      <c r="E689">
        <v>4.099634</v>
      </c>
      <c r="F689" t="s">
        <v>15</v>
      </c>
      <c r="G689">
        <v>0.10800000000000001</v>
      </c>
      <c r="H689">
        <v>0.44276047200000007</v>
      </c>
      <c r="I689" t="s">
        <v>9</v>
      </c>
      <c r="J689">
        <v>0.53700000000000003</v>
      </c>
      <c r="K689">
        <v>0.23776237346400006</v>
      </c>
      <c r="L689" t="s">
        <v>37</v>
      </c>
      <c r="M689">
        <v>0.22800000000000001</v>
      </c>
      <c r="N689">
        <v>0.10094938761600002</v>
      </c>
    </row>
    <row r="690" spans="1:14" x14ac:dyDescent="0.25">
      <c r="A690" s="23">
        <v>43787</v>
      </c>
      <c r="B690">
        <v>26.620999999999999</v>
      </c>
      <c r="C690" t="s">
        <v>2</v>
      </c>
      <c r="D690">
        <v>0.154</v>
      </c>
      <c r="E690">
        <v>4.099634</v>
      </c>
      <c r="F690" t="s">
        <v>15</v>
      </c>
      <c r="G690">
        <v>0.10800000000000001</v>
      </c>
      <c r="H690">
        <v>0.44276047200000007</v>
      </c>
      <c r="I690" t="s">
        <v>55</v>
      </c>
      <c r="J690">
        <v>0</v>
      </c>
      <c r="K690">
        <v>0</v>
      </c>
      <c r="L690" t="s">
        <v>38</v>
      </c>
      <c r="M690">
        <v>0</v>
      </c>
      <c r="N690">
        <v>0</v>
      </c>
    </row>
    <row r="691" spans="1:14" x14ac:dyDescent="0.25">
      <c r="A691" s="23">
        <v>43788</v>
      </c>
      <c r="B691">
        <v>26.620999999999999</v>
      </c>
      <c r="C691" t="s">
        <v>2</v>
      </c>
      <c r="D691">
        <v>0.154</v>
      </c>
      <c r="E691">
        <v>4.099634</v>
      </c>
      <c r="F691" t="s">
        <v>15</v>
      </c>
      <c r="G691">
        <v>0.10800000000000001</v>
      </c>
      <c r="H691">
        <v>0.44276047200000007</v>
      </c>
      <c r="J691" t="s">
        <v>56</v>
      </c>
      <c r="L691" t="s">
        <v>39</v>
      </c>
      <c r="M691">
        <v>0</v>
      </c>
      <c r="N691">
        <v>0</v>
      </c>
    </row>
    <row r="692" spans="1:14" x14ac:dyDescent="0.25">
      <c r="A692" s="23">
        <v>43789</v>
      </c>
      <c r="B692">
        <v>26.620999999999999</v>
      </c>
      <c r="C692" t="s">
        <v>2</v>
      </c>
      <c r="D692">
        <v>0.154</v>
      </c>
      <c r="E692">
        <v>4.099634</v>
      </c>
      <c r="F692" t="s">
        <v>45</v>
      </c>
      <c r="G692">
        <v>0.14599999999999999</v>
      </c>
      <c r="H692">
        <v>0.59854656399999995</v>
      </c>
      <c r="I692" t="s">
        <v>11</v>
      </c>
      <c r="J692">
        <v>0.10800000000000001</v>
      </c>
      <c r="K692">
        <v>6.4643028912000008E-2</v>
      </c>
      <c r="L692" t="s">
        <v>32</v>
      </c>
      <c r="M692">
        <v>0.03</v>
      </c>
      <c r="N692">
        <v>1.7956396919999999E-2</v>
      </c>
    </row>
    <row r="693" spans="1:14" x14ac:dyDescent="0.25">
      <c r="A693" s="23">
        <v>43790</v>
      </c>
      <c r="B693">
        <v>26.620999999999999</v>
      </c>
      <c r="C693" t="s">
        <v>2</v>
      </c>
      <c r="D693">
        <v>0.154</v>
      </c>
      <c r="E693">
        <v>4.099634</v>
      </c>
      <c r="F693" t="s">
        <v>16</v>
      </c>
      <c r="G693">
        <v>0.14599999999999999</v>
      </c>
      <c r="H693">
        <v>0.59854656399999995</v>
      </c>
      <c r="I693" t="s">
        <v>12</v>
      </c>
      <c r="J693">
        <v>8.6999999999999994E-2</v>
      </c>
      <c r="K693">
        <v>5.207355106799999E-2</v>
      </c>
      <c r="L693" t="s">
        <v>33</v>
      </c>
      <c r="M693">
        <v>0.14099999999999999</v>
      </c>
      <c r="N693">
        <v>8.4395065523999988E-2</v>
      </c>
    </row>
    <row r="694" spans="1:14" x14ac:dyDescent="0.25">
      <c r="A694" s="23">
        <v>43791</v>
      </c>
      <c r="B694">
        <v>26.620999999999999</v>
      </c>
      <c r="C694" t="s">
        <v>2</v>
      </c>
      <c r="D694">
        <v>0.154</v>
      </c>
      <c r="E694">
        <v>4.099634</v>
      </c>
      <c r="F694" t="s">
        <v>16</v>
      </c>
      <c r="G694">
        <v>0.14599999999999999</v>
      </c>
      <c r="H694">
        <v>0.59854656399999995</v>
      </c>
      <c r="I694" t="s">
        <v>7</v>
      </c>
      <c r="J694">
        <v>0</v>
      </c>
      <c r="K694">
        <v>0</v>
      </c>
      <c r="L694" t="s">
        <v>34</v>
      </c>
      <c r="M694">
        <v>0.17800000000000002</v>
      </c>
      <c r="N694">
        <v>0.106541288392</v>
      </c>
    </row>
    <row r="695" spans="1:14" x14ac:dyDescent="0.25">
      <c r="A695" s="23">
        <v>43792</v>
      </c>
      <c r="B695">
        <v>26.620999999999999</v>
      </c>
      <c r="C695" t="s">
        <v>2</v>
      </c>
      <c r="D695">
        <v>0.154</v>
      </c>
      <c r="E695">
        <v>4.099634</v>
      </c>
      <c r="F695" t="s">
        <v>16</v>
      </c>
      <c r="G695">
        <v>0.14599999999999999</v>
      </c>
      <c r="H695">
        <v>0.59854656399999995</v>
      </c>
      <c r="I695" t="s">
        <v>8</v>
      </c>
      <c r="J695">
        <v>0.25900000000000001</v>
      </c>
      <c r="K695">
        <v>0.15502356007599999</v>
      </c>
      <c r="L695" t="s">
        <v>35</v>
      </c>
      <c r="M695">
        <v>0.218</v>
      </c>
      <c r="N695">
        <v>0.130483150952</v>
      </c>
    </row>
    <row r="696" spans="1:14" x14ac:dyDescent="0.25">
      <c r="A696" s="23">
        <v>43793</v>
      </c>
      <c r="B696">
        <v>26.620999999999999</v>
      </c>
      <c r="C696" t="s">
        <v>2</v>
      </c>
      <c r="D696">
        <v>0.154</v>
      </c>
      <c r="E696">
        <v>4.099634</v>
      </c>
      <c r="F696" t="s">
        <v>16</v>
      </c>
      <c r="G696">
        <v>0.14599999999999999</v>
      </c>
      <c r="H696">
        <v>0.59854656399999995</v>
      </c>
      <c r="I696" t="s">
        <v>10</v>
      </c>
      <c r="J696">
        <v>5.7000000000000002E-2</v>
      </c>
      <c r="K696">
        <v>3.4117154147999998E-2</v>
      </c>
      <c r="L696" t="s">
        <v>36</v>
      </c>
      <c r="M696">
        <v>0.23399999999999999</v>
      </c>
      <c r="N696">
        <v>0.14005989597599999</v>
      </c>
    </row>
    <row r="697" spans="1:14" x14ac:dyDescent="0.25">
      <c r="A697" s="23">
        <v>43794</v>
      </c>
      <c r="B697">
        <v>26.620999999999999</v>
      </c>
      <c r="C697" t="s">
        <v>2</v>
      </c>
      <c r="D697">
        <v>0.154</v>
      </c>
      <c r="E697">
        <v>4.099634</v>
      </c>
      <c r="F697" t="s">
        <v>16</v>
      </c>
      <c r="G697">
        <v>0.14599999999999999</v>
      </c>
      <c r="H697">
        <v>0.59854656399999995</v>
      </c>
      <c r="I697" t="s">
        <v>9</v>
      </c>
      <c r="J697">
        <v>0.47100000000000003</v>
      </c>
      <c r="K697">
        <v>0.28191543164400001</v>
      </c>
      <c r="L697" t="s">
        <v>37</v>
      </c>
      <c r="M697">
        <v>0.182</v>
      </c>
      <c r="N697">
        <v>0.10893547464799999</v>
      </c>
    </row>
    <row r="698" spans="1:14" x14ac:dyDescent="0.25">
      <c r="A698" s="23">
        <v>43795</v>
      </c>
      <c r="B698">
        <v>26.620999999999999</v>
      </c>
      <c r="C698" t="s">
        <v>2</v>
      </c>
      <c r="D698">
        <v>0.154</v>
      </c>
      <c r="E698">
        <v>4.099634</v>
      </c>
      <c r="F698" t="s">
        <v>16</v>
      </c>
      <c r="G698">
        <v>0.14599999999999999</v>
      </c>
      <c r="H698">
        <v>0.59854656399999995</v>
      </c>
      <c r="I698" t="s">
        <v>55</v>
      </c>
      <c r="J698">
        <v>1.8000000000000002E-2</v>
      </c>
      <c r="K698">
        <v>1.0773838152E-2</v>
      </c>
      <c r="L698" t="s">
        <v>38</v>
      </c>
      <c r="M698">
        <v>5.0000000000000001E-3</v>
      </c>
      <c r="N698">
        <v>2.9927328199999999E-3</v>
      </c>
    </row>
    <row r="699" spans="1:14" x14ac:dyDescent="0.25">
      <c r="A699" s="23">
        <v>43796</v>
      </c>
      <c r="B699">
        <v>26.620999999999999</v>
      </c>
      <c r="C699" t="s">
        <v>2</v>
      </c>
      <c r="D699">
        <v>0.154</v>
      </c>
      <c r="E699">
        <v>4.099634</v>
      </c>
      <c r="F699" t="s">
        <v>16</v>
      </c>
      <c r="G699">
        <v>0.14599999999999999</v>
      </c>
      <c r="H699">
        <v>0.59854656399999995</v>
      </c>
      <c r="L699" t="s">
        <v>39</v>
      </c>
      <c r="M699">
        <v>1.3000000000000001E-2</v>
      </c>
      <c r="N699">
        <v>7.7811053320000004E-3</v>
      </c>
    </row>
    <row r="700" spans="1:14" x14ac:dyDescent="0.25">
      <c r="A700" s="23">
        <v>43797</v>
      </c>
      <c r="B700">
        <v>26.620999999999999</v>
      </c>
      <c r="C700" t="s">
        <v>2</v>
      </c>
      <c r="D700">
        <v>0.154</v>
      </c>
      <c r="E700">
        <v>4.099634</v>
      </c>
      <c r="F700" t="s">
        <v>46</v>
      </c>
      <c r="G700">
        <v>0.19699999999999998</v>
      </c>
      <c r="H700">
        <v>0.8076278979999999</v>
      </c>
      <c r="I700" t="s">
        <v>11</v>
      </c>
      <c r="J700">
        <v>0.314</v>
      </c>
      <c r="K700">
        <v>0.25359515997199999</v>
      </c>
      <c r="L700" t="s">
        <v>32</v>
      </c>
      <c r="M700">
        <v>3.5000000000000003E-2</v>
      </c>
      <c r="N700">
        <v>2.826697643E-2</v>
      </c>
    </row>
    <row r="701" spans="1:14" x14ac:dyDescent="0.25">
      <c r="A701" s="23">
        <v>43798</v>
      </c>
      <c r="B701">
        <v>26.620999999999999</v>
      </c>
      <c r="C701" t="s">
        <v>2</v>
      </c>
      <c r="D701">
        <v>0.154</v>
      </c>
      <c r="E701">
        <v>4.099634</v>
      </c>
      <c r="F701" t="s">
        <v>13</v>
      </c>
      <c r="G701">
        <v>0.19699999999999998</v>
      </c>
      <c r="H701">
        <v>0.8076278979999999</v>
      </c>
      <c r="I701" t="s">
        <v>12</v>
      </c>
      <c r="J701">
        <v>0.13100000000000001</v>
      </c>
      <c r="K701">
        <v>0.105799254638</v>
      </c>
      <c r="L701" t="s">
        <v>33</v>
      </c>
      <c r="M701">
        <v>8.4000000000000005E-2</v>
      </c>
      <c r="N701">
        <v>6.7840743432E-2</v>
      </c>
    </row>
    <row r="702" spans="1:14" x14ac:dyDescent="0.25">
      <c r="A702" s="23">
        <v>43799</v>
      </c>
      <c r="B702">
        <v>26.620999999999999</v>
      </c>
      <c r="C702" t="s">
        <v>2</v>
      </c>
      <c r="D702">
        <v>0.154</v>
      </c>
      <c r="E702">
        <v>4.099634</v>
      </c>
      <c r="F702" t="s">
        <v>13</v>
      </c>
      <c r="G702">
        <v>0.19699999999999998</v>
      </c>
      <c r="H702">
        <v>0.8076278979999999</v>
      </c>
      <c r="I702" t="s">
        <v>7</v>
      </c>
      <c r="J702">
        <v>1.3999999999999999E-2</v>
      </c>
      <c r="K702">
        <v>1.1306790571999997E-2</v>
      </c>
      <c r="L702" t="s">
        <v>34</v>
      </c>
      <c r="M702">
        <v>0.13600000000000001</v>
      </c>
      <c r="N702">
        <v>0.10983739412799999</v>
      </c>
    </row>
    <row r="703" spans="1:14" x14ac:dyDescent="0.25">
      <c r="A703" s="23">
        <v>43800</v>
      </c>
      <c r="B703">
        <v>26.620999999999999</v>
      </c>
      <c r="C703" t="s">
        <v>2</v>
      </c>
      <c r="D703">
        <v>0.154</v>
      </c>
      <c r="E703">
        <v>4.099634</v>
      </c>
      <c r="F703" t="s">
        <v>13</v>
      </c>
      <c r="G703">
        <v>0.19699999999999998</v>
      </c>
      <c r="H703">
        <v>0.8076278979999999</v>
      </c>
      <c r="I703" t="s">
        <v>8</v>
      </c>
      <c r="J703">
        <v>0.30399999999999999</v>
      </c>
      <c r="K703">
        <v>0.24551888099199998</v>
      </c>
      <c r="L703" t="s">
        <v>35</v>
      </c>
      <c r="M703">
        <v>0.28000000000000003</v>
      </c>
      <c r="N703">
        <v>0.22613581144</v>
      </c>
    </row>
    <row r="704" spans="1:14" x14ac:dyDescent="0.25">
      <c r="A704" s="23">
        <v>43801</v>
      </c>
      <c r="B704">
        <v>26.620999999999999</v>
      </c>
      <c r="C704" t="s">
        <v>2</v>
      </c>
      <c r="D704">
        <v>0.154</v>
      </c>
      <c r="E704">
        <v>4.099634</v>
      </c>
      <c r="F704" t="s">
        <v>13</v>
      </c>
      <c r="G704">
        <v>0.19699999999999998</v>
      </c>
      <c r="H704">
        <v>0.8076278979999999</v>
      </c>
      <c r="I704" t="s">
        <v>10</v>
      </c>
      <c r="J704">
        <v>3.7999999999999999E-2</v>
      </c>
      <c r="K704">
        <v>3.0689860123999997E-2</v>
      </c>
      <c r="L704" t="s">
        <v>36</v>
      </c>
      <c r="M704">
        <v>0.25</v>
      </c>
      <c r="N704" t="e">
        <v>#REF!</v>
      </c>
    </row>
    <row r="705" spans="1:14" x14ac:dyDescent="0.25">
      <c r="A705" s="23">
        <v>43802</v>
      </c>
      <c r="B705">
        <v>26.620999999999999</v>
      </c>
      <c r="C705" t="s">
        <v>2</v>
      </c>
      <c r="D705">
        <v>0.154</v>
      </c>
      <c r="E705">
        <v>4.099634</v>
      </c>
      <c r="F705" t="s">
        <v>13</v>
      </c>
      <c r="G705">
        <v>0.19699999999999998</v>
      </c>
      <c r="H705">
        <v>0.8076278979999999</v>
      </c>
      <c r="I705" t="s">
        <v>9</v>
      </c>
      <c r="J705">
        <v>0.19</v>
      </c>
      <c r="K705">
        <v>0.15344930061999998</v>
      </c>
      <c r="L705" t="s">
        <v>37</v>
      </c>
      <c r="M705">
        <v>0.17899999999999999</v>
      </c>
      <c r="N705">
        <v>0.20190697449999997</v>
      </c>
    </row>
    <row r="706" spans="1:14" x14ac:dyDescent="0.25">
      <c r="A706" s="23">
        <v>43803</v>
      </c>
      <c r="B706">
        <v>26.620999999999999</v>
      </c>
      <c r="C706" t="s">
        <v>2</v>
      </c>
      <c r="D706">
        <v>0.154</v>
      </c>
      <c r="E706">
        <v>4.099634</v>
      </c>
      <c r="F706" t="s">
        <v>13</v>
      </c>
      <c r="G706">
        <v>0.19699999999999998</v>
      </c>
      <c r="H706">
        <v>0.8076278979999999</v>
      </c>
      <c r="I706" t="s">
        <v>55</v>
      </c>
      <c r="J706">
        <v>9.0000000000000011E-3</v>
      </c>
      <c r="L706" t="s">
        <v>38</v>
      </c>
      <c r="M706">
        <v>2.5000000000000001E-2</v>
      </c>
      <c r="N706">
        <v>0.14456539374199998</v>
      </c>
    </row>
    <row r="707" spans="1:14" x14ac:dyDescent="0.25">
      <c r="A707" s="23">
        <v>43804</v>
      </c>
      <c r="B707">
        <v>26.620999999999999</v>
      </c>
      <c r="C707" t="s">
        <v>2</v>
      </c>
      <c r="D707">
        <v>0.154</v>
      </c>
      <c r="E707">
        <v>4.099634</v>
      </c>
      <c r="F707" t="s">
        <v>13</v>
      </c>
      <c r="G707">
        <v>0.19699999999999998</v>
      </c>
      <c r="H707">
        <v>0.8076278979999999</v>
      </c>
      <c r="L707" t="s">
        <v>39</v>
      </c>
      <c r="M707">
        <v>1.1000000000000001E-2</v>
      </c>
      <c r="N707">
        <v>2.019069745E-2</v>
      </c>
    </row>
    <row r="708" spans="1:14" x14ac:dyDescent="0.25">
      <c r="A708" s="23">
        <v>43805</v>
      </c>
      <c r="B708">
        <v>26.620999999999999</v>
      </c>
      <c r="C708" t="s">
        <v>2</v>
      </c>
      <c r="D708">
        <v>0.154</v>
      </c>
      <c r="E708">
        <v>4.099634</v>
      </c>
      <c r="F708" t="s">
        <v>47</v>
      </c>
      <c r="G708">
        <v>0.109</v>
      </c>
      <c r="H708">
        <v>0.44686010599999998</v>
      </c>
      <c r="I708" t="s">
        <v>11</v>
      </c>
      <c r="J708">
        <v>0</v>
      </c>
      <c r="K708">
        <v>0</v>
      </c>
      <c r="L708" t="s">
        <v>32</v>
      </c>
      <c r="M708">
        <v>0</v>
      </c>
      <c r="N708">
        <v>0</v>
      </c>
    </row>
    <row r="709" spans="1:14" x14ac:dyDescent="0.25">
      <c r="A709" s="23">
        <v>43806</v>
      </c>
      <c r="B709">
        <v>26.620999999999999</v>
      </c>
      <c r="C709" t="s">
        <v>2</v>
      </c>
      <c r="D709">
        <v>0.154</v>
      </c>
      <c r="E709">
        <v>4.099634</v>
      </c>
      <c r="F709" t="s">
        <v>17</v>
      </c>
      <c r="G709">
        <v>0.109</v>
      </c>
      <c r="H709">
        <v>0.44686010599999998</v>
      </c>
      <c r="I709" t="s">
        <v>12</v>
      </c>
      <c r="J709">
        <v>0</v>
      </c>
      <c r="K709">
        <v>0</v>
      </c>
      <c r="L709" t="s">
        <v>33</v>
      </c>
      <c r="M709">
        <v>3.7000000000000005E-2</v>
      </c>
      <c r="N709">
        <v>1.6533823922E-2</v>
      </c>
    </row>
    <row r="710" spans="1:14" x14ac:dyDescent="0.25">
      <c r="A710" s="23">
        <v>43807</v>
      </c>
      <c r="B710">
        <v>26.620999999999999</v>
      </c>
      <c r="C710" t="s">
        <v>2</v>
      </c>
      <c r="D710">
        <v>0.154</v>
      </c>
      <c r="E710">
        <v>4.099634</v>
      </c>
      <c r="F710" t="s">
        <v>17</v>
      </c>
      <c r="G710">
        <v>0.109</v>
      </c>
      <c r="H710">
        <v>0.44686010599999998</v>
      </c>
      <c r="I710" t="s">
        <v>7</v>
      </c>
      <c r="J710">
        <v>0</v>
      </c>
      <c r="K710">
        <v>0</v>
      </c>
      <c r="L710" t="s">
        <v>34</v>
      </c>
      <c r="M710">
        <v>0.193</v>
      </c>
      <c r="N710">
        <v>8.6244000458E-2</v>
      </c>
    </row>
    <row r="711" spans="1:14" x14ac:dyDescent="0.25">
      <c r="A711" s="23">
        <v>43808</v>
      </c>
      <c r="B711">
        <v>26.620999999999999</v>
      </c>
      <c r="C711" t="s">
        <v>2</v>
      </c>
      <c r="D711">
        <v>0.154</v>
      </c>
      <c r="E711">
        <v>4.099634</v>
      </c>
      <c r="F711" t="s">
        <v>17</v>
      </c>
      <c r="G711">
        <v>0.109</v>
      </c>
      <c r="H711">
        <v>0.44686010599999998</v>
      </c>
      <c r="I711" t="s">
        <v>8</v>
      </c>
      <c r="J711">
        <v>0.42200000000000004</v>
      </c>
      <c r="K711">
        <v>0.188574964732</v>
      </c>
      <c r="L711" t="s">
        <v>35</v>
      </c>
      <c r="M711">
        <v>0.40399999999999997</v>
      </c>
      <c r="N711">
        <v>0.18053148282399997</v>
      </c>
    </row>
    <row r="712" spans="1:14" x14ac:dyDescent="0.25">
      <c r="A712" s="23">
        <v>43809</v>
      </c>
      <c r="B712">
        <v>26.620999999999999</v>
      </c>
      <c r="C712" t="s">
        <v>2</v>
      </c>
      <c r="D712">
        <v>0.154</v>
      </c>
      <c r="E712">
        <v>4.099634</v>
      </c>
      <c r="F712" t="s">
        <v>17</v>
      </c>
      <c r="G712">
        <v>0.109</v>
      </c>
      <c r="H712">
        <v>0.44686010599999998</v>
      </c>
      <c r="I712" t="s">
        <v>10</v>
      </c>
      <c r="J712">
        <v>0.111</v>
      </c>
      <c r="K712">
        <v>4.9601471766000001E-2</v>
      </c>
      <c r="L712" t="s">
        <v>36</v>
      </c>
      <c r="M712">
        <v>0.14400000000000002</v>
      </c>
      <c r="N712">
        <v>6.4347855263999998E-2</v>
      </c>
    </row>
    <row r="713" spans="1:14" x14ac:dyDescent="0.25">
      <c r="A713" s="23">
        <v>43810</v>
      </c>
      <c r="B713">
        <v>26.620999999999999</v>
      </c>
      <c r="C713" t="s">
        <v>2</v>
      </c>
      <c r="D713">
        <v>0.154</v>
      </c>
      <c r="E713">
        <v>4.099634</v>
      </c>
      <c r="F713" t="s">
        <v>17</v>
      </c>
      <c r="G713">
        <v>0.109</v>
      </c>
      <c r="H713">
        <v>0.44686010599999998</v>
      </c>
      <c r="I713" t="s">
        <v>9</v>
      </c>
      <c r="J713">
        <v>0.46799999999999997</v>
      </c>
      <c r="K713">
        <v>0.20913052960799997</v>
      </c>
      <c r="L713" t="s">
        <v>37</v>
      </c>
      <c r="M713">
        <v>0.222</v>
      </c>
      <c r="N713">
        <v>9.9202943532000001E-2</v>
      </c>
    </row>
    <row r="714" spans="1:14" x14ac:dyDescent="0.25">
      <c r="A714" s="23">
        <v>43811</v>
      </c>
      <c r="B714">
        <v>26.620999999999999</v>
      </c>
      <c r="C714" t="s">
        <v>2</v>
      </c>
      <c r="D714">
        <v>0.154</v>
      </c>
      <c r="E714">
        <v>4.099634</v>
      </c>
      <c r="F714" t="s">
        <v>17</v>
      </c>
      <c r="G714">
        <v>0.109</v>
      </c>
      <c r="H714">
        <v>0.44686010599999998</v>
      </c>
      <c r="I714" t="s">
        <v>55</v>
      </c>
      <c r="J714">
        <v>0</v>
      </c>
      <c r="K714">
        <v>0</v>
      </c>
      <c r="L714" t="s">
        <v>38</v>
      </c>
      <c r="M714">
        <v>0</v>
      </c>
      <c r="N714">
        <v>0</v>
      </c>
    </row>
    <row r="715" spans="1:14" x14ac:dyDescent="0.25">
      <c r="A715" s="23">
        <v>43812</v>
      </c>
      <c r="B715">
        <v>26.620999999999999</v>
      </c>
      <c r="C715" t="s">
        <v>2</v>
      </c>
      <c r="D715">
        <v>0.154</v>
      </c>
      <c r="E715">
        <v>4.099634</v>
      </c>
      <c r="F715" t="s">
        <v>17</v>
      </c>
      <c r="G715">
        <v>0.109</v>
      </c>
      <c r="H715">
        <v>0.44686010599999998</v>
      </c>
      <c r="L715" t="s">
        <v>39</v>
      </c>
      <c r="M715">
        <v>0</v>
      </c>
      <c r="N715">
        <v>0</v>
      </c>
    </row>
    <row r="716" spans="1:14" x14ac:dyDescent="0.25">
      <c r="A716" s="23">
        <v>43813</v>
      </c>
      <c r="B716">
        <v>26.620999999999999</v>
      </c>
      <c r="C716" t="s">
        <v>2</v>
      </c>
      <c r="D716">
        <v>0.154</v>
      </c>
      <c r="E716">
        <v>4.099634</v>
      </c>
      <c r="F716" t="s">
        <v>18</v>
      </c>
      <c r="G716">
        <v>8.6999999999999994E-2</v>
      </c>
      <c r="H716">
        <v>0.35666815799999996</v>
      </c>
      <c r="I716" t="s">
        <v>11</v>
      </c>
      <c r="J716">
        <v>0.44900000000000001</v>
      </c>
      <c r="K716">
        <v>0.16014400294199999</v>
      </c>
      <c r="L716" t="s">
        <v>32</v>
      </c>
      <c r="M716">
        <v>4.2999999999999997E-2</v>
      </c>
      <c r="N716">
        <v>1.5336730793999998E-2</v>
      </c>
    </row>
    <row r="717" spans="1:14" x14ac:dyDescent="0.25">
      <c r="A717" s="23">
        <v>43814</v>
      </c>
      <c r="B717">
        <v>26.620999999999999</v>
      </c>
      <c r="C717" t="s">
        <v>2</v>
      </c>
      <c r="D717">
        <v>0.154</v>
      </c>
      <c r="E717">
        <v>4.099634</v>
      </c>
      <c r="F717" t="s">
        <v>18</v>
      </c>
      <c r="G717">
        <v>8.6999999999999994E-2</v>
      </c>
      <c r="H717">
        <v>0.35666815799999996</v>
      </c>
      <c r="I717" t="s">
        <v>12</v>
      </c>
      <c r="J717">
        <v>9.9000000000000005E-2</v>
      </c>
      <c r="K717">
        <v>3.5310147641999995E-2</v>
      </c>
      <c r="L717" t="s">
        <v>33</v>
      </c>
      <c r="M717">
        <v>0.1</v>
      </c>
      <c r="N717">
        <v>3.5666815799999994E-2</v>
      </c>
    </row>
    <row r="718" spans="1:14" x14ac:dyDescent="0.25">
      <c r="A718" s="23">
        <v>43815</v>
      </c>
      <c r="B718">
        <v>26.620999999999999</v>
      </c>
      <c r="C718" t="s">
        <v>2</v>
      </c>
      <c r="D718">
        <v>0.154</v>
      </c>
      <c r="E718">
        <v>4.099634</v>
      </c>
      <c r="F718" t="s">
        <v>18</v>
      </c>
      <c r="G718">
        <v>8.6999999999999994E-2</v>
      </c>
      <c r="H718">
        <v>0.35666815799999996</v>
      </c>
      <c r="I718" t="s">
        <v>7</v>
      </c>
      <c r="J718">
        <v>1.8000000000000002E-2</v>
      </c>
      <c r="K718">
        <v>6.4200268439999998E-3</v>
      </c>
      <c r="L718" t="s">
        <v>34</v>
      </c>
      <c r="M718">
        <v>0.14199999999999999</v>
      </c>
      <c r="N718">
        <v>5.0646878435999992E-2</v>
      </c>
    </row>
    <row r="719" spans="1:14" x14ac:dyDescent="0.25">
      <c r="A719" s="23">
        <v>43816</v>
      </c>
      <c r="B719">
        <v>26.620999999999999</v>
      </c>
      <c r="C719" t="s">
        <v>2</v>
      </c>
      <c r="D719">
        <v>0.154</v>
      </c>
      <c r="E719">
        <v>4.099634</v>
      </c>
      <c r="F719" t="s">
        <v>18</v>
      </c>
      <c r="G719">
        <v>8.6999999999999994E-2</v>
      </c>
      <c r="H719">
        <v>0.35666815799999996</v>
      </c>
      <c r="I719" t="s">
        <v>8</v>
      </c>
      <c r="J719">
        <v>0.21199999999999999</v>
      </c>
      <c r="K719">
        <v>3.2100134219999999E-3</v>
      </c>
      <c r="L719" t="s">
        <v>35</v>
      </c>
      <c r="M719">
        <v>0.25800000000000001</v>
      </c>
      <c r="N719">
        <v>9.2020384763999985E-2</v>
      </c>
    </row>
    <row r="720" spans="1:14" x14ac:dyDescent="0.25">
      <c r="A720" s="23">
        <v>43817</v>
      </c>
      <c r="B720">
        <v>26.620999999999999</v>
      </c>
      <c r="C720" t="s">
        <v>2</v>
      </c>
      <c r="D720">
        <v>0.154</v>
      </c>
      <c r="E720">
        <v>4.099634</v>
      </c>
      <c r="F720" t="s">
        <v>18</v>
      </c>
      <c r="G720">
        <v>8.6999999999999994E-2</v>
      </c>
      <c r="H720">
        <v>0.35666815799999996</v>
      </c>
      <c r="I720" t="s">
        <v>10</v>
      </c>
      <c r="J720">
        <v>0.04</v>
      </c>
      <c r="K720">
        <v>7.5613649495999982E-2</v>
      </c>
      <c r="L720" t="s">
        <v>36</v>
      </c>
      <c r="M720">
        <v>0.27200000000000002</v>
      </c>
      <c r="N720">
        <v>9.7013738975999991E-2</v>
      </c>
    </row>
    <row r="721" spans="1:14" x14ac:dyDescent="0.25">
      <c r="A721" s="23">
        <v>43818</v>
      </c>
      <c r="B721">
        <v>26.620999999999999</v>
      </c>
      <c r="C721" t="s">
        <v>2</v>
      </c>
      <c r="D721">
        <v>0.154</v>
      </c>
      <c r="E721">
        <v>4.099634</v>
      </c>
      <c r="F721" t="s">
        <v>48</v>
      </c>
      <c r="G721">
        <v>8.6999999999999994E-2</v>
      </c>
      <c r="H721">
        <v>0.35666815799999996</v>
      </c>
      <c r="I721" t="s">
        <v>9</v>
      </c>
      <c r="J721">
        <v>0.17300000000000001</v>
      </c>
      <c r="K721">
        <v>6.1703591333999996E-2</v>
      </c>
      <c r="L721" t="s">
        <v>37</v>
      </c>
      <c r="M721">
        <v>0.14899999999999999</v>
      </c>
      <c r="N721">
        <v>5.3143555541999989E-2</v>
      </c>
    </row>
    <row r="722" spans="1:14" x14ac:dyDescent="0.25">
      <c r="A722" s="23">
        <v>43819</v>
      </c>
      <c r="B722">
        <v>26.620999999999999</v>
      </c>
      <c r="C722" t="s">
        <v>2</v>
      </c>
      <c r="D722">
        <v>0.154</v>
      </c>
      <c r="E722">
        <v>4.099634</v>
      </c>
      <c r="F722" t="s">
        <v>18</v>
      </c>
      <c r="G722">
        <v>8.6999999999999994E-2</v>
      </c>
      <c r="H722">
        <v>0.35666815799999996</v>
      </c>
      <c r="I722" t="s">
        <v>55</v>
      </c>
      <c r="J722">
        <v>9.0000000000000011E-3</v>
      </c>
      <c r="K722">
        <v>3.2100134219999999E-3</v>
      </c>
      <c r="L722" t="s">
        <v>38</v>
      </c>
      <c r="M722">
        <v>2.3E-2</v>
      </c>
      <c r="N722">
        <v>8.2033676339999997E-3</v>
      </c>
    </row>
    <row r="723" spans="1:14" x14ac:dyDescent="0.25">
      <c r="A723" s="23">
        <v>43820</v>
      </c>
      <c r="B723">
        <v>26.620999999999999</v>
      </c>
      <c r="C723" t="s">
        <v>2</v>
      </c>
      <c r="D723">
        <v>0.154</v>
      </c>
      <c r="E723">
        <v>4.099634</v>
      </c>
      <c r="F723" t="s">
        <v>18</v>
      </c>
      <c r="G723">
        <v>8.6999999999999994E-2</v>
      </c>
      <c r="H723">
        <v>0.35666815799999996</v>
      </c>
      <c r="L723" t="s">
        <v>39</v>
      </c>
      <c r="M723">
        <v>1.3000000000000001E-2</v>
      </c>
      <c r="N723">
        <v>4.6366860539999999E-3</v>
      </c>
    </row>
    <row r="724" spans="1:14" x14ac:dyDescent="0.25">
      <c r="A724" s="23">
        <v>43821</v>
      </c>
      <c r="B724">
        <v>26.620999999999999</v>
      </c>
      <c r="C724" t="s">
        <v>19</v>
      </c>
      <c r="D724">
        <v>0.84599999999999997</v>
      </c>
      <c r="E724">
        <v>22.521365999999997</v>
      </c>
      <c r="F724" t="s">
        <v>54</v>
      </c>
      <c r="G724">
        <v>0.81499999999999995</v>
      </c>
      <c r="H724">
        <v>18.354913289999995</v>
      </c>
      <c r="I724" t="s">
        <v>11</v>
      </c>
      <c r="J724">
        <v>0.13800000000000001</v>
      </c>
      <c r="K724">
        <v>2.5329780340199997</v>
      </c>
      <c r="L724" t="s">
        <v>32</v>
      </c>
      <c r="M724">
        <v>0.04</v>
      </c>
      <c r="N724">
        <v>0.73419653159999987</v>
      </c>
    </row>
    <row r="725" spans="1:14" x14ac:dyDescent="0.25">
      <c r="A725" s="23">
        <v>43822</v>
      </c>
      <c r="B725">
        <v>26.620999999999999</v>
      </c>
      <c r="C725" t="s">
        <v>19</v>
      </c>
      <c r="D725">
        <v>0.84599999999999997</v>
      </c>
      <c r="E725">
        <v>22.521365999999997</v>
      </c>
      <c r="F725" t="s">
        <v>14</v>
      </c>
      <c r="G725">
        <v>0.81499999999999995</v>
      </c>
      <c r="H725">
        <v>18.354913289999995</v>
      </c>
      <c r="I725" t="s">
        <v>12</v>
      </c>
      <c r="J725">
        <v>0.183</v>
      </c>
      <c r="K725">
        <v>3.3589491320699989</v>
      </c>
      <c r="L725" t="s">
        <v>33</v>
      </c>
      <c r="M725">
        <v>0.106</v>
      </c>
      <c r="N725">
        <v>1.9456208087399995</v>
      </c>
    </row>
    <row r="726" spans="1:14" x14ac:dyDescent="0.25">
      <c r="A726" s="23">
        <v>43823</v>
      </c>
      <c r="B726">
        <v>26.620999999999999</v>
      </c>
      <c r="C726" t="s">
        <v>19</v>
      </c>
      <c r="D726">
        <v>0.84599999999999997</v>
      </c>
      <c r="E726">
        <v>22.521365999999997</v>
      </c>
      <c r="F726" t="s">
        <v>14</v>
      </c>
      <c r="G726">
        <v>0.81499999999999995</v>
      </c>
      <c r="H726">
        <v>18.354913289999995</v>
      </c>
      <c r="I726" t="s">
        <v>7</v>
      </c>
      <c r="J726">
        <v>3.1E-2</v>
      </c>
      <c r="K726">
        <v>0.56900231198999984</v>
      </c>
      <c r="L726" t="s">
        <v>34</v>
      </c>
      <c r="M726">
        <v>0.154</v>
      </c>
      <c r="N726">
        <v>2.8266566466599992</v>
      </c>
    </row>
    <row r="727" spans="1:14" x14ac:dyDescent="0.25">
      <c r="A727" s="23">
        <v>43824</v>
      </c>
      <c r="B727">
        <v>26.620999999999999</v>
      </c>
      <c r="C727" t="s">
        <v>19</v>
      </c>
      <c r="D727">
        <v>0.84599999999999997</v>
      </c>
      <c r="E727">
        <v>22.521365999999997</v>
      </c>
      <c r="F727" t="s">
        <v>14</v>
      </c>
      <c r="G727">
        <v>0.81499999999999995</v>
      </c>
      <c r="H727">
        <v>18.354913289999995</v>
      </c>
      <c r="I727" t="s">
        <v>8</v>
      </c>
      <c r="J727">
        <v>0.35299999999999998</v>
      </c>
      <c r="K727">
        <v>6.4792843913699985</v>
      </c>
      <c r="L727" t="s">
        <v>35</v>
      </c>
      <c r="M727">
        <v>0.26600000000000001</v>
      </c>
      <c r="N727">
        <v>4.8824069351399988</v>
      </c>
    </row>
    <row r="728" spans="1:14" x14ac:dyDescent="0.25">
      <c r="A728" s="23">
        <v>43825</v>
      </c>
      <c r="B728">
        <v>26.620999999999999</v>
      </c>
      <c r="C728" t="s">
        <v>19</v>
      </c>
      <c r="D728">
        <v>0.84599999999999997</v>
      </c>
      <c r="E728">
        <v>22.521365999999997</v>
      </c>
      <c r="F728" t="s">
        <v>14</v>
      </c>
      <c r="G728">
        <v>0.81499999999999995</v>
      </c>
      <c r="H728">
        <v>18.354913289999995</v>
      </c>
      <c r="I728" t="s">
        <v>10</v>
      </c>
      <c r="J728">
        <v>4.0999999999999995E-2</v>
      </c>
      <c r="K728">
        <v>0.7525514448899997</v>
      </c>
      <c r="L728" t="s">
        <v>36</v>
      </c>
      <c r="M728">
        <v>0.19</v>
      </c>
      <c r="N728">
        <v>3.4874335250999993</v>
      </c>
    </row>
    <row r="729" spans="1:14" x14ac:dyDescent="0.25">
      <c r="A729" s="23">
        <v>43826</v>
      </c>
      <c r="B729">
        <v>26.620999999999999</v>
      </c>
      <c r="C729" t="s">
        <v>19</v>
      </c>
      <c r="D729">
        <v>0.84599999999999997</v>
      </c>
      <c r="E729">
        <v>22.521365999999997</v>
      </c>
      <c r="F729" t="s">
        <v>14</v>
      </c>
      <c r="G729">
        <v>0.81499999999999995</v>
      </c>
      <c r="H729">
        <v>18.354913289999995</v>
      </c>
      <c r="I729" t="s">
        <v>9</v>
      </c>
      <c r="J729">
        <v>0.22600000000000001</v>
      </c>
      <c r="K729">
        <v>0.5139375721199998</v>
      </c>
      <c r="L729" t="s">
        <v>37</v>
      </c>
      <c r="M729">
        <v>0.191</v>
      </c>
      <c r="N729">
        <v>3.5057884383899993</v>
      </c>
    </row>
    <row r="730" spans="1:14" x14ac:dyDescent="0.25">
      <c r="A730" s="23">
        <v>43827</v>
      </c>
      <c r="B730">
        <v>26.620999999999999</v>
      </c>
      <c r="C730" t="s">
        <v>19</v>
      </c>
      <c r="D730">
        <v>0.84599999999999997</v>
      </c>
      <c r="E730">
        <v>22.521365999999997</v>
      </c>
      <c r="F730" t="s">
        <v>14</v>
      </c>
      <c r="G730">
        <v>0.81499999999999995</v>
      </c>
      <c r="H730">
        <v>18.354913289999995</v>
      </c>
      <c r="I730" t="s">
        <v>55</v>
      </c>
      <c r="J730">
        <v>2.7999999999999997E-2</v>
      </c>
      <c r="L730" t="s">
        <v>38</v>
      </c>
      <c r="M730">
        <v>3.7999999999999999E-2</v>
      </c>
      <c r="N730">
        <v>0.69748670501999976</v>
      </c>
    </row>
    <row r="731" spans="1:14" x14ac:dyDescent="0.25">
      <c r="A731" s="23">
        <v>43828</v>
      </c>
      <c r="B731">
        <v>26.620999999999999</v>
      </c>
      <c r="C731" t="s">
        <v>19</v>
      </c>
      <c r="D731">
        <v>0.84599999999999997</v>
      </c>
      <c r="E731">
        <v>22.521365999999997</v>
      </c>
      <c r="F731" t="s">
        <v>14</v>
      </c>
      <c r="G731">
        <v>0.81499999999999995</v>
      </c>
      <c r="H731">
        <v>18.354913289999995</v>
      </c>
      <c r="L731" t="s">
        <v>39</v>
      </c>
      <c r="M731">
        <v>1.6E-2</v>
      </c>
      <c r="N731">
        <v>0.29367861263999995</v>
      </c>
    </row>
    <row r="732" spans="1:14" x14ac:dyDescent="0.25">
      <c r="A732" s="23">
        <v>43829</v>
      </c>
      <c r="B732">
        <v>26.620999999999999</v>
      </c>
      <c r="C732" t="s">
        <v>19</v>
      </c>
      <c r="D732">
        <v>0.84599999999999997</v>
      </c>
      <c r="E732">
        <v>22.521365999999997</v>
      </c>
      <c r="F732" t="s">
        <v>52</v>
      </c>
      <c r="G732">
        <v>0.89200000000000002</v>
      </c>
      <c r="H732">
        <v>20.089058471999998</v>
      </c>
      <c r="I732" t="s">
        <v>11</v>
      </c>
      <c r="J732">
        <v>4.4000000000000004E-2</v>
      </c>
      <c r="K732">
        <v>0.88391857276800001</v>
      </c>
      <c r="L732" t="s">
        <v>32</v>
      </c>
      <c r="M732">
        <v>3.6000000000000004E-2</v>
      </c>
      <c r="N732">
        <v>0.723206104992</v>
      </c>
    </row>
    <row r="733" spans="1:14" x14ac:dyDescent="0.25">
      <c r="A733" s="23">
        <v>43830</v>
      </c>
      <c r="B733">
        <v>26.620999999999999</v>
      </c>
      <c r="C733" t="s">
        <v>19</v>
      </c>
      <c r="D733">
        <v>0.84599999999999997</v>
      </c>
      <c r="E733">
        <v>22.521365999999997</v>
      </c>
      <c r="F733" t="s">
        <v>15</v>
      </c>
      <c r="G733">
        <v>0.89200000000000002</v>
      </c>
      <c r="H733">
        <v>20.089058471999998</v>
      </c>
      <c r="I733" t="s">
        <v>12</v>
      </c>
      <c r="J733">
        <v>0.26</v>
      </c>
      <c r="K733">
        <v>5.2231552027199992</v>
      </c>
      <c r="L733" t="s">
        <v>33</v>
      </c>
      <c r="M733">
        <v>0.109</v>
      </c>
      <c r="N733">
        <v>2.1897073734479999</v>
      </c>
    </row>
    <row r="734" spans="1:14" x14ac:dyDescent="0.25">
      <c r="A734" s="23">
        <v>43831</v>
      </c>
      <c r="B734">
        <v>26.620999999999999</v>
      </c>
      <c r="C734" t="s">
        <v>19</v>
      </c>
      <c r="D734">
        <v>0.84599999999999997</v>
      </c>
      <c r="E734">
        <v>22.521365999999997</v>
      </c>
      <c r="F734" t="s">
        <v>15</v>
      </c>
      <c r="G734">
        <v>0.89200000000000002</v>
      </c>
      <c r="H734">
        <v>20.089058471999998</v>
      </c>
      <c r="I734" t="s">
        <v>7</v>
      </c>
      <c r="J734">
        <v>1.2E-2</v>
      </c>
      <c r="K734">
        <v>0.24106870166399999</v>
      </c>
      <c r="L734" t="s">
        <v>34</v>
      </c>
      <c r="M734">
        <v>0.22500000000000001</v>
      </c>
      <c r="N734">
        <v>4.5200381562</v>
      </c>
    </row>
    <row r="735" spans="1:14" x14ac:dyDescent="0.25">
      <c r="A735" s="23">
        <v>43832</v>
      </c>
      <c r="B735">
        <v>26.620999999999999</v>
      </c>
      <c r="C735" t="s">
        <v>19</v>
      </c>
      <c r="D735">
        <v>0.84599999999999997</v>
      </c>
      <c r="E735">
        <v>22.521365999999997</v>
      </c>
      <c r="F735" t="s">
        <v>15</v>
      </c>
      <c r="G735">
        <v>0.89200000000000002</v>
      </c>
      <c r="H735">
        <v>20.089058471999998</v>
      </c>
      <c r="I735" t="s">
        <v>8</v>
      </c>
      <c r="J735">
        <v>0.36799999999999999</v>
      </c>
      <c r="K735">
        <v>7.392773517695999</v>
      </c>
      <c r="L735" t="s">
        <v>35</v>
      </c>
      <c r="M735">
        <v>0.29499999999999998</v>
      </c>
      <c r="N735">
        <v>5.9262722492399993</v>
      </c>
    </row>
    <row r="736" spans="1:14" x14ac:dyDescent="0.25">
      <c r="A736" s="23">
        <v>43833</v>
      </c>
      <c r="B736">
        <v>26.620999999999999</v>
      </c>
      <c r="C736" t="s">
        <v>19</v>
      </c>
      <c r="D736">
        <v>0.84599999999999997</v>
      </c>
      <c r="E736">
        <v>22.521365999999997</v>
      </c>
      <c r="F736" t="s">
        <v>15</v>
      </c>
      <c r="G736">
        <v>0.89200000000000002</v>
      </c>
      <c r="H736">
        <v>20.089058471999998</v>
      </c>
      <c r="I736" t="s">
        <v>10</v>
      </c>
      <c r="J736">
        <v>3.4000000000000002E-2</v>
      </c>
      <c r="K736">
        <v>0.68302798804800002</v>
      </c>
      <c r="L736" t="s">
        <v>36</v>
      </c>
      <c r="M736">
        <v>0.223</v>
      </c>
      <c r="N736">
        <v>4.4798600392559997</v>
      </c>
    </row>
    <row r="737" spans="1:14" x14ac:dyDescent="0.25">
      <c r="A737" s="23">
        <v>43834</v>
      </c>
      <c r="B737">
        <v>26.620999999999999</v>
      </c>
      <c r="C737" t="s">
        <v>19</v>
      </c>
      <c r="D737">
        <v>0.84599999999999997</v>
      </c>
      <c r="E737">
        <v>22.521365999999997</v>
      </c>
      <c r="F737" t="s">
        <v>15</v>
      </c>
      <c r="G737">
        <v>0.89200000000000002</v>
      </c>
      <c r="H737">
        <v>20.089058471999998</v>
      </c>
      <c r="I737" t="s">
        <v>9</v>
      </c>
      <c r="J737">
        <v>0.26700000000000002</v>
      </c>
      <c r="K737">
        <v>5.3637786120239994</v>
      </c>
      <c r="L737" t="s">
        <v>37</v>
      </c>
      <c r="M737">
        <v>0.10800000000000001</v>
      </c>
      <c r="N737">
        <v>2.1696183149760002</v>
      </c>
    </row>
    <row r="738" spans="1:14" x14ac:dyDescent="0.25">
      <c r="A738" s="23">
        <v>43835</v>
      </c>
      <c r="B738">
        <v>26.620999999999999</v>
      </c>
      <c r="C738" t="s">
        <v>19</v>
      </c>
      <c r="D738">
        <v>0.84599999999999997</v>
      </c>
      <c r="E738">
        <v>22.521365999999997</v>
      </c>
      <c r="F738" t="s">
        <v>15</v>
      </c>
      <c r="G738">
        <v>0.89200000000000002</v>
      </c>
      <c r="H738">
        <v>20.089058471999998</v>
      </c>
      <c r="I738" t="s">
        <v>55</v>
      </c>
      <c r="J738">
        <v>1.4999999999999999E-2</v>
      </c>
      <c r="L738" t="s">
        <v>38</v>
      </c>
      <c r="M738">
        <v>6.0000000000000001E-3</v>
      </c>
      <c r="N738">
        <v>0.120534350832</v>
      </c>
    </row>
    <row r="739" spans="1:14" x14ac:dyDescent="0.25">
      <c r="A739" s="23">
        <v>43836</v>
      </c>
      <c r="B739">
        <v>26.620999999999999</v>
      </c>
      <c r="C739" t="s">
        <v>19</v>
      </c>
      <c r="D739">
        <v>0.84599999999999997</v>
      </c>
      <c r="E739">
        <v>22.521365999999997</v>
      </c>
      <c r="F739" t="s">
        <v>15</v>
      </c>
      <c r="G739">
        <v>0.89200000000000002</v>
      </c>
      <c r="H739">
        <v>20.089058471999998</v>
      </c>
      <c r="L739" t="s">
        <v>39</v>
      </c>
      <c r="M739">
        <v>0</v>
      </c>
      <c r="N739">
        <v>0</v>
      </c>
    </row>
    <row r="740" spans="1:14" x14ac:dyDescent="0.25">
      <c r="A740" s="23">
        <v>43837</v>
      </c>
      <c r="B740">
        <v>26.620999999999999</v>
      </c>
      <c r="C740" t="s">
        <v>19</v>
      </c>
      <c r="D740">
        <v>0.84599999999999997</v>
      </c>
      <c r="E740">
        <v>22.521365999999997</v>
      </c>
      <c r="F740" t="s">
        <v>53</v>
      </c>
      <c r="G740">
        <v>0.85400000000000009</v>
      </c>
      <c r="H740">
        <v>19.233246563999998</v>
      </c>
      <c r="I740" t="s">
        <v>11</v>
      </c>
      <c r="J740">
        <v>0.13300000000000001</v>
      </c>
      <c r="K740">
        <v>2.5580217930119997</v>
      </c>
      <c r="L740" t="s">
        <v>32</v>
      </c>
      <c r="M740">
        <v>4.4999999999999998E-2</v>
      </c>
      <c r="N740">
        <v>0.86549609537999983</v>
      </c>
    </row>
    <row r="741" spans="1:14" x14ac:dyDescent="0.25">
      <c r="A741" s="23">
        <v>43838</v>
      </c>
      <c r="B741">
        <v>26.620999999999999</v>
      </c>
      <c r="C741" t="s">
        <v>19</v>
      </c>
      <c r="D741">
        <v>0.84599999999999997</v>
      </c>
      <c r="E741">
        <v>22.521365999999997</v>
      </c>
      <c r="F741" t="s">
        <v>16</v>
      </c>
      <c r="G741">
        <v>0.85400000000000009</v>
      </c>
      <c r="H741">
        <v>19.233246563999998</v>
      </c>
      <c r="I741" t="s">
        <v>12</v>
      </c>
      <c r="J741">
        <v>0.217</v>
      </c>
      <c r="K741">
        <v>4.1736145043879995</v>
      </c>
      <c r="L741" t="s">
        <v>33</v>
      </c>
      <c r="M741">
        <v>0.122</v>
      </c>
      <c r="N741">
        <v>2.3464560808079997</v>
      </c>
    </row>
    <row r="742" spans="1:14" x14ac:dyDescent="0.25">
      <c r="A742" s="23">
        <v>43839</v>
      </c>
      <c r="B742">
        <v>26.620999999999999</v>
      </c>
      <c r="C742" t="s">
        <v>19</v>
      </c>
      <c r="D742">
        <v>0.84599999999999997</v>
      </c>
      <c r="E742">
        <v>22.521365999999997</v>
      </c>
      <c r="F742" t="s">
        <v>16</v>
      </c>
      <c r="G742">
        <v>0.85400000000000009</v>
      </c>
      <c r="H742">
        <v>19.233246563999998</v>
      </c>
      <c r="I742" t="s">
        <v>7</v>
      </c>
      <c r="J742">
        <v>2.8999999999999998E-2</v>
      </c>
      <c r="K742">
        <v>0.55776415035599991</v>
      </c>
      <c r="L742" t="s">
        <v>34</v>
      </c>
      <c r="M742">
        <v>0.157</v>
      </c>
      <c r="N742">
        <v>3.0196197105479996</v>
      </c>
    </row>
    <row r="743" spans="1:14" x14ac:dyDescent="0.25">
      <c r="A743" s="23">
        <v>43840</v>
      </c>
      <c r="B743">
        <v>26.620999999999999</v>
      </c>
      <c r="C743" t="s">
        <v>19</v>
      </c>
      <c r="D743">
        <v>0.84599999999999997</v>
      </c>
      <c r="E743">
        <v>22.521365999999997</v>
      </c>
      <c r="F743" t="s">
        <v>16</v>
      </c>
      <c r="G743">
        <v>0.85400000000000009</v>
      </c>
      <c r="H743">
        <v>19.233246563999998</v>
      </c>
      <c r="I743" t="s">
        <v>8</v>
      </c>
      <c r="J743">
        <v>0.35</v>
      </c>
      <c r="K743">
        <v>6.7316362973999988</v>
      </c>
      <c r="L743" t="s">
        <v>35</v>
      </c>
      <c r="M743">
        <v>0.251</v>
      </c>
      <c r="N743">
        <v>4.8275448875639997</v>
      </c>
    </row>
    <row r="744" spans="1:14" x14ac:dyDescent="0.25">
      <c r="A744" s="23">
        <v>43841</v>
      </c>
      <c r="B744">
        <v>26.620999999999999</v>
      </c>
      <c r="C744" t="s">
        <v>19</v>
      </c>
      <c r="D744">
        <v>0.84599999999999997</v>
      </c>
      <c r="E744">
        <v>22.521365999999997</v>
      </c>
      <c r="F744" t="s">
        <v>16</v>
      </c>
      <c r="G744">
        <v>0.85400000000000009</v>
      </c>
      <c r="H744">
        <v>19.233246563999998</v>
      </c>
      <c r="I744" t="s">
        <v>10</v>
      </c>
      <c r="J744">
        <v>4.8000000000000001E-2</v>
      </c>
      <c r="K744">
        <v>0.92319583507199998</v>
      </c>
      <c r="L744" t="s">
        <v>36</v>
      </c>
      <c r="M744">
        <v>0.214</v>
      </c>
      <c r="N744">
        <v>4.1159147646959999</v>
      </c>
    </row>
    <row r="745" spans="1:14" x14ac:dyDescent="0.25">
      <c r="A745" s="23">
        <v>43842</v>
      </c>
      <c r="B745">
        <v>26.620999999999999</v>
      </c>
      <c r="C745" t="s">
        <v>19</v>
      </c>
      <c r="D745">
        <v>0.84599999999999997</v>
      </c>
      <c r="E745">
        <v>22.521365999999997</v>
      </c>
      <c r="F745" t="s">
        <v>16</v>
      </c>
      <c r="G745">
        <v>0.85400000000000009</v>
      </c>
      <c r="H745">
        <v>19.233246563999998</v>
      </c>
      <c r="I745" t="s">
        <v>9</v>
      </c>
      <c r="J745">
        <v>0.192</v>
      </c>
      <c r="K745">
        <v>3.6927833402879999</v>
      </c>
      <c r="L745" t="s">
        <v>37</v>
      </c>
      <c r="M745">
        <v>0.17100000000000001</v>
      </c>
      <c r="N745">
        <v>3.2888851624440001</v>
      </c>
    </row>
    <row r="746" spans="1:14" x14ac:dyDescent="0.25">
      <c r="A746" s="23">
        <v>43843</v>
      </c>
      <c r="B746">
        <v>26.620999999999999</v>
      </c>
      <c r="C746" t="s">
        <v>19</v>
      </c>
      <c r="D746">
        <v>0.84599999999999997</v>
      </c>
      <c r="E746">
        <v>22.521365999999997</v>
      </c>
      <c r="F746" t="s">
        <v>16</v>
      </c>
      <c r="G746">
        <v>0.85400000000000009</v>
      </c>
      <c r="H746">
        <v>19.233246563999998</v>
      </c>
      <c r="I746" t="s">
        <v>55</v>
      </c>
      <c r="J746">
        <v>3.2000000000000001E-2</v>
      </c>
      <c r="L746" t="s">
        <v>38</v>
      </c>
      <c r="M746">
        <v>2.6000000000000002E-2</v>
      </c>
      <c r="N746">
        <v>0.50006441066399998</v>
      </c>
    </row>
    <row r="747" spans="1:14" x14ac:dyDescent="0.25">
      <c r="A747" s="23">
        <v>43844</v>
      </c>
      <c r="B747">
        <v>26.620999999999999</v>
      </c>
      <c r="C747" t="s">
        <v>19</v>
      </c>
      <c r="D747">
        <v>0.84599999999999997</v>
      </c>
      <c r="E747">
        <v>22.521365999999997</v>
      </c>
      <c r="F747" t="s">
        <v>16</v>
      </c>
      <c r="G747">
        <v>0.85400000000000009</v>
      </c>
      <c r="H747">
        <v>19.233246563999998</v>
      </c>
      <c r="L747" t="s">
        <v>39</v>
      </c>
      <c r="M747">
        <v>1.3000000000000001E-2</v>
      </c>
      <c r="N747">
        <v>0.25003220533199999</v>
      </c>
    </row>
    <row r="748" spans="1:14" x14ac:dyDescent="0.25">
      <c r="A748" s="23">
        <v>43845</v>
      </c>
      <c r="B748">
        <v>26.620999999999999</v>
      </c>
      <c r="C748" t="s">
        <v>19</v>
      </c>
      <c r="D748">
        <v>0.84599999999999997</v>
      </c>
      <c r="E748">
        <v>22.521365999999997</v>
      </c>
      <c r="F748" t="s">
        <v>51</v>
      </c>
      <c r="G748">
        <v>0.80299999999999994</v>
      </c>
      <c r="H748">
        <v>18.084656897999995</v>
      </c>
      <c r="I748" t="s">
        <v>11</v>
      </c>
      <c r="J748">
        <v>0.191</v>
      </c>
      <c r="K748">
        <v>3.4541694675179992</v>
      </c>
      <c r="L748" t="s">
        <v>32</v>
      </c>
      <c r="M748">
        <v>5.5E-2</v>
      </c>
      <c r="N748">
        <v>0.9946561293899997</v>
      </c>
    </row>
    <row r="749" spans="1:14" x14ac:dyDescent="0.25">
      <c r="A749" s="23">
        <v>43846</v>
      </c>
      <c r="B749">
        <v>26.620999999999999</v>
      </c>
      <c r="C749" t="s">
        <v>19</v>
      </c>
      <c r="D749">
        <v>0.84599999999999997</v>
      </c>
      <c r="E749">
        <v>22.521365999999997</v>
      </c>
      <c r="F749" t="s">
        <v>13</v>
      </c>
      <c r="G749">
        <v>0.80299999999999994</v>
      </c>
      <c r="H749">
        <v>18.084656897999995</v>
      </c>
      <c r="I749" t="s">
        <v>12</v>
      </c>
      <c r="J749">
        <v>0.23199999999999998</v>
      </c>
      <c r="K749">
        <v>4.1956404003359982</v>
      </c>
      <c r="L749" t="s">
        <v>33</v>
      </c>
      <c r="M749">
        <v>0.113</v>
      </c>
      <c r="N749">
        <v>2.0435662294739996</v>
      </c>
    </row>
    <row r="750" spans="1:14" x14ac:dyDescent="0.25">
      <c r="A750" s="23">
        <v>43847</v>
      </c>
      <c r="B750">
        <v>26.620999999999999</v>
      </c>
      <c r="C750" t="s">
        <v>19</v>
      </c>
      <c r="D750">
        <v>0.84599999999999997</v>
      </c>
      <c r="E750">
        <v>22.521365999999997</v>
      </c>
      <c r="F750" t="s">
        <v>13</v>
      </c>
      <c r="G750">
        <v>0.80299999999999994</v>
      </c>
      <c r="H750">
        <v>18.084656897999995</v>
      </c>
      <c r="I750" t="s">
        <v>7</v>
      </c>
      <c r="J750">
        <v>3.4000000000000002E-2</v>
      </c>
      <c r="K750">
        <v>0.61487833453199991</v>
      </c>
      <c r="L750" t="s">
        <v>34</v>
      </c>
      <c r="M750">
        <v>0.16</v>
      </c>
      <c r="N750">
        <v>2.8935451036799993</v>
      </c>
    </row>
    <row r="751" spans="1:14" x14ac:dyDescent="0.25">
      <c r="A751" s="23">
        <v>43848</v>
      </c>
      <c r="B751">
        <v>26.620999999999999</v>
      </c>
      <c r="C751" t="s">
        <v>19</v>
      </c>
      <c r="D751">
        <v>0.84599999999999997</v>
      </c>
      <c r="E751">
        <v>22.521365999999997</v>
      </c>
      <c r="F751" t="s">
        <v>13</v>
      </c>
      <c r="G751">
        <v>0.80299999999999994</v>
      </c>
      <c r="H751">
        <v>18.084656897999995</v>
      </c>
      <c r="I751" t="s">
        <v>8</v>
      </c>
      <c r="J751">
        <v>0.35600000000000004</v>
      </c>
      <c r="K751">
        <v>6.4381378556879989</v>
      </c>
      <c r="L751" t="s">
        <v>35</v>
      </c>
      <c r="M751">
        <v>0.25600000000000001</v>
      </c>
      <c r="N751">
        <v>4.6296721658879987</v>
      </c>
    </row>
    <row r="752" spans="1:14" x14ac:dyDescent="0.25">
      <c r="A752" s="23">
        <v>43849</v>
      </c>
      <c r="B752">
        <v>26.620999999999999</v>
      </c>
      <c r="C752" t="s">
        <v>19</v>
      </c>
      <c r="D752">
        <v>0.84599999999999997</v>
      </c>
      <c r="E752">
        <v>22.521365999999997</v>
      </c>
      <c r="F752" t="s">
        <v>13</v>
      </c>
      <c r="G752">
        <v>0.80299999999999994</v>
      </c>
      <c r="H752">
        <v>18.084656897999995</v>
      </c>
      <c r="I752" t="s">
        <v>10</v>
      </c>
      <c r="J752">
        <v>3.2000000000000001E-2</v>
      </c>
      <c r="K752">
        <v>0.57870902073599984</v>
      </c>
      <c r="L752" t="s">
        <v>36</v>
      </c>
      <c r="M752">
        <v>0.20399999999999999</v>
      </c>
      <c r="N752">
        <v>3.6892700071919986</v>
      </c>
    </row>
    <row r="753" spans="1:14" x14ac:dyDescent="0.25">
      <c r="A753" s="23">
        <v>43850</v>
      </c>
      <c r="B753">
        <v>26.620999999999999</v>
      </c>
      <c r="C753" t="s">
        <v>19</v>
      </c>
      <c r="D753">
        <v>0.84599999999999997</v>
      </c>
      <c r="E753">
        <v>22.521365999999997</v>
      </c>
      <c r="F753" t="s">
        <v>13</v>
      </c>
      <c r="G753">
        <v>0.80299999999999994</v>
      </c>
      <c r="H753">
        <v>18.084656897999995</v>
      </c>
      <c r="I753" t="s">
        <v>9</v>
      </c>
      <c r="J753">
        <v>0.127</v>
      </c>
      <c r="K753">
        <v>2.2967514260459994</v>
      </c>
      <c r="L753" t="s">
        <v>37</v>
      </c>
      <c r="M753">
        <v>0.161</v>
      </c>
      <c r="N753">
        <v>2.9116297605779993</v>
      </c>
    </row>
    <row r="754" spans="1:14" x14ac:dyDescent="0.25">
      <c r="A754" s="23">
        <v>43851</v>
      </c>
      <c r="B754">
        <v>26.620999999999999</v>
      </c>
      <c r="C754" t="s">
        <v>19</v>
      </c>
      <c r="D754">
        <v>0.84599999999999997</v>
      </c>
      <c r="E754">
        <v>22.521365999999997</v>
      </c>
      <c r="F754" t="s">
        <v>13</v>
      </c>
      <c r="G754">
        <v>0.80299999999999994</v>
      </c>
      <c r="H754">
        <v>18.084656897999995</v>
      </c>
      <c r="I754" t="s">
        <v>55</v>
      </c>
      <c r="J754">
        <v>2.7000000000000003E-2</v>
      </c>
      <c r="L754" t="s">
        <v>38</v>
      </c>
      <c r="M754">
        <v>3.2000000000000001E-2</v>
      </c>
      <c r="N754">
        <v>0.57870902073599984</v>
      </c>
    </row>
    <row r="755" spans="1:14" x14ac:dyDescent="0.25">
      <c r="A755" s="23">
        <v>43852</v>
      </c>
      <c r="B755">
        <v>26.620999999999999</v>
      </c>
      <c r="C755" t="s">
        <v>19</v>
      </c>
      <c r="D755">
        <v>0.84599999999999997</v>
      </c>
      <c r="E755">
        <v>22.521365999999997</v>
      </c>
      <c r="F755" t="s">
        <v>13</v>
      </c>
      <c r="G755">
        <v>0.80299999999999994</v>
      </c>
      <c r="H755">
        <v>18.084656897999995</v>
      </c>
      <c r="L755" t="s">
        <v>39</v>
      </c>
      <c r="M755">
        <v>1.9E-2</v>
      </c>
      <c r="N755">
        <v>0.34360848106199987</v>
      </c>
    </row>
    <row r="756" spans="1:14" x14ac:dyDescent="0.25">
      <c r="A756" s="23">
        <v>43853</v>
      </c>
      <c r="B756">
        <v>26.620999999999999</v>
      </c>
      <c r="C756" t="s">
        <v>19</v>
      </c>
      <c r="D756">
        <v>0.84599999999999997</v>
      </c>
      <c r="E756">
        <v>22.521365999999997</v>
      </c>
      <c r="F756" t="s">
        <v>50</v>
      </c>
      <c r="G756">
        <v>0.8909999999999999</v>
      </c>
      <c r="H756">
        <v>20.066537105999995</v>
      </c>
      <c r="I756" t="s">
        <v>11</v>
      </c>
      <c r="J756">
        <v>7.0000000000000007E-2</v>
      </c>
      <c r="K756">
        <v>1.4046575974199997</v>
      </c>
      <c r="L756" t="s">
        <v>32</v>
      </c>
      <c r="M756">
        <v>2.6000000000000002E-2</v>
      </c>
      <c r="N756">
        <v>0.52172996475599986</v>
      </c>
    </row>
    <row r="757" spans="1:14" x14ac:dyDescent="0.25">
      <c r="A757" s="23">
        <v>43854</v>
      </c>
      <c r="B757">
        <v>26.620999999999999</v>
      </c>
      <c r="C757" t="s">
        <v>19</v>
      </c>
      <c r="D757">
        <v>0.84599999999999997</v>
      </c>
      <c r="E757">
        <v>22.521365999999997</v>
      </c>
      <c r="F757" t="s">
        <v>17</v>
      </c>
      <c r="G757">
        <v>0.8909999999999999</v>
      </c>
      <c r="H757">
        <v>20.066537105999995</v>
      </c>
      <c r="I757" t="s">
        <v>12</v>
      </c>
      <c r="J757">
        <v>0.215</v>
      </c>
      <c r="K757">
        <v>4.3143054777899987</v>
      </c>
      <c r="L757" t="s">
        <v>33</v>
      </c>
      <c r="M757">
        <v>0.13200000000000001</v>
      </c>
      <c r="N757">
        <v>2.6487828979919996</v>
      </c>
    </row>
    <row r="758" spans="1:14" x14ac:dyDescent="0.25">
      <c r="A758" s="23">
        <v>43855</v>
      </c>
      <c r="B758">
        <v>26.620999999999999</v>
      </c>
      <c r="C758" t="s">
        <v>19</v>
      </c>
      <c r="D758">
        <v>0.84599999999999997</v>
      </c>
      <c r="E758">
        <v>22.521365999999997</v>
      </c>
      <c r="F758" t="s">
        <v>17</v>
      </c>
      <c r="G758">
        <v>0.8909999999999999</v>
      </c>
      <c r="H758">
        <v>20.066537105999995</v>
      </c>
      <c r="I758" t="s">
        <v>7</v>
      </c>
      <c r="J758">
        <v>2.7999999999999997E-2</v>
      </c>
      <c r="K758">
        <v>0.56186303896799983</v>
      </c>
      <c r="L758" t="s">
        <v>34</v>
      </c>
      <c r="M758">
        <v>0.17699999999999999</v>
      </c>
      <c r="N758">
        <v>3.5517770677619991</v>
      </c>
    </row>
    <row r="759" spans="1:14" x14ac:dyDescent="0.25">
      <c r="A759" s="23">
        <v>43856</v>
      </c>
      <c r="B759">
        <v>26.620999999999999</v>
      </c>
      <c r="C759" t="s">
        <v>19</v>
      </c>
      <c r="D759">
        <v>0.84599999999999997</v>
      </c>
      <c r="E759">
        <v>22.521365999999997</v>
      </c>
      <c r="F759" t="s">
        <v>17</v>
      </c>
      <c r="G759">
        <v>0.8909999999999999</v>
      </c>
      <c r="H759">
        <v>20.066537105999995</v>
      </c>
      <c r="I759" t="s">
        <v>8</v>
      </c>
      <c r="J759">
        <v>0.48200000000000004</v>
      </c>
      <c r="K759">
        <v>9.6720708850919976</v>
      </c>
      <c r="L759" t="s">
        <v>35</v>
      </c>
      <c r="M759">
        <v>0.28499999999999998</v>
      </c>
      <c r="N759">
        <v>5.7189630752099978</v>
      </c>
    </row>
    <row r="760" spans="1:14" x14ac:dyDescent="0.25">
      <c r="A760" s="23">
        <v>43857</v>
      </c>
      <c r="B760">
        <v>26.620999999999999</v>
      </c>
      <c r="C760" t="s">
        <v>19</v>
      </c>
      <c r="D760">
        <v>0.84599999999999997</v>
      </c>
      <c r="E760">
        <v>22.521365999999997</v>
      </c>
      <c r="F760" t="s">
        <v>17</v>
      </c>
      <c r="G760">
        <v>0.8909999999999999</v>
      </c>
      <c r="H760">
        <v>20.066537105999995</v>
      </c>
      <c r="I760" t="s">
        <v>10</v>
      </c>
      <c r="J760">
        <v>0.03</v>
      </c>
      <c r="K760">
        <v>0.60199611317999979</v>
      </c>
      <c r="L760" t="s">
        <v>36</v>
      </c>
      <c r="M760">
        <v>0.22800000000000001</v>
      </c>
      <c r="N760">
        <v>5.7189630752099978</v>
      </c>
    </row>
    <row r="761" spans="1:14" x14ac:dyDescent="0.25">
      <c r="A761" s="23">
        <v>43858</v>
      </c>
      <c r="B761">
        <v>26.620999999999999</v>
      </c>
      <c r="C761" t="s">
        <v>19</v>
      </c>
      <c r="D761">
        <v>0.84599999999999997</v>
      </c>
      <c r="E761">
        <v>22.521365999999997</v>
      </c>
      <c r="F761" t="s">
        <v>17</v>
      </c>
      <c r="G761">
        <v>0.8909999999999999</v>
      </c>
      <c r="H761">
        <v>20.066537105999995</v>
      </c>
      <c r="I761" t="s">
        <v>9</v>
      </c>
      <c r="J761">
        <v>0.159</v>
      </c>
      <c r="K761">
        <v>3.1905793998539993</v>
      </c>
      <c r="L761" t="s">
        <v>37</v>
      </c>
      <c r="M761">
        <v>0.14199999999999999</v>
      </c>
      <c r="N761">
        <v>4.5751704601679988</v>
      </c>
    </row>
    <row r="762" spans="1:14" x14ac:dyDescent="0.25">
      <c r="A762" s="23">
        <v>43859</v>
      </c>
      <c r="B762">
        <v>26.620999999999999</v>
      </c>
      <c r="C762" t="s">
        <v>19</v>
      </c>
      <c r="D762">
        <v>0.84599999999999997</v>
      </c>
      <c r="E762">
        <v>22.521365999999997</v>
      </c>
      <c r="F762" t="s">
        <v>17</v>
      </c>
      <c r="G762">
        <v>0.8909999999999999</v>
      </c>
      <c r="H762">
        <v>20.066537105999995</v>
      </c>
      <c r="I762" t="s">
        <v>55</v>
      </c>
      <c r="J762">
        <v>1.7000000000000001E-2</v>
      </c>
      <c r="L762" t="s">
        <v>38</v>
      </c>
      <c r="M762">
        <v>3.0000000000000001E-3</v>
      </c>
      <c r="N762">
        <v>2.8494482690519991</v>
      </c>
    </row>
    <row r="763" spans="1:14" x14ac:dyDescent="0.25">
      <c r="A763" s="23">
        <v>43860</v>
      </c>
      <c r="B763">
        <v>26.620999999999999</v>
      </c>
      <c r="C763" t="s">
        <v>19</v>
      </c>
      <c r="D763">
        <v>0.84599999999999997</v>
      </c>
      <c r="E763">
        <v>22.521365999999997</v>
      </c>
      <c r="F763" t="s">
        <v>17</v>
      </c>
      <c r="G763">
        <v>0.8909999999999999</v>
      </c>
      <c r="H763">
        <v>20.066537105999995</v>
      </c>
      <c r="L763" t="s">
        <v>39</v>
      </c>
      <c r="M763">
        <v>6.9999999999999993E-3</v>
      </c>
      <c r="N763">
        <v>6.0199611317999988E-2</v>
      </c>
    </row>
    <row r="764" spans="1:14" x14ac:dyDescent="0.25">
      <c r="A764" s="23">
        <v>43861</v>
      </c>
      <c r="B764">
        <v>26.620999999999999</v>
      </c>
      <c r="C764" t="s">
        <v>19</v>
      </c>
      <c r="D764">
        <v>0.84599999999999997</v>
      </c>
      <c r="E764">
        <v>22.521365999999997</v>
      </c>
      <c r="F764" t="s">
        <v>49</v>
      </c>
      <c r="G764">
        <v>0.91299999999999992</v>
      </c>
      <c r="H764">
        <v>20.562007157999997</v>
      </c>
      <c r="I764" t="s">
        <v>11</v>
      </c>
      <c r="J764">
        <v>0.23300000000000001</v>
      </c>
      <c r="K764">
        <v>4.7909476678139997</v>
      </c>
      <c r="L764" t="s">
        <v>32</v>
      </c>
      <c r="M764">
        <v>7.9000000000000001E-2</v>
      </c>
      <c r="N764">
        <v>1.6243985654819997</v>
      </c>
    </row>
    <row r="765" spans="1:14" x14ac:dyDescent="0.25">
      <c r="A765" s="23">
        <v>43862</v>
      </c>
      <c r="B765">
        <v>26.620999999999999</v>
      </c>
      <c r="C765" t="s">
        <v>19</v>
      </c>
      <c r="D765">
        <v>0.84599999999999997</v>
      </c>
      <c r="E765">
        <v>22.521365999999997</v>
      </c>
      <c r="F765" t="s">
        <v>18</v>
      </c>
      <c r="G765">
        <v>0.91299999999999992</v>
      </c>
      <c r="H765">
        <v>20.562007157999997</v>
      </c>
      <c r="I765" t="s">
        <v>12</v>
      </c>
      <c r="J765">
        <v>0.23899999999999999</v>
      </c>
      <c r="K765">
        <v>4.9143197107619994</v>
      </c>
      <c r="L765" t="s">
        <v>33</v>
      </c>
      <c r="M765">
        <v>0.13200000000000001</v>
      </c>
      <c r="N765">
        <v>2.7141849448559996</v>
      </c>
    </row>
    <row r="766" spans="1:14" x14ac:dyDescent="0.25">
      <c r="A766" s="23">
        <v>43863</v>
      </c>
      <c r="B766">
        <v>26.620999999999999</v>
      </c>
      <c r="C766" t="s">
        <v>19</v>
      </c>
      <c r="D766">
        <v>0.84599999999999997</v>
      </c>
      <c r="E766">
        <v>22.521365999999997</v>
      </c>
      <c r="F766" t="s">
        <v>18</v>
      </c>
      <c r="G766">
        <v>0.91299999999999992</v>
      </c>
      <c r="H766">
        <v>20.562007157999997</v>
      </c>
      <c r="I766" t="s">
        <v>7</v>
      </c>
      <c r="J766">
        <v>3.3000000000000002E-2</v>
      </c>
      <c r="K766">
        <v>0.6785462362139999</v>
      </c>
      <c r="L766" t="s">
        <v>34</v>
      </c>
      <c r="M766">
        <v>0.161</v>
      </c>
      <c r="N766">
        <v>3.3104831524379996</v>
      </c>
    </row>
    <row r="767" spans="1:14" x14ac:dyDescent="0.25">
      <c r="A767" s="23">
        <v>43864</v>
      </c>
      <c r="B767">
        <v>26.620999999999999</v>
      </c>
      <c r="C767" t="s">
        <v>19</v>
      </c>
      <c r="D767">
        <v>0.84599999999999997</v>
      </c>
      <c r="E767">
        <v>22.521365999999997</v>
      </c>
      <c r="F767" t="s">
        <v>18</v>
      </c>
      <c r="G767">
        <v>0.91299999999999992</v>
      </c>
      <c r="H767">
        <v>20.562007157999997</v>
      </c>
      <c r="I767" t="s">
        <v>8</v>
      </c>
      <c r="J767">
        <v>0.36099999999999999</v>
      </c>
      <c r="K767">
        <v>7.4228845840379982</v>
      </c>
      <c r="L767" t="s">
        <v>35</v>
      </c>
      <c r="M767">
        <v>0.23699999999999999</v>
      </c>
      <c r="N767">
        <v>4.8731956964459986</v>
      </c>
    </row>
    <row r="768" spans="1:14" x14ac:dyDescent="0.25">
      <c r="A768" s="23">
        <v>43865</v>
      </c>
      <c r="B768">
        <v>26.620999999999999</v>
      </c>
      <c r="C768" t="s">
        <v>19</v>
      </c>
      <c r="D768">
        <v>0.84599999999999997</v>
      </c>
      <c r="E768">
        <v>22.521365999999997</v>
      </c>
      <c r="F768" t="s">
        <v>18</v>
      </c>
      <c r="G768">
        <v>0.91299999999999992</v>
      </c>
      <c r="H768">
        <v>20.562007157999997</v>
      </c>
      <c r="I768" t="s">
        <v>10</v>
      </c>
      <c r="J768">
        <v>2.7999999999999997E-2</v>
      </c>
      <c r="K768">
        <v>0.57573620042399987</v>
      </c>
      <c r="L768" t="s">
        <v>36</v>
      </c>
      <c r="M768">
        <v>0.188</v>
      </c>
      <c r="N768">
        <v>3.8656573457039993</v>
      </c>
    </row>
    <row r="769" spans="1:14" x14ac:dyDescent="0.25">
      <c r="A769" s="23">
        <v>43866</v>
      </c>
      <c r="B769">
        <v>26.620999999999999</v>
      </c>
      <c r="C769" t="s">
        <v>19</v>
      </c>
      <c r="D769">
        <v>0.84599999999999997</v>
      </c>
      <c r="E769">
        <v>22.521365999999997</v>
      </c>
      <c r="F769" t="s">
        <v>18</v>
      </c>
      <c r="G769">
        <v>0.91299999999999992</v>
      </c>
      <c r="H769">
        <v>20.562007157999997</v>
      </c>
      <c r="I769" t="s">
        <v>9</v>
      </c>
      <c r="J769">
        <v>8.5999999999999993E-2</v>
      </c>
      <c r="K769">
        <v>1.7683326155879995</v>
      </c>
      <c r="L769" t="s">
        <v>37</v>
      </c>
      <c r="M769">
        <v>0.14800000000000002</v>
      </c>
      <c r="N769">
        <v>3.043177059384</v>
      </c>
    </row>
    <row r="770" spans="1:14" x14ac:dyDescent="0.25">
      <c r="A770" s="23">
        <v>43867</v>
      </c>
      <c r="B770">
        <v>26.620999999999999</v>
      </c>
      <c r="C770" t="s">
        <v>19</v>
      </c>
      <c r="D770">
        <v>0.84599999999999997</v>
      </c>
      <c r="E770">
        <v>22.521365999999997</v>
      </c>
      <c r="F770" t="s">
        <v>18</v>
      </c>
      <c r="G770">
        <v>0.91299999999999992</v>
      </c>
      <c r="H770">
        <v>20.562007157999997</v>
      </c>
      <c r="I770" t="s">
        <v>55</v>
      </c>
      <c r="J770">
        <v>0.02</v>
      </c>
      <c r="L770" t="s">
        <v>38</v>
      </c>
      <c r="M770">
        <v>3.2000000000000001E-2</v>
      </c>
      <c r="N770">
        <v>0.65798422905599996</v>
      </c>
    </row>
    <row r="771" spans="1:14" x14ac:dyDescent="0.25">
      <c r="A771" s="23">
        <v>43868</v>
      </c>
      <c r="B771">
        <v>26.620999999999999</v>
      </c>
      <c r="C771" t="s">
        <v>19</v>
      </c>
      <c r="D771">
        <v>0.84599999999999997</v>
      </c>
      <c r="E771">
        <v>22.521365999999997</v>
      </c>
      <c r="F771" t="s">
        <v>18</v>
      </c>
      <c r="G771">
        <v>0.91299999999999992</v>
      </c>
      <c r="H771">
        <v>20.562007157999997</v>
      </c>
      <c r="L771" t="s">
        <v>39</v>
      </c>
      <c r="M771">
        <v>2.3E-2</v>
      </c>
      <c r="N771">
        <v>0.47292616463399989</v>
      </c>
    </row>
    <row r="772" spans="1:14" x14ac:dyDescent="0.25">
      <c r="A772" s="23">
        <v>43869</v>
      </c>
      <c r="B772">
        <v>26.771999999999998</v>
      </c>
      <c r="C772" t="s">
        <v>2</v>
      </c>
      <c r="D772">
        <v>0.155</v>
      </c>
      <c r="E772">
        <v>4.1496599999999999</v>
      </c>
      <c r="F772" t="s">
        <v>14</v>
      </c>
      <c r="G772">
        <v>0.16899999999999998</v>
      </c>
      <c r="H772">
        <v>0.70129253999999996</v>
      </c>
      <c r="I772" t="s">
        <v>11</v>
      </c>
      <c r="J772">
        <v>0.113</v>
      </c>
      <c r="K772">
        <v>7.9246057019999996E-2</v>
      </c>
      <c r="L772" t="s">
        <v>32</v>
      </c>
      <c r="M772">
        <v>2.6000000000000002E-2</v>
      </c>
      <c r="N772">
        <v>1.8233606039999999E-2</v>
      </c>
    </row>
    <row r="773" spans="1:14" x14ac:dyDescent="0.25">
      <c r="A773" s="23">
        <v>43870</v>
      </c>
      <c r="B773">
        <v>26.771999999999998</v>
      </c>
      <c r="C773" t="s">
        <v>2</v>
      </c>
      <c r="D773">
        <v>0.155</v>
      </c>
      <c r="E773">
        <v>4.1496599999999999</v>
      </c>
      <c r="F773" t="s">
        <v>43</v>
      </c>
      <c r="G773">
        <v>0.16899999999999998</v>
      </c>
      <c r="H773">
        <v>0.70129253999999996</v>
      </c>
      <c r="I773" t="s">
        <v>12</v>
      </c>
      <c r="J773">
        <v>3.4000000000000002E-2</v>
      </c>
      <c r="K773">
        <v>2.384394636E-2</v>
      </c>
      <c r="L773" t="s">
        <v>33</v>
      </c>
      <c r="M773">
        <v>8.199999999999999E-2</v>
      </c>
      <c r="N773">
        <v>5.7505988279999989E-2</v>
      </c>
    </row>
    <row r="774" spans="1:14" x14ac:dyDescent="0.25">
      <c r="A774" s="23">
        <v>43871</v>
      </c>
      <c r="B774">
        <v>26.771999999999998</v>
      </c>
      <c r="C774" t="s">
        <v>2</v>
      </c>
      <c r="D774">
        <v>0.155</v>
      </c>
      <c r="E774">
        <v>4.1496599999999999</v>
      </c>
      <c r="F774" t="s">
        <v>14</v>
      </c>
      <c r="G774">
        <v>0.16899999999999998</v>
      </c>
      <c r="H774">
        <v>0.70129253999999996</v>
      </c>
      <c r="I774" t="s">
        <v>7</v>
      </c>
      <c r="J774">
        <v>5.7999999999999996E-2</v>
      </c>
      <c r="K774">
        <v>4.0674967319999998E-2</v>
      </c>
      <c r="L774" t="s">
        <v>34</v>
      </c>
      <c r="M774">
        <v>0.13400000000000001</v>
      </c>
      <c r="N774">
        <v>9.3973200359999995E-2</v>
      </c>
    </row>
    <row r="775" spans="1:14" x14ac:dyDescent="0.25">
      <c r="A775" s="23">
        <v>43872</v>
      </c>
      <c r="B775">
        <v>26.771999999999998</v>
      </c>
      <c r="C775" t="s">
        <v>2</v>
      </c>
      <c r="D775">
        <v>0.155</v>
      </c>
      <c r="E775">
        <v>4.1496599999999999</v>
      </c>
      <c r="F775" t="s">
        <v>14</v>
      </c>
      <c r="G775">
        <v>0.16899999999999998</v>
      </c>
      <c r="H775">
        <v>0.70129253999999996</v>
      </c>
      <c r="I775" t="s">
        <v>8</v>
      </c>
      <c r="J775">
        <v>0.27699999999999997</v>
      </c>
      <c r="K775">
        <v>0.19425803357999996</v>
      </c>
      <c r="L775" t="s">
        <v>35</v>
      </c>
      <c r="M775">
        <v>0.247</v>
      </c>
      <c r="N775">
        <v>0.17321925737999999</v>
      </c>
    </row>
    <row r="776" spans="1:14" x14ac:dyDescent="0.25">
      <c r="A776" s="23">
        <v>43873</v>
      </c>
      <c r="B776">
        <v>26.771999999999998</v>
      </c>
      <c r="C776" t="s">
        <v>2</v>
      </c>
      <c r="D776">
        <v>0.155</v>
      </c>
      <c r="E776">
        <v>4.1496599999999999</v>
      </c>
      <c r="F776" t="s">
        <v>14</v>
      </c>
      <c r="G776">
        <v>0.16899999999999998</v>
      </c>
      <c r="H776">
        <v>0.70129253999999996</v>
      </c>
      <c r="I776" t="s">
        <v>10</v>
      </c>
      <c r="J776">
        <v>7.0999999999999994E-2</v>
      </c>
      <c r="K776">
        <v>4.9791770339999993E-2</v>
      </c>
      <c r="L776" t="s">
        <v>36</v>
      </c>
      <c r="M776">
        <v>0.22800000000000001</v>
      </c>
      <c r="N776">
        <v>0.15989469912000001</v>
      </c>
    </row>
    <row r="777" spans="1:14" x14ac:dyDescent="0.25">
      <c r="A777" s="23">
        <v>43874</v>
      </c>
      <c r="B777">
        <v>26.771999999999998</v>
      </c>
      <c r="C777" t="s">
        <v>2</v>
      </c>
      <c r="D777">
        <v>0.155</v>
      </c>
      <c r="E777">
        <v>4.1496599999999999</v>
      </c>
      <c r="F777" t="s">
        <v>14</v>
      </c>
      <c r="G777">
        <v>0.16899999999999998</v>
      </c>
      <c r="H777">
        <v>0.70129253999999996</v>
      </c>
      <c r="I777" t="s">
        <v>9</v>
      </c>
      <c r="J777">
        <v>0.43700000000000006</v>
      </c>
      <c r="K777">
        <v>0.30646483998000001</v>
      </c>
      <c r="L777" t="s">
        <v>37</v>
      </c>
      <c r="M777">
        <v>0.25</v>
      </c>
      <c r="N777">
        <v>0.17532313499999999</v>
      </c>
    </row>
    <row r="778" spans="1:14" x14ac:dyDescent="0.25">
      <c r="A778" s="23">
        <v>43875</v>
      </c>
      <c r="B778">
        <v>26.771999999999998</v>
      </c>
      <c r="C778" t="s">
        <v>2</v>
      </c>
      <c r="D778">
        <v>0.155</v>
      </c>
      <c r="E778">
        <v>4.1496599999999999</v>
      </c>
      <c r="F778" t="s">
        <v>14</v>
      </c>
      <c r="G778">
        <v>0.16899999999999998</v>
      </c>
      <c r="H778">
        <v>0.70129253999999996</v>
      </c>
      <c r="I778" t="s">
        <v>55</v>
      </c>
      <c r="J778">
        <v>8.9999999999999998E-4</v>
      </c>
      <c r="K778">
        <v>6.3116328599999996E-4</v>
      </c>
      <c r="L778" t="s">
        <v>38</v>
      </c>
      <c r="M778">
        <v>2.5000000000000001E-2</v>
      </c>
      <c r="N778">
        <v>1.75323135E-2</v>
      </c>
    </row>
    <row r="779" spans="1:14" x14ac:dyDescent="0.25">
      <c r="A779" s="23">
        <v>43876</v>
      </c>
      <c r="B779">
        <v>26.771999999999998</v>
      </c>
      <c r="C779" t="s">
        <v>2</v>
      </c>
      <c r="D779">
        <v>0.155</v>
      </c>
      <c r="E779">
        <v>4.1496599999999999</v>
      </c>
      <c r="F779" t="s">
        <v>14</v>
      </c>
      <c r="G779">
        <v>0.16899999999999998</v>
      </c>
      <c r="H779">
        <v>0.70129253999999996</v>
      </c>
      <c r="L779" t="s">
        <v>39</v>
      </c>
      <c r="M779">
        <v>8.0000000000000002E-3</v>
      </c>
      <c r="N779">
        <v>5.6103403199999997E-3</v>
      </c>
    </row>
    <row r="780" spans="1:14" x14ac:dyDescent="0.25">
      <c r="A780" s="23">
        <v>43877</v>
      </c>
      <c r="B780">
        <v>26.771999999999998</v>
      </c>
      <c r="C780" t="s">
        <v>2</v>
      </c>
      <c r="D780">
        <v>0.155</v>
      </c>
      <c r="E780">
        <v>4.1496599999999999</v>
      </c>
      <c r="F780" t="s">
        <v>44</v>
      </c>
      <c r="G780">
        <v>0.158</v>
      </c>
      <c r="H780">
        <v>0.65564628000000003</v>
      </c>
      <c r="I780" t="s">
        <v>11</v>
      </c>
      <c r="J780">
        <v>0</v>
      </c>
      <c r="K780">
        <v>0</v>
      </c>
      <c r="L780" t="s">
        <v>32</v>
      </c>
      <c r="M780">
        <v>0</v>
      </c>
      <c r="N780">
        <v>0</v>
      </c>
    </row>
    <row r="781" spans="1:14" x14ac:dyDescent="0.25">
      <c r="A781" s="23">
        <v>43878</v>
      </c>
      <c r="B781">
        <v>26.771999999999998</v>
      </c>
      <c r="C781" t="s">
        <v>2</v>
      </c>
      <c r="D781">
        <v>0.155</v>
      </c>
      <c r="E781">
        <v>4.1496599999999999</v>
      </c>
      <c r="F781" t="s">
        <v>15</v>
      </c>
      <c r="G781">
        <v>0.158</v>
      </c>
      <c r="H781">
        <v>0.65564628000000003</v>
      </c>
      <c r="I781" t="s">
        <v>12</v>
      </c>
      <c r="J781">
        <v>1.3000000000000001E-2</v>
      </c>
      <c r="K781">
        <v>8.5234016400000008E-3</v>
      </c>
      <c r="L781" t="s">
        <v>33</v>
      </c>
      <c r="M781">
        <v>6.7000000000000004E-2</v>
      </c>
      <c r="N781">
        <v>4.3928300760000004E-2</v>
      </c>
    </row>
    <row r="782" spans="1:14" x14ac:dyDescent="0.25">
      <c r="A782" s="23">
        <v>43879</v>
      </c>
      <c r="B782">
        <v>26.771999999999998</v>
      </c>
      <c r="C782" t="s">
        <v>2</v>
      </c>
      <c r="D782">
        <v>0.155</v>
      </c>
      <c r="E782">
        <v>4.1496599999999999</v>
      </c>
      <c r="F782" t="s">
        <v>15</v>
      </c>
      <c r="G782">
        <v>0.158</v>
      </c>
      <c r="H782">
        <v>0.65564628000000003</v>
      </c>
      <c r="I782" t="s">
        <v>7</v>
      </c>
      <c r="J782">
        <v>0</v>
      </c>
      <c r="K782">
        <v>0</v>
      </c>
      <c r="L782" t="s">
        <v>34</v>
      </c>
      <c r="M782">
        <v>0.217</v>
      </c>
      <c r="N782">
        <v>0.14227524276</v>
      </c>
    </row>
    <row r="783" spans="1:14" x14ac:dyDescent="0.25">
      <c r="A783" s="23">
        <v>43880</v>
      </c>
      <c r="B783">
        <v>26.771999999999998</v>
      </c>
      <c r="C783" t="s">
        <v>2</v>
      </c>
      <c r="D783">
        <v>0.155</v>
      </c>
      <c r="E783">
        <v>4.1496599999999999</v>
      </c>
      <c r="F783" t="s">
        <v>15</v>
      </c>
      <c r="G783">
        <v>0.158</v>
      </c>
      <c r="H783">
        <v>0.65564628000000003</v>
      </c>
      <c r="I783" t="s">
        <v>8</v>
      </c>
      <c r="J783">
        <v>0.42599999999999999</v>
      </c>
      <c r="K783">
        <v>0.27930531528000002</v>
      </c>
      <c r="L783" t="s">
        <v>35</v>
      </c>
      <c r="M783">
        <v>0.20199999999999999</v>
      </c>
      <c r="N783">
        <v>0.13244054855999998</v>
      </c>
    </row>
    <row r="784" spans="1:14" x14ac:dyDescent="0.25">
      <c r="A784" s="23">
        <v>43881</v>
      </c>
      <c r="B784">
        <v>26.771999999999998</v>
      </c>
      <c r="C784" t="s">
        <v>2</v>
      </c>
      <c r="D784">
        <v>0.155</v>
      </c>
      <c r="E784">
        <v>4.1496599999999999</v>
      </c>
      <c r="F784" t="s">
        <v>15</v>
      </c>
      <c r="G784">
        <v>0.158</v>
      </c>
      <c r="H784">
        <v>0.65564628000000003</v>
      </c>
      <c r="I784" t="s">
        <v>10</v>
      </c>
      <c r="J784">
        <v>0.13300000000000001</v>
      </c>
      <c r="K784">
        <v>8.7200955240000003E-2</v>
      </c>
      <c r="L784" t="s">
        <v>36</v>
      </c>
      <c r="M784">
        <v>0.20399999999999999</v>
      </c>
      <c r="N784">
        <v>0.13375184111999999</v>
      </c>
    </row>
    <row r="785" spans="1:14" x14ac:dyDescent="0.25">
      <c r="A785" s="23">
        <v>43882</v>
      </c>
      <c r="B785">
        <v>26.771999999999998</v>
      </c>
      <c r="C785" t="s">
        <v>2</v>
      </c>
      <c r="D785">
        <v>0.155</v>
      </c>
      <c r="E785">
        <v>4.1496599999999999</v>
      </c>
      <c r="F785" t="s">
        <v>15</v>
      </c>
      <c r="G785">
        <v>0.158</v>
      </c>
      <c r="H785">
        <v>0.65564628000000003</v>
      </c>
      <c r="I785" t="s">
        <v>9</v>
      </c>
      <c r="J785">
        <v>0.41799999999999998</v>
      </c>
      <c r="K785">
        <v>0.27406014503999998</v>
      </c>
      <c r="L785" t="s">
        <v>37</v>
      </c>
      <c r="M785">
        <v>0.3</v>
      </c>
      <c r="N785">
        <v>0.19669388400000001</v>
      </c>
    </row>
    <row r="786" spans="1:14" x14ac:dyDescent="0.25">
      <c r="A786" s="23">
        <v>43883</v>
      </c>
      <c r="B786">
        <v>26.771999999999998</v>
      </c>
      <c r="C786" t="s">
        <v>2</v>
      </c>
      <c r="D786">
        <v>0.155</v>
      </c>
      <c r="E786">
        <v>4.1496599999999999</v>
      </c>
      <c r="F786" t="s">
        <v>15</v>
      </c>
      <c r="G786">
        <v>0.158</v>
      </c>
      <c r="H786">
        <v>0.65564628000000003</v>
      </c>
      <c r="I786" t="s">
        <v>55</v>
      </c>
      <c r="J786">
        <v>8.9999999999999998E-4</v>
      </c>
      <c r="K786">
        <v>5.90081652E-4</v>
      </c>
      <c r="L786" t="s">
        <v>38</v>
      </c>
      <c r="M786">
        <v>1.1000000000000001E-2</v>
      </c>
      <c r="N786">
        <v>7.2121090800000009E-3</v>
      </c>
    </row>
    <row r="787" spans="1:14" x14ac:dyDescent="0.25">
      <c r="A787" s="23">
        <v>43884</v>
      </c>
      <c r="B787">
        <v>26.771999999999998</v>
      </c>
      <c r="C787" t="s">
        <v>2</v>
      </c>
      <c r="D787">
        <v>0.155</v>
      </c>
      <c r="E787">
        <v>4.1496599999999999</v>
      </c>
      <c r="F787" t="s">
        <v>15</v>
      </c>
      <c r="G787">
        <v>0.158</v>
      </c>
      <c r="H787">
        <v>0.65564628000000003</v>
      </c>
      <c r="L787" t="s">
        <v>39</v>
      </c>
      <c r="M787">
        <v>0</v>
      </c>
      <c r="N787">
        <v>0</v>
      </c>
    </row>
    <row r="788" spans="1:14" x14ac:dyDescent="0.25">
      <c r="A788" s="23">
        <v>43885</v>
      </c>
      <c r="B788">
        <v>26.771999999999998</v>
      </c>
      <c r="C788" t="s">
        <v>2</v>
      </c>
      <c r="D788">
        <v>0.155</v>
      </c>
      <c r="E788">
        <v>4.1496599999999999</v>
      </c>
      <c r="F788" t="s">
        <v>45</v>
      </c>
      <c r="G788">
        <v>0.14199999999999999</v>
      </c>
      <c r="H788">
        <v>0.58925171999999992</v>
      </c>
      <c r="I788" t="s">
        <v>11</v>
      </c>
      <c r="J788">
        <v>8.199999999999999E-2</v>
      </c>
      <c r="K788">
        <v>4.8318641039999985E-2</v>
      </c>
      <c r="L788" t="s">
        <v>32</v>
      </c>
      <c r="M788">
        <v>2.7000000000000003E-2</v>
      </c>
      <c r="N788">
        <v>1.5909796439999999E-2</v>
      </c>
    </row>
    <row r="789" spans="1:14" x14ac:dyDescent="0.25">
      <c r="A789" s="23">
        <v>43886</v>
      </c>
      <c r="B789">
        <v>26.771999999999998</v>
      </c>
      <c r="C789" t="s">
        <v>2</v>
      </c>
      <c r="D789">
        <v>0.155</v>
      </c>
      <c r="E789">
        <v>4.1496599999999999</v>
      </c>
      <c r="F789" t="s">
        <v>16</v>
      </c>
      <c r="G789">
        <v>0.14199999999999999</v>
      </c>
      <c r="H789">
        <v>0.58925171999999992</v>
      </c>
      <c r="I789" t="s">
        <v>12</v>
      </c>
      <c r="J789">
        <v>0.04</v>
      </c>
      <c r="K789">
        <v>2.3570068799999996E-2</v>
      </c>
      <c r="L789" t="s">
        <v>33</v>
      </c>
      <c r="M789">
        <v>9.3000000000000013E-2</v>
      </c>
      <c r="N789">
        <v>5.4800409959999997E-2</v>
      </c>
    </row>
    <row r="790" spans="1:14" x14ac:dyDescent="0.25">
      <c r="A790" s="23">
        <v>43887</v>
      </c>
      <c r="B790">
        <v>26.771999999999998</v>
      </c>
      <c r="C790" t="s">
        <v>2</v>
      </c>
      <c r="D790">
        <v>0.155</v>
      </c>
      <c r="E790">
        <v>4.1496599999999999</v>
      </c>
      <c r="F790" t="s">
        <v>16</v>
      </c>
      <c r="G790">
        <v>0.14199999999999999</v>
      </c>
      <c r="H790">
        <v>0.58925171999999992</v>
      </c>
      <c r="I790" t="s">
        <v>7</v>
      </c>
      <c r="J790">
        <v>0.03</v>
      </c>
      <c r="K790">
        <v>1.7677551599999997E-2</v>
      </c>
      <c r="L790" t="s">
        <v>34</v>
      </c>
      <c r="M790">
        <v>0.152</v>
      </c>
      <c r="N790">
        <v>8.9566261439999989E-2</v>
      </c>
    </row>
    <row r="791" spans="1:14" x14ac:dyDescent="0.25">
      <c r="A791" s="23">
        <v>43888</v>
      </c>
      <c r="B791">
        <v>26.771999999999998</v>
      </c>
      <c r="C791" t="s">
        <v>2</v>
      </c>
      <c r="D791">
        <v>0.155</v>
      </c>
      <c r="E791">
        <v>4.1496599999999999</v>
      </c>
      <c r="F791" t="s">
        <v>16</v>
      </c>
      <c r="G791">
        <v>0.14199999999999999</v>
      </c>
      <c r="H791">
        <v>0.58925171999999992</v>
      </c>
      <c r="I791" t="s">
        <v>8</v>
      </c>
      <c r="J791">
        <v>0.21899999999999997</v>
      </c>
      <c r="K791">
        <v>0.12904612667999996</v>
      </c>
      <c r="L791" t="s">
        <v>35</v>
      </c>
      <c r="M791">
        <v>0.28999999999999998</v>
      </c>
      <c r="N791">
        <v>0.17088299879999996</v>
      </c>
    </row>
    <row r="792" spans="1:14" x14ac:dyDescent="0.25">
      <c r="A792" s="23">
        <v>43889</v>
      </c>
      <c r="B792">
        <v>26.771999999999998</v>
      </c>
      <c r="C792" t="s">
        <v>2</v>
      </c>
      <c r="D792">
        <v>0.155</v>
      </c>
      <c r="E792">
        <v>4.1496599999999999</v>
      </c>
      <c r="F792" t="s">
        <v>16</v>
      </c>
      <c r="G792">
        <v>0.14199999999999999</v>
      </c>
      <c r="H792">
        <v>0.58925171999999992</v>
      </c>
      <c r="I792" t="s">
        <v>10</v>
      </c>
      <c r="J792">
        <v>7.5999999999999998E-2</v>
      </c>
      <c r="K792">
        <v>4.4783130719999995E-2</v>
      </c>
      <c r="L792" t="s">
        <v>36</v>
      </c>
      <c r="M792">
        <v>0.20699999999999999</v>
      </c>
      <c r="N792">
        <v>0.12197510603999998</v>
      </c>
    </row>
    <row r="793" spans="1:14" x14ac:dyDescent="0.25">
      <c r="A793" s="23">
        <v>43890</v>
      </c>
      <c r="B793">
        <v>26.771999999999998</v>
      </c>
      <c r="C793" t="s">
        <v>2</v>
      </c>
      <c r="D793">
        <v>0.155</v>
      </c>
      <c r="E793">
        <v>4.1496599999999999</v>
      </c>
      <c r="F793" t="s">
        <v>16</v>
      </c>
      <c r="G793">
        <v>0.14199999999999999</v>
      </c>
      <c r="H793">
        <v>0.58925171999999992</v>
      </c>
      <c r="I793" t="s">
        <v>9</v>
      </c>
      <c r="J793">
        <v>0.53600000000000003</v>
      </c>
      <c r="K793">
        <v>0.31583892191999996</v>
      </c>
      <c r="L793" t="s">
        <v>37</v>
      </c>
      <c r="M793">
        <v>0.20399999999999999</v>
      </c>
      <c r="N793">
        <v>0.12020735087999998</v>
      </c>
    </row>
    <row r="794" spans="1:14" x14ac:dyDescent="0.25">
      <c r="A794" s="23">
        <v>43891</v>
      </c>
      <c r="B794">
        <v>26.771999999999998</v>
      </c>
      <c r="C794" t="s">
        <v>2</v>
      </c>
      <c r="D794">
        <v>0.155</v>
      </c>
      <c r="E794">
        <v>4.1496599999999999</v>
      </c>
      <c r="F794" t="s">
        <v>16</v>
      </c>
      <c r="G794">
        <v>0.14199999999999999</v>
      </c>
      <c r="H794">
        <v>0.58925171999999992</v>
      </c>
      <c r="I794" t="s">
        <v>55</v>
      </c>
      <c r="J794">
        <v>1.7000000000000001E-2</v>
      </c>
      <c r="K794">
        <v>1.001727924E-2</v>
      </c>
      <c r="L794" t="s">
        <v>38</v>
      </c>
      <c r="M794">
        <v>0.02</v>
      </c>
      <c r="N794">
        <v>1.1785034399999998E-2</v>
      </c>
    </row>
    <row r="795" spans="1:14" x14ac:dyDescent="0.25">
      <c r="A795" s="23">
        <v>43892</v>
      </c>
      <c r="B795">
        <v>26.771999999999998</v>
      </c>
      <c r="C795" t="s">
        <v>2</v>
      </c>
      <c r="D795">
        <v>0.155</v>
      </c>
      <c r="E795">
        <v>4.1496599999999999</v>
      </c>
      <c r="F795" t="s">
        <v>16</v>
      </c>
      <c r="G795">
        <v>0.14199999999999999</v>
      </c>
      <c r="H795">
        <v>0.58925171999999992</v>
      </c>
      <c r="L795" t="s">
        <v>39</v>
      </c>
      <c r="M795">
        <v>6.9999999999999993E-3</v>
      </c>
      <c r="N795">
        <v>4.1247620399999987E-3</v>
      </c>
    </row>
    <row r="796" spans="1:14" x14ac:dyDescent="0.25">
      <c r="A796" s="23">
        <v>43893</v>
      </c>
      <c r="B796">
        <v>26.771999999999998</v>
      </c>
      <c r="C796" t="s">
        <v>2</v>
      </c>
      <c r="D796">
        <v>0.155</v>
      </c>
      <c r="E796">
        <v>4.1496599999999999</v>
      </c>
      <c r="F796" t="s">
        <v>46</v>
      </c>
      <c r="G796">
        <v>0.19399999999999998</v>
      </c>
      <c r="H796">
        <v>0.8050340399999999</v>
      </c>
      <c r="I796" t="s">
        <v>11</v>
      </c>
      <c r="J796">
        <v>0.26100000000000001</v>
      </c>
      <c r="K796">
        <v>0.21011388443999998</v>
      </c>
      <c r="L796" t="s">
        <v>32</v>
      </c>
      <c r="M796">
        <v>0.03</v>
      </c>
      <c r="N796">
        <v>2.4151021199999997E-2</v>
      </c>
    </row>
    <row r="797" spans="1:14" x14ac:dyDescent="0.25">
      <c r="A797" s="23">
        <v>43894</v>
      </c>
      <c r="B797">
        <v>26.771999999999998</v>
      </c>
      <c r="C797" t="s">
        <v>2</v>
      </c>
      <c r="D797">
        <v>0.155</v>
      </c>
      <c r="E797">
        <v>4.1496599999999999</v>
      </c>
      <c r="F797" t="s">
        <v>13</v>
      </c>
      <c r="G797">
        <v>0.19399999999999998</v>
      </c>
      <c r="H797">
        <v>0.8050340399999999</v>
      </c>
      <c r="I797" t="s">
        <v>12</v>
      </c>
      <c r="J797">
        <v>6.3E-2</v>
      </c>
      <c r="K797">
        <v>5.0717144519999993E-2</v>
      </c>
      <c r="L797" t="s">
        <v>33</v>
      </c>
      <c r="M797">
        <v>8.5999999999999993E-2</v>
      </c>
      <c r="N797">
        <v>6.9232927439999981E-2</v>
      </c>
    </row>
    <row r="798" spans="1:14" x14ac:dyDescent="0.25">
      <c r="A798" s="23">
        <v>43895</v>
      </c>
      <c r="B798">
        <v>26.771999999999998</v>
      </c>
      <c r="C798" t="s">
        <v>2</v>
      </c>
      <c r="D798">
        <v>0.155</v>
      </c>
      <c r="E798">
        <v>4.1496599999999999</v>
      </c>
      <c r="F798" t="s">
        <v>13</v>
      </c>
      <c r="G798">
        <v>0.19399999999999998</v>
      </c>
      <c r="H798">
        <v>0.8050340399999999</v>
      </c>
      <c r="I798" t="s">
        <v>7</v>
      </c>
      <c r="J798">
        <v>0.10099999999999999</v>
      </c>
      <c r="K798">
        <v>8.1308438039999986E-2</v>
      </c>
      <c r="L798" t="s">
        <v>34</v>
      </c>
      <c r="M798">
        <v>0.11699999999999999</v>
      </c>
      <c r="N798">
        <v>9.4188982679999977E-2</v>
      </c>
    </row>
    <row r="799" spans="1:14" x14ac:dyDescent="0.25">
      <c r="A799" s="23">
        <v>43896</v>
      </c>
      <c r="B799">
        <v>26.771999999999998</v>
      </c>
      <c r="C799" t="s">
        <v>2</v>
      </c>
      <c r="D799">
        <v>0.155</v>
      </c>
      <c r="E799">
        <v>4.1496599999999999</v>
      </c>
      <c r="F799" t="s">
        <v>13</v>
      </c>
      <c r="G799">
        <v>0.19399999999999998</v>
      </c>
      <c r="H799">
        <v>0.8050340399999999</v>
      </c>
      <c r="I799" t="s">
        <v>8</v>
      </c>
      <c r="J799">
        <v>0.313</v>
      </c>
      <c r="K799">
        <v>0.25197565451999998</v>
      </c>
      <c r="L799" t="s">
        <v>35</v>
      </c>
      <c r="M799">
        <v>0.28499999999999998</v>
      </c>
      <c r="N799">
        <v>0.22943470139999994</v>
      </c>
    </row>
    <row r="800" spans="1:14" x14ac:dyDescent="0.25">
      <c r="A800" s="23">
        <v>43897</v>
      </c>
      <c r="B800">
        <v>26.771999999999998</v>
      </c>
      <c r="C800" t="s">
        <v>2</v>
      </c>
      <c r="D800">
        <v>0.155</v>
      </c>
      <c r="E800">
        <v>4.1496599999999999</v>
      </c>
      <c r="F800" t="s">
        <v>13</v>
      </c>
      <c r="G800">
        <v>0.19399999999999998</v>
      </c>
      <c r="H800">
        <v>0.8050340399999999</v>
      </c>
      <c r="I800" t="s">
        <v>10</v>
      </c>
      <c r="J800">
        <v>4.2000000000000003E-2</v>
      </c>
      <c r="K800">
        <v>3.3811429679999998E-2</v>
      </c>
      <c r="L800" t="s">
        <v>36</v>
      </c>
      <c r="M800">
        <v>0.26</v>
      </c>
      <c r="N800">
        <v>0.20930885039999997</v>
      </c>
    </row>
    <row r="801" spans="1:14" x14ac:dyDescent="0.25">
      <c r="A801" s="23">
        <v>43898</v>
      </c>
      <c r="B801">
        <v>26.771999999999998</v>
      </c>
      <c r="C801" t="s">
        <v>2</v>
      </c>
      <c r="D801">
        <v>0.155</v>
      </c>
      <c r="E801">
        <v>4.1496599999999999</v>
      </c>
      <c r="F801" t="s">
        <v>13</v>
      </c>
      <c r="G801">
        <v>0.19399999999999998</v>
      </c>
      <c r="H801">
        <v>0.8050340399999999</v>
      </c>
      <c r="I801" t="s">
        <v>9</v>
      </c>
      <c r="J801">
        <v>0.20800000000000002</v>
      </c>
      <c r="K801">
        <v>0.16744708032</v>
      </c>
      <c r="L801" t="s">
        <v>37</v>
      </c>
      <c r="M801">
        <v>0.185</v>
      </c>
      <c r="N801">
        <v>0.14893129739999997</v>
      </c>
    </row>
    <row r="802" spans="1:14" x14ac:dyDescent="0.25">
      <c r="A802" s="23">
        <v>43899</v>
      </c>
      <c r="B802">
        <v>26.771999999999998</v>
      </c>
      <c r="C802" t="s">
        <v>2</v>
      </c>
      <c r="D802">
        <v>0.155</v>
      </c>
      <c r="E802">
        <v>4.1496599999999999</v>
      </c>
      <c r="F802" t="s">
        <v>13</v>
      </c>
      <c r="G802">
        <v>0.19399999999999998</v>
      </c>
      <c r="H802">
        <v>0.8050340399999999</v>
      </c>
      <c r="I802" t="s">
        <v>55</v>
      </c>
      <c r="J802">
        <v>1.2E-2</v>
      </c>
      <c r="K802">
        <v>9.6604084799999986E-3</v>
      </c>
      <c r="L802" t="s">
        <v>38</v>
      </c>
      <c r="M802">
        <v>2.1000000000000001E-2</v>
      </c>
      <c r="N802">
        <v>1.6905714839999999E-2</v>
      </c>
    </row>
    <row r="803" spans="1:14" x14ac:dyDescent="0.25">
      <c r="A803" s="23">
        <v>43900</v>
      </c>
      <c r="B803">
        <v>26.771999999999998</v>
      </c>
      <c r="C803" t="s">
        <v>2</v>
      </c>
      <c r="D803">
        <v>0.155</v>
      </c>
      <c r="E803">
        <v>4.1496599999999999</v>
      </c>
      <c r="F803" t="s">
        <v>13</v>
      </c>
      <c r="G803">
        <v>0.19399999999999998</v>
      </c>
      <c r="H803">
        <v>0.8050340399999999</v>
      </c>
      <c r="L803" t="s">
        <v>39</v>
      </c>
      <c r="M803">
        <v>1.4999999999999999E-2</v>
      </c>
      <c r="N803">
        <v>1.2075510599999999E-2</v>
      </c>
    </row>
    <row r="804" spans="1:14" x14ac:dyDescent="0.25">
      <c r="A804" s="23">
        <v>43901</v>
      </c>
      <c r="B804">
        <v>26.771999999999998</v>
      </c>
      <c r="C804" t="s">
        <v>2</v>
      </c>
      <c r="D804">
        <v>0.155</v>
      </c>
      <c r="E804">
        <v>4.1496599999999999</v>
      </c>
      <c r="F804" t="s">
        <v>47</v>
      </c>
      <c r="G804">
        <v>0.10099999999999999</v>
      </c>
      <c r="H804">
        <v>0.41911565999999995</v>
      </c>
      <c r="I804" t="s">
        <v>11</v>
      </c>
      <c r="J804">
        <v>0</v>
      </c>
      <c r="K804">
        <v>0</v>
      </c>
      <c r="L804" t="s">
        <v>32</v>
      </c>
      <c r="M804">
        <v>0</v>
      </c>
      <c r="N804">
        <v>0</v>
      </c>
    </row>
    <row r="805" spans="1:14" x14ac:dyDescent="0.25">
      <c r="A805" s="23">
        <v>43902</v>
      </c>
      <c r="B805">
        <v>26.771999999999998</v>
      </c>
      <c r="C805" t="s">
        <v>2</v>
      </c>
      <c r="D805">
        <v>0.155</v>
      </c>
      <c r="E805">
        <v>4.1496599999999999</v>
      </c>
      <c r="F805" t="s">
        <v>17</v>
      </c>
      <c r="G805">
        <v>0.10099999999999999</v>
      </c>
      <c r="H805">
        <v>0.41911565999999995</v>
      </c>
      <c r="I805" t="s">
        <v>12</v>
      </c>
      <c r="J805">
        <v>4.4000000000000004E-2</v>
      </c>
      <c r="K805">
        <v>1.8441089040000001E-2</v>
      </c>
      <c r="L805" t="s">
        <v>33</v>
      </c>
      <c r="M805">
        <v>0</v>
      </c>
      <c r="N805">
        <v>0</v>
      </c>
    </row>
    <row r="806" spans="1:14" x14ac:dyDescent="0.25">
      <c r="A806" s="23">
        <v>43903</v>
      </c>
      <c r="B806">
        <v>26.771999999999998</v>
      </c>
      <c r="C806" t="s">
        <v>2</v>
      </c>
      <c r="D806">
        <v>0.155</v>
      </c>
      <c r="E806">
        <v>4.1496599999999999</v>
      </c>
      <c r="F806" t="s">
        <v>17</v>
      </c>
      <c r="G806">
        <v>0.10099999999999999</v>
      </c>
      <c r="H806">
        <v>0.41911565999999995</v>
      </c>
      <c r="I806" t="s">
        <v>7</v>
      </c>
      <c r="J806">
        <v>0</v>
      </c>
      <c r="K806">
        <v>0</v>
      </c>
      <c r="L806" t="s">
        <v>34</v>
      </c>
      <c r="M806">
        <v>0.184</v>
      </c>
      <c r="N806">
        <v>7.7117281439999991E-2</v>
      </c>
    </row>
    <row r="807" spans="1:14" x14ac:dyDescent="0.25">
      <c r="A807" s="23">
        <v>43904</v>
      </c>
      <c r="B807">
        <v>26.771999999999998</v>
      </c>
      <c r="C807" t="s">
        <v>2</v>
      </c>
      <c r="D807">
        <v>0.155</v>
      </c>
      <c r="E807">
        <v>4.1496599999999999</v>
      </c>
      <c r="F807" t="s">
        <v>17</v>
      </c>
      <c r="G807">
        <v>0.10099999999999999</v>
      </c>
      <c r="H807">
        <v>0.41911565999999995</v>
      </c>
      <c r="I807" t="s">
        <v>8</v>
      </c>
      <c r="J807">
        <v>0.52400000000000002</v>
      </c>
      <c r="K807">
        <v>0.21961660583999998</v>
      </c>
      <c r="L807" t="s">
        <v>35</v>
      </c>
      <c r="M807">
        <v>0.29600000000000004</v>
      </c>
      <c r="N807">
        <v>0.12405823536</v>
      </c>
    </row>
    <row r="808" spans="1:14" x14ac:dyDescent="0.25">
      <c r="A808" s="23">
        <v>43905</v>
      </c>
      <c r="B808">
        <v>26.771999999999998</v>
      </c>
      <c r="C808" t="s">
        <v>2</v>
      </c>
      <c r="D808">
        <v>0.155</v>
      </c>
      <c r="E808">
        <v>4.1496599999999999</v>
      </c>
      <c r="F808" t="s">
        <v>17</v>
      </c>
      <c r="G808">
        <v>0.10099999999999999</v>
      </c>
      <c r="H808">
        <v>0.41911565999999995</v>
      </c>
      <c r="I808" t="s">
        <v>10</v>
      </c>
      <c r="J808">
        <v>0</v>
      </c>
      <c r="K808">
        <v>0</v>
      </c>
      <c r="L808" t="s">
        <v>36</v>
      </c>
      <c r="M808">
        <v>0.33600000000000002</v>
      </c>
      <c r="N808">
        <v>0.14082286176</v>
      </c>
    </row>
    <row r="809" spans="1:14" x14ac:dyDescent="0.25">
      <c r="A809" s="23">
        <v>43906</v>
      </c>
      <c r="B809">
        <v>26.771999999999998</v>
      </c>
      <c r="C809" t="s">
        <v>2</v>
      </c>
      <c r="D809">
        <v>0.155</v>
      </c>
      <c r="E809">
        <v>4.1496599999999999</v>
      </c>
      <c r="F809" t="s">
        <v>17</v>
      </c>
      <c r="G809">
        <v>0.10099999999999999</v>
      </c>
      <c r="H809">
        <v>0.41911565999999995</v>
      </c>
      <c r="I809" t="s">
        <v>9</v>
      </c>
      <c r="J809">
        <v>0.41799999999999998</v>
      </c>
      <c r="K809">
        <v>0.17519034587999996</v>
      </c>
      <c r="L809" t="s">
        <v>37</v>
      </c>
      <c r="M809">
        <v>0.185</v>
      </c>
      <c r="N809">
        <v>7.7536397099999987E-2</v>
      </c>
    </row>
    <row r="810" spans="1:14" x14ac:dyDescent="0.25">
      <c r="A810" s="23">
        <v>43907</v>
      </c>
      <c r="B810">
        <v>26.771999999999998</v>
      </c>
      <c r="C810" t="s">
        <v>2</v>
      </c>
      <c r="D810">
        <v>0.155</v>
      </c>
      <c r="E810">
        <v>4.1496599999999999</v>
      </c>
      <c r="F810" t="s">
        <v>17</v>
      </c>
      <c r="G810">
        <v>0.10099999999999999</v>
      </c>
      <c r="H810">
        <v>0.41911565999999995</v>
      </c>
      <c r="I810" t="s">
        <v>55</v>
      </c>
      <c r="J810">
        <v>1.0000000000000001E-5</v>
      </c>
      <c r="K810">
        <v>4.1911565999999999E-6</v>
      </c>
      <c r="L810" t="s">
        <v>38</v>
      </c>
      <c r="M810">
        <v>0</v>
      </c>
      <c r="N810">
        <v>0</v>
      </c>
    </row>
    <row r="811" spans="1:14" x14ac:dyDescent="0.25">
      <c r="A811" s="23">
        <v>43908</v>
      </c>
      <c r="B811">
        <v>26.771999999999998</v>
      </c>
      <c r="C811" t="s">
        <v>2</v>
      </c>
      <c r="D811">
        <v>0.155</v>
      </c>
      <c r="E811">
        <v>4.1496599999999999</v>
      </c>
      <c r="F811" t="s">
        <v>17</v>
      </c>
      <c r="G811">
        <v>0.10099999999999999</v>
      </c>
      <c r="H811">
        <v>0.41911565999999995</v>
      </c>
      <c r="L811" t="s">
        <v>39</v>
      </c>
      <c r="M811">
        <v>0</v>
      </c>
      <c r="N811">
        <v>0</v>
      </c>
    </row>
    <row r="812" spans="1:14" x14ac:dyDescent="0.25">
      <c r="A812" s="23">
        <v>43909</v>
      </c>
      <c r="B812">
        <v>26.771999999999998</v>
      </c>
      <c r="C812" t="s">
        <v>2</v>
      </c>
      <c r="D812">
        <v>0.155</v>
      </c>
      <c r="E812">
        <v>4.1496599999999999</v>
      </c>
      <c r="F812" t="s">
        <v>18</v>
      </c>
      <c r="G812">
        <v>9.1999999999999998E-2</v>
      </c>
      <c r="H812">
        <v>0.38176872000000001</v>
      </c>
      <c r="I812" t="s">
        <v>11</v>
      </c>
      <c r="J812">
        <v>0.45600000000000002</v>
      </c>
      <c r="K812">
        <v>0.17408653632000001</v>
      </c>
      <c r="L812" t="s">
        <v>32</v>
      </c>
      <c r="M812">
        <v>5.0999999999999997E-2</v>
      </c>
      <c r="N812">
        <v>1.9470204719999998E-2</v>
      </c>
    </row>
    <row r="813" spans="1:14" x14ac:dyDescent="0.25">
      <c r="A813" s="23">
        <v>43910</v>
      </c>
      <c r="B813">
        <v>26.771999999999998</v>
      </c>
      <c r="C813" t="s">
        <v>2</v>
      </c>
      <c r="D813">
        <v>0.155</v>
      </c>
      <c r="E813">
        <v>4.1496599999999999</v>
      </c>
      <c r="F813" t="s">
        <v>18</v>
      </c>
      <c r="G813">
        <v>9.1999999999999998E-2</v>
      </c>
      <c r="H813">
        <v>0.38176872000000001</v>
      </c>
      <c r="I813" t="s">
        <v>12</v>
      </c>
      <c r="J813">
        <v>0.04</v>
      </c>
      <c r="K813">
        <v>1.5270748800000001E-2</v>
      </c>
      <c r="L813" t="s">
        <v>33</v>
      </c>
      <c r="M813">
        <v>7.400000000000001E-2</v>
      </c>
      <c r="N813">
        <v>2.8250885280000006E-2</v>
      </c>
    </row>
    <row r="814" spans="1:14" x14ac:dyDescent="0.25">
      <c r="A814" s="23">
        <v>43911</v>
      </c>
      <c r="B814">
        <v>26.771999999999998</v>
      </c>
      <c r="C814" t="s">
        <v>2</v>
      </c>
      <c r="D814">
        <v>0.155</v>
      </c>
      <c r="E814">
        <v>4.1496599999999999</v>
      </c>
      <c r="F814" t="s">
        <v>18</v>
      </c>
      <c r="G814">
        <v>9.1999999999999998E-2</v>
      </c>
      <c r="H814">
        <v>0.38176872000000001</v>
      </c>
      <c r="I814" t="s">
        <v>7</v>
      </c>
      <c r="J814">
        <v>0.08</v>
      </c>
      <c r="K814">
        <v>3.0541497600000002E-2</v>
      </c>
      <c r="L814" t="s">
        <v>34</v>
      </c>
      <c r="M814">
        <v>0.13</v>
      </c>
      <c r="N814">
        <v>4.9629933600000002E-2</v>
      </c>
    </row>
    <row r="815" spans="1:14" x14ac:dyDescent="0.25">
      <c r="A815" s="23">
        <v>43912</v>
      </c>
      <c r="B815">
        <v>26.771999999999998</v>
      </c>
      <c r="C815" t="s">
        <v>2</v>
      </c>
      <c r="D815">
        <v>0.155</v>
      </c>
      <c r="E815">
        <v>4.1496599999999999</v>
      </c>
      <c r="F815" t="s">
        <v>18</v>
      </c>
      <c r="G815">
        <v>9.1999999999999998E-2</v>
      </c>
      <c r="H815">
        <v>0.38176872000000001</v>
      </c>
      <c r="I815" t="s">
        <v>8</v>
      </c>
      <c r="J815">
        <v>0.182</v>
      </c>
      <c r="K815">
        <v>5.7265307999999999E-3</v>
      </c>
      <c r="L815" t="s">
        <v>35</v>
      </c>
      <c r="M815">
        <v>0.30199999999999999</v>
      </c>
      <c r="N815">
        <v>0.11529415344000001</v>
      </c>
    </row>
    <row r="816" spans="1:14" x14ac:dyDescent="0.25">
      <c r="A816" s="23">
        <v>43913</v>
      </c>
      <c r="B816">
        <v>26.771999999999998</v>
      </c>
      <c r="C816" t="s">
        <v>2</v>
      </c>
      <c r="D816">
        <v>0.155</v>
      </c>
      <c r="E816">
        <v>4.1496599999999999</v>
      </c>
      <c r="F816" t="s">
        <v>18</v>
      </c>
      <c r="G816">
        <v>9.1999999999999998E-2</v>
      </c>
      <c r="H816">
        <v>0.38176872000000001</v>
      </c>
      <c r="I816" t="s">
        <v>10</v>
      </c>
      <c r="J816">
        <v>3.7999999999999999E-2</v>
      </c>
      <c r="K816">
        <v>6.9481907039999999E-2</v>
      </c>
      <c r="L816" t="s">
        <v>36</v>
      </c>
      <c r="M816">
        <v>0.25</v>
      </c>
      <c r="N816">
        <v>9.5442180000000001E-2</v>
      </c>
    </row>
    <row r="817" spans="1:14" x14ac:dyDescent="0.25">
      <c r="A817" s="23">
        <v>43914</v>
      </c>
      <c r="B817">
        <v>26.771999999999998</v>
      </c>
      <c r="C817" t="s">
        <v>2</v>
      </c>
      <c r="D817">
        <v>0.155</v>
      </c>
      <c r="E817">
        <v>4.1496599999999999</v>
      </c>
      <c r="F817" t="s">
        <v>48</v>
      </c>
      <c r="G817">
        <v>9.1999999999999998E-2</v>
      </c>
      <c r="H817">
        <v>0.38176872000000001</v>
      </c>
      <c r="I817" t="s">
        <v>9</v>
      </c>
      <c r="J817">
        <v>0.19</v>
      </c>
      <c r="K817">
        <v>7.2536056799999998E-2</v>
      </c>
      <c r="L817" t="s">
        <v>37</v>
      </c>
      <c r="M817">
        <v>0.14599999999999999</v>
      </c>
      <c r="N817">
        <v>5.5738233119999994E-2</v>
      </c>
    </row>
    <row r="818" spans="1:14" x14ac:dyDescent="0.25">
      <c r="A818" s="23">
        <v>43915</v>
      </c>
      <c r="B818">
        <v>26.771999999999998</v>
      </c>
      <c r="C818" t="s">
        <v>2</v>
      </c>
      <c r="D818">
        <v>0.155</v>
      </c>
      <c r="E818">
        <v>4.1496599999999999</v>
      </c>
      <c r="F818" t="s">
        <v>18</v>
      </c>
      <c r="G818">
        <v>9.1999999999999998E-2</v>
      </c>
      <c r="H818">
        <v>0.38176872000000001</v>
      </c>
      <c r="I818" t="s">
        <v>55</v>
      </c>
      <c r="J818">
        <v>1.4999999999999999E-2</v>
      </c>
      <c r="K818">
        <v>5.7265307999999999E-3</v>
      </c>
      <c r="L818" t="s">
        <v>38</v>
      </c>
      <c r="M818">
        <v>2.8999999999999998E-2</v>
      </c>
      <c r="N818">
        <v>1.107129288E-2</v>
      </c>
    </row>
    <row r="819" spans="1:14" x14ac:dyDescent="0.25">
      <c r="A819" s="23">
        <v>43916</v>
      </c>
      <c r="B819">
        <v>26.771999999999998</v>
      </c>
      <c r="C819" t="s">
        <v>2</v>
      </c>
      <c r="D819">
        <v>0.155</v>
      </c>
      <c r="E819">
        <v>4.1496599999999999</v>
      </c>
      <c r="F819" t="s">
        <v>18</v>
      </c>
      <c r="G819">
        <v>9.1999999999999998E-2</v>
      </c>
      <c r="H819">
        <v>0.38176872000000001</v>
      </c>
      <c r="L819" t="s">
        <v>39</v>
      </c>
      <c r="M819">
        <v>1.7000000000000001E-2</v>
      </c>
      <c r="N819">
        <v>6.4900682400000007E-3</v>
      </c>
    </row>
    <row r="820" spans="1:14" x14ac:dyDescent="0.25">
      <c r="A820" s="23">
        <v>43917</v>
      </c>
      <c r="B820">
        <v>26.771999999999998</v>
      </c>
      <c r="C820" t="s">
        <v>19</v>
      </c>
      <c r="D820">
        <v>0.84499999999999997</v>
      </c>
      <c r="E820">
        <v>22.622339999999998</v>
      </c>
      <c r="F820" t="s">
        <v>54</v>
      </c>
      <c r="G820">
        <v>0.83099999999999996</v>
      </c>
      <c r="H820">
        <v>18.799164539999996</v>
      </c>
      <c r="I820" t="s">
        <v>11</v>
      </c>
      <c r="J820">
        <v>0.107</v>
      </c>
      <c r="K820">
        <v>2.0115106057799994</v>
      </c>
      <c r="L820" t="s">
        <v>32</v>
      </c>
      <c r="M820">
        <v>4.4000000000000004E-2</v>
      </c>
      <c r="N820">
        <v>0.82716323975999995</v>
      </c>
    </row>
    <row r="821" spans="1:14" x14ac:dyDescent="0.25">
      <c r="A821" s="23">
        <v>43918</v>
      </c>
      <c r="B821">
        <v>26.771999999999998</v>
      </c>
      <c r="C821" t="s">
        <v>19</v>
      </c>
      <c r="D821">
        <v>0.84499999999999997</v>
      </c>
      <c r="E821">
        <v>22.622339999999998</v>
      </c>
      <c r="F821" t="s">
        <v>14</v>
      </c>
      <c r="G821">
        <v>0.83099999999999996</v>
      </c>
      <c r="H821">
        <v>18.799164539999996</v>
      </c>
      <c r="I821" t="s">
        <v>12</v>
      </c>
      <c r="J821">
        <v>0.1</v>
      </c>
      <c r="K821">
        <v>1.8799164539999997</v>
      </c>
      <c r="L821" t="s">
        <v>33</v>
      </c>
      <c r="M821">
        <v>9.0999999999999998E-2</v>
      </c>
      <c r="N821">
        <v>1.7107239731399997</v>
      </c>
    </row>
    <row r="822" spans="1:14" x14ac:dyDescent="0.25">
      <c r="A822" s="23">
        <v>43919</v>
      </c>
      <c r="B822">
        <v>26.771999999999998</v>
      </c>
      <c r="C822" t="s">
        <v>19</v>
      </c>
      <c r="D822">
        <v>0.84499999999999997</v>
      </c>
      <c r="E822">
        <v>22.622339999999998</v>
      </c>
      <c r="F822" t="s">
        <v>14</v>
      </c>
      <c r="G822">
        <v>0.83099999999999996</v>
      </c>
      <c r="H822">
        <v>18.799164539999996</v>
      </c>
      <c r="I822" t="s">
        <v>7</v>
      </c>
      <c r="J822">
        <v>0.158</v>
      </c>
      <c r="K822">
        <v>2.9702679973199992</v>
      </c>
      <c r="L822" t="s">
        <v>34</v>
      </c>
      <c r="M822">
        <v>0.16200000000000001</v>
      </c>
      <c r="N822">
        <v>3.0454646554799996</v>
      </c>
    </row>
    <row r="823" spans="1:14" x14ac:dyDescent="0.25">
      <c r="A823" s="23">
        <v>43920</v>
      </c>
      <c r="B823">
        <v>26.771999999999998</v>
      </c>
      <c r="C823" t="s">
        <v>19</v>
      </c>
      <c r="D823">
        <v>0.84499999999999997</v>
      </c>
      <c r="E823">
        <v>22.622339999999998</v>
      </c>
      <c r="F823" t="s">
        <v>14</v>
      </c>
      <c r="G823">
        <v>0.83099999999999996</v>
      </c>
      <c r="H823">
        <v>18.799164539999996</v>
      </c>
      <c r="I823" t="s">
        <v>8</v>
      </c>
      <c r="J823">
        <v>0.35299999999999998</v>
      </c>
      <c r="K823">
        <v>6.6361050826199985</v>
      </c>
      <c r="L823" t="s">
        <v>35</v>
      </c>
      <c r="M823">
        <v>0.28699999999999998</v>
      </c>
      <c r="N823">
        <v>5.3953602229799982</v>
      </c>
    </row>
    <row r="824" spans="1:14" x14ac:dyDescent="0.25">
      <c r="A824" s="23">
        <v>43921</v>
      </c>
      <c r="B824">
        <v>26.771999999999998</v>
      </c>
      <c r="C824" t="s">
        <v>19</v>
      </c>
      <c r="D824">
        <v>0.84499999999999997</v>
      </c>
      <c r="E824">
        <v>22.622339999999998</v>
      </c>
      <c r="F824" t="s">
        <v>14</v>
      </c>
      <c r="G824">
        <v>0.83099999999999996</v>
      </c>
      <c r="H824">
        <v>18.799164539999996</v>
      </c>
      <c r="I824" t="s">
        <v>10</v>
      </c>
      <c r="J824">
        <v>0.05</v>
      </c>
      <c r="K824">
        <v>0.93995822699999987</v>
      </c>
      <c r="L824" t="s">
        <v>36</v>
      </c>
      <c r="M824">
        <v>0.222</v>
      </c>
      <c r="N824">
        <v>4.1734145278799994</v>
      </c>
    </row>
    <row r="825" spans="1:14" x14ac:dyDescent="0.25">
      <c r="A825" s="23">
        <v>43922</v>
      </c>
      <c r="B825">
        <v>26.771999999999998</v>
      </c>
      <c r="C825" t="s">
        <v>19</v>
      </c>
      <c r="D825">
        <v>0.84499999999999997</v>
      </c>
      <c r="E825">
        <v>22.622339999999998</v>
      </c>
      <c r="F825" t="s">
        <v>14</v>
      </c>
      <c r="G825">
        <v>0.83099999999999996</v>
      </c>
      <c r="H825">
        <v>18.799164539999996</v>
      </c>
      <c r="I825" t="s">
        <v>9</v>
      </c>
      <c r="J825">
        <v>0.217</v>
      </c>
      <c r="K825">
        <v>0.30078663263999994</v>
      </c>
      <c r="L825" t="s">
        <v>37</v>
      </c>
      <c r="M825">
        <v>0.152</v>
      </c>
      <c r="N825">
        <v>2.8574730100799992</v>
      </c>
    </row>
    <row r="826" spans="1:14" x14ac:dyDescent="0.25">
      <c r="A826" s="23">
        <v>43923</v>
      </c>
      <c r="B826">
        <v>26.771999999999998</v>
      </c>
      <c r="C826" t="s">
        <v>19</v>
      </c>
      <c r="D826">
        <v>0.84499999999999997</v>
      </c>
      <c r="E826">
        <v>22.622339999999998</v>
      </c>
      <c r="F826" t="s">
        <v>14</v>
      </c>
      <c r="G826">
        <v>0.83099999999999996</v>
      </c>
      <c r="H826">
        <v>18.799164539999996</v>
      </c>
      <c r="I826" t="s">
        <v>55</v>
      </c>
      <c r="J826">
        <v>1.6E-2</v>
      </c>
      <c r="K826">
        <v>0.30078663263999994</v>
      </c>
      <c r="L826" t="s">
        <v>38</v>
      </c>
      <c r="M826">
        <v>2.7999999999999997E-2</v>
      </c>
      <c r="N826">
        <v>0.52637660711999978</v>
      </c>
    </row>
    <row r="827" spans="1:14" x14ac:dyDescent="0.25">
      <c r="A827" s="23">
        <v>43924</v>
      </c>
      <c r="B827">
        <v>26.771999999999998</v>
      </c>
      <c r="C827" t="s">
        <v>19</v>
      </c>
      <c r="D827">
        <v>0.84499999999999997</v>
      </c>
      <c r="E827">
        <v>22.622339999999998</v>
      </c>
      <c r="F827" t="s">
        <v>14</v>
      </c>
      <c r="G827">
        <v>0.83099999999999996</v>
      </c>
      <c r="H827">
        <v>18.799164539999996</v>
      </c>
      <c r="L827" t="s">
        <v>39</v>
      </c>
      <c r="M827">
        <v>1.3999999999999999E-2</v>
      </c>
      <c r="N827">
        <v>0.26318830355999989</v>
      </c>
    </row>
    <row r="828" spans="1:14" x14ac:dyDescent="0.25">
      <c r="A828" s="23">
        <v>43925</v>
      </c>
      <c r="B828">
        <v>26.771999999999998</v>
      </c>
      <c r="C828" t="s">
        <v>19</v>
      </c>
      <c r="D828">
        <v>0.84499999999999997</v>
      </c>
      <c r="E828">
        <v>22.622339999999998</v>
      </c>
      <c r="F828" t="s">
        <v>52</v>
      </c>
      <c r="G828">
        <v>0.84200000000000008</v>
      </c>
      <c r="H828">
        <v>19.04801028</v>
      </c>
      <c r="I828" t="s">
        <v>11</v>
      </c>
      <c r="J828">
        <v>6.9000000000000006E-2</v>
      </c>
      <c r="K828">
        <v>1.31431270932</v>
      </c>
      <c r="L828" t="s">
        <v>32</v>
      </c>
      <c r="M828">
        <v>1.9E-2</v>
      </c>
      <c r="N828">
        <v>0.36191219531999996</v>
      </c>
    </row>
    <row r="829" spans="1:14" x14ac:dyDescent="0.25">
      <c r="A829" s="23">
        <v>43926</v>
      </c>
      <c r="B829">
        <v>26.771999999999998</v>
      </c>
      <c r="C829" t="s">
        <v>19</v>
      </c>
      <c r="D829">
        <v>0.84499999999999997</v>
      </c>
      <c r="E829">
        <v>22.622339999999998</v>
      </c>
      <c r="F829" t="s">
        <v>15</v>
      </c>
      <c r="G829">
        <v>0.84200000000000008</v>
      </c>
      <c r="H829">
        <v>19.04801028</v>
      </c>
      <c r="I829" t="s">
        <v>12</v>
      </c>
      <c r="J829">
        <v>0.03</v>
      </c>
      <c r="K829">
        <v>0.57144030839999993</v>
      </c>
      <c r="L829" t="s">
        <v>33</v>
      </c>
      <c r="M829">
        <v>0.04</v>
      </c>
      <c r="N829">
        <v>0.76192041119999998</v>
      </c>
    </row>
    <row r="830" spans="1:14" x14ac:dyDescent="0.25">
      <c r="A830" s="23">
        <v>43927</v>
      </c>
      <c r="B830">
        <v>26.771999999999998</v>
      </c>
      <c r="C830" t="s">
        <v>19</v>
      </c>
      <c r="D830">
        <v>0.84499999999999997</v>
      </c>
      <c r="E830">
        <v>22.622339999999998</v>
      </c>
      <c r="F830" t="s">
        <v>15</v>
      </c>
      <c r="G830">
        <v>0.84200000000000008</v>
      </c>
      <c r="H830">
        <v>19.04801028</v>
      </c>
      <c r="I830" t="s">
        <v>7</v>
      </c>
      <c r="J830">
        <v>0.17699999999999999</v>
      </c>
      <c r="K830">
        <v>3.3714978195599996</v>
      </c>
      <c r="L830" t="s">
        <v>34</v>
      </c>
      <c r="M830">
        <v>0.17399999999999999</v>
      </c>
      <c r="N830">
        <v>3.3143537887199996</v>
      </c>
    </row>
    <row r="831" spans="1:14" x14ac:dyDescent="0.25">
      <c r="A831" s="23">
        <v>43928</v>
      </c>
      <c r="B831">
        <v>26.771999999999998</v>
      </c>
      <c r="C831" t="s">
        <v>19</v>
      </c>
      <c r="D831">
        <v>0.84499999999999997</v>
      </c>
      <c r="E831">
        <v>22.622339999999998</v>
      </c>
      <c r="F831" t="s">
        <v>15</v>
      </c>
      <c r="G831">
        <v>0.84200000000000008</v>
      </c>
      <c r="H831">
        <v>19.04801028</v>
      </c>
      <c r="I831" t="s">
        <v>8</v>
      </c>
      <c r="J831">
        <v>0.375</v>
      </c>
      <c r="K831">
        <v>7.1430038549999999</v>
      </c>
      <c r="L831" t="s">
        <v>35</v>
      </c>
      <c r="M831">
        <v>0.317</v>
      </c>
      <c r="N831">
        <v>6.0382192587599999</v>
      </c>
    </row>
    <row r="832" spans="1:14" x14ac:dyDescent="0.25">
      <c r="A832" s="23">
        <v>43929</v>
      </c>
      <c r="B832">
        <v>26.771999999999998</v>
      </c>
      <c r="C832" t="s">
        <v>19</v>
      </c>
      <c r="D832">
        <v>0.84499999999999997</v>
      </c>
      <c r="E832">
        <v>22.622339999999998</v>
      </c>
      <c r="F832" t="s">
        <v>15</v>
      </c>
      <c r="G832">
        <v>0.84200000000000008</v>
      </c>
      <c r="H832">
        <v>19.04801028</v>
      </c>
      <c r="I832" t="s">
        <v>10</v>
      </c>
      <c r="J832">
        <v>9.3000000000000013E-2</v>
      </c>
      <c r="K832">
        <v>1.7714649560400002</v>
      </c>
      <c r="L832" t="s">
        <v>36</v>
      </c>
      <c r="M832">
        <v>0.23399999999999999</v>
      </c>
      <c r="N832">
        <v>4.4572344055199995</v>
      </c>
    </row>
    <row r="833" spans="1:14" x14ac:dyDescent="0.25">
      <c r="A833" s="23">
        <v>43930</v>
      </c>
      <c r="B833">
        <v>26.771999999999998</v>
      </c>
      <c r="C833" t="s">
        <v>19</v>
      </c>
      <c r="D833">
        <v>0.84499999999999997</v>
      </c>
      <c r="E833">
        <v>22.622339999999998</v>
      </c>
      <c r="F833" t="s">
        <v>15</v>
      </c>
      <c r="G833">
        <v>0.84200000000000008</v>
      </c>
      <c r="H833">
        <v>19.04801028</v>
      </c>
      <c r="I833" t="s">
        <v>9</v>
      </c>
      <c r="J833">
        <v>0.25700000000000001</v>
      </c>
      <c r="K833">
        <v>4.8953386419600005</v>
      </c>
      <c r="L833" t="s">
        <v>37</v>
      </c>
      <c r="M833">
        <v>0.21600000000000003</v>
      </c>
      <c r="N833">
        <v>4.1143702204800006</v>
      </c>
    </row>
    <row r="834" spans="1:14" x14ac:dyDescent="0.25">
      <c r="A834" s="23">
        <v>43931</v>
      </c>
      <c r="B834">
        <v>26.771999999999998</v>
      </c>
      <c r="C834" t="s">
        <v>19</v>
      </c>
      <c r="D834">
        <v>0.84499999999999997</v>
      </c>
      <c r="E834">
        <v>22.622339999999998</v>
      </c>
      <c r="F834" t="s">
        <v>15</v>
      </c>
      <c r="G834">
        <v>0.84200000000000008</v>
      </c>
      <c r="H834">
        <v>19.04801028</v>
      </c>
      <c r="I834" t="s">
        <v>55</v>
      </c>
      <c r="J834">
        <v>0</v>
      </c>
      <c r="K834">
        <v>0</v>
      </c>
      <c r="L834" t="s">
        <v>38</v>
      </c>
      <c r="M834">
        <v>0</v>
      </c>
      <c r="N834">
        <v>0</v>
      </c>
    </row>
    <row r="835" spans="1:14" x14ac:dyDescent="0.25">
      <c r="A835" s="23">
        <v>43932</v>
      </c>
      <c r="B835">
        <v>26.771999999999998</v>
      </c>
      <c r="C835" t="s">
        <v>19</v>
      </c>
      <c r="D835">
        <v>0.84499999999999997</v>
      </c>
      <c r="E835">
        <v>22.622339999999998</v>
      </c>
      <c r="F835" t="s">
        <v>15</v>
      </c>
      <c r="G835">
        <v>0.84200000000000008</v>
      </c>
      <c r="H835">
        <v>19.04801028</v>
      </c>
      <c r="L835" t="s">
        <v>39</v>
      </c>
      <c r="M835">
        <v>0</v>
      </c>
      <c r="N835">
        <v>0</v>
      </c>
    </row>
    <row r="836" spans="1:14" x14ac:dyDescent="0.25">
      <c r="A836" s="23">
        <v>43933</v>
      </c>
      <c r="B836">
        <v>26.771999999999998</v>
      </c>
      <c r="C836" t="s">
        <v>19</v>
      </c>
      <c r="D836">
        <v>0.84499999999999997</v>
      </c>
      <c r="E836">
        <v>22.622339999999998</v>
      </c>
      <c r="F836" t="s">
        <v>53</v>
      </c>
      <c r="G836">
        <v>0.85799999999999998</v>
      </c>
      <c r="H836">
        <v>19.409967719999997</v>
      </c>
      <c r="I836" t="s">
        <v>11</v>
      </c>
      <c r="J836">
        <v>0.13500000000000001</v>
      </c>
      <c r="K836">
        <v>2.6203456421999998</v>
      </c>
      <c r="L836" t="s">
        <v>32</v>
      </c>
      <c r="M836">
        <v>4.4999999999999998E-2</v>
      </c>
      <c r="N836">
        <v>0.87344854739999989</v>
      </c>
    </row>
    <row r="837" spans="1:14" x14ac:dyDescent="0.25">
      <c r="A837" s="23">
        <v>43934</v>
      </c>
      <c r="B837">
        <v>26.771999999999998</v>
      </c>
      <c r="C837" t="s">
        <v>19</v>
      </c>
      <c r="D837">
        <v>0.84499999999999997</v>
      </c>
      <c r="E837">
        <v>22.622339999999998</v>
      </c>
      <c r="F837" t="s">
        <v>16</v>
      </c>
      <c r="G837">
        <v>0.85799999999999998</v>
      </c>
      <c r="H837">
        <v>19.409967719999997</v>
      </c>
      <c r="I837" t="s">
        <v>12</v>
      </c>
      <c r="J837">
        <v>9.4E-2</v>
      </c>
      <c r="K837">
        <v>1.8245369656799997</v>
      </c>
      <c r="L837" t="s">
        <v>33</v>
      </c>
      <c r="M837">
        <v>0.105</v>
      </c>
      <c r="N837">
        <v>2.0380466105999995</v>
      </c>
    </row>
    <row r="838" spans="1:14" x14ac:dyDescent="0.25">
      <c r="A838" s="23">
        <v>43935</v>
      </c>
      <c r="B838">
        <v>26.771999999999998</v>
      </c>
      <c r="C838" t="s">
        <v>19</v>
      </c>
      <c r="D838">
        <v>0.84499999999999997</v>
      </c>
      <c r="E838">
        <v>22.622339999999998</v>
      </c>
      <c r="F838" t="s">
        <v>16</v>
      </c>
      <c r="G838">
        <v>0.85799999999999998</v>
      </c>
      <c r="H838">
        <v>19.409967719999997</v>
      </c>
      <c r="I838" t="s">
        <v>7</v>
      </c>
      <c r="J838">
        <v>0.14499999999999999</v>
      </c>
      <c r="K838">
        <v>2.8144453193999994</v>
      </c>
      <c r="L838" t="s">
        <v>34</v>
      </c>
      <c r="M838">
        <v>0.17</v>
      </c>
      <c r="N838">
        <v>3.2996945123999999</v>
      </c>
    </row>
    <row r="839" spans="1:14" x14ac:dyDescent="0.25">
      <c r="A839" s="23">
        <v>43936</v>
      </c>
      <c r="B839">
        <v>26.771999999999998</v>
      </c>
      <c r="C839" t="s">
        <v>19</v>
      </c>
      <c r="D839">
        <v>0.84499999999999997</v>
      </c>
      <c r="E839">
        <v>22.622339999999998</v>
      </c>
      <c r="F839" t="s">
        <v>16</v>
      </c>
      <c r="G839">
        <v>0.85799999999999998</v>
      </c>
      <c r="H839">
        <v>19.409967719999997</v>
      </c>
      <c r="I839" t="s">
        <v>8</v>
      </c>
      <c r="J839">
        <v>0.34299999999999997</v>
      </c>
      <c r="K839">
        <v>6.6576189279599989</v>
      </c>
      <c r="L839" t="s">
        <v>35</v>
      </c>
      <c r="M839">
        <v>0.28199999999999997</v>
      </c>
      <c r="N839">
        <v>5.4736108970399986</v>
      </c>
    </row>
    <row r="840" spans="1:14" x14ac:dyDescent="0.25">
      <c r="A840" s="23">
        <v>43937</v>
      </c>
      <c r="B840">
        <v>26.771999999999998</v>
      </c>
      <c r="C840" t="s">
        <v>19</v>
      </c>
      <c r="D840">
        <v>0.84499999999999997</v>
      </c>
      <c r="E840">
        <v>22.622339999999998</v>
      </c>
      <c r="F840" t="s">
        <v>16</v>
      </c>
      <c r="G840">
        <v>0.85799999999999998</v>
      </c>
      <c r="H840">
        <v>19.409967719999997</v>
      </c>
      <c r="I840" t="s">
        <v>10</v>
      </c>
      <c r="J840">
        <v>0.04</v>
      </c>
      <c r="K840">
        <v>0.77639870879999995</v>
      </c>
      <c r="L840" t="s">
        <v>36</v>
      </c>
      <c r="M840">
        <v>0.223</v>
      </c>
      <c r="N840">
        <v>4.3284228015599995</v>
      </c>
    </row>
    <row r="841" spans="1:14" x14ac:dyDescent="0.25">
      <c r="A841" s="23">
        <v>43938</v>
      </c>
      <c r="B841">
        <v>26.771999999999998</v>
      </c>
      <c r="C841" t="s">
        <v>19</v>
      </c>
      <c r="D841">
        <v>0.84499999999999997</v>
      </c>
      <c r="E841">
        <v>22.622339999999998</v>
      </c>
      <c r="F841" t="s">
        <v>16</v>
      </c>
      <c r="G841">
        <v>0.85799999999999998</v>
      </c>
      <c r="H841">
        <v>19.409967719999997</v>
      </c>
      <c r="I841" t="s">
        <v>9</v>
      </c>
      <c r="J841">
        <v>0.22399999999999998</v>
      </c>
      <c r="K841">
        <v>4.3478327692799992</v>
      </c>
      <c r="L841" t="s">
        <v>37</v>
      </c>
      <c r="M841">
        <v>0.14300000000000002</v>
      </c>
      <c r="N841">
        <v>2.77562538396</v>
      </c>
    </row>
    <row r="842" spans="1:14" x14ac:dyDescent="0.25">
      <c r="A842" s="23">
        <v>43939</v>
      </c>
      <c r="B842">
        <v>26.771999999999998</v>
      </c>
      <c r="C842" t="s">
        <v>19</v>
      </c>
      <c r="D842">
        <v>0.84499999999999997</v>
      </c>
      <c r="E842">
        <v>22.622339999999998</v>
      </c>
      <c r="F842" t="s">
        <v>16</v>
      </c>
      <c r="G842">
        <v>0.85799999999999998</v>
      </c>
      <c r="H842">
        <v>19.409967719999997</v>
      </c>
      <c r="I842" t="s">
        <v>55</v>
      </c>
      <c r="J842">
        <v>1.9E-2</v>
      </c>
      <c r="K842">
        <v>0.36878938667999994</v>
      </c>
      <c r="L842" t="s">
        <v>38</v>
      </c>
      <c r="M842">
        <v>2.1000000000000001E-2</v>
      </c>
      <c r="N842">
        <v>0.40760932211999995</v>
      </c>
    </row>
    <row r="843" spans="1:14" x14ac:dyDescent="0.25">
      <c r="A843" s="23">
        <v>43940</v>
      </c>
      <c r="B843">
        <v>26.771999999999998</v>
      </c>
      <c r="C843" t="s">
        <v>19</v>
      </c>
      <c r="D843">
        <v>0.84499999999999997</v>
      </c>
      <c r="E843">
        <v>22.622339999999998</v>
      </c>
      <c r="F843" t="s">
        <v>16</v>
      </c>
      <c r="G843">
        <v>0.85799999999999998</v>
      </c>
      <c r="H843">
        <v>19.409967719999997</v>
      </c>
      <c r="L843" t="s">
        <v>39</v>
      </c>
      <c r="M843">
        <v>1.2E-2</v>
      </c>
      <c r="N843">
        <v>0.23291961263999997</v>
      </c>
    </row>
    <row r="844" spans="1:14" x14ac:dyDescent="0.25">
      <c r="A844" s="23">
        <v>43941</v>
      </c>
      <c r="B844">
        <v>26.771999999999998</v>
      </c>
      <c r="C844" t="s">
        <v>19</v>
      </c>
      <c r="D844">
        <v>0.84499999999999997</v>
      </c>
      <c r="E844">
        <v>22.622339999999998</v>
      </c>
      <c r="F844" t="s">
        <v>51</v>
      </c>
      <c r="G844">
        <v>0.80599999999999994</v>
      </c>
      <c r="H844">
        <v>18.233606039999998</v>
      </c>
      <c r="I844" t="s">
        <v>11</v>
      </c>
      <c r="J844">
        <v>0.154</v>
      </c>
      <c r="K844">
        <v>2.8079753301599997</v>
      </c>
      <c r="L844" t="s">
        <v>32</v>
      </c>
      <c r="M844">
        <v>5.2000000000000005E-2</v>
      </c>
      <c r="N844">
        <v>0.94814751407999998</v>
      </c>
    </row>
    <row r="845" spans="1:14" x14ac:dyDescent="0.25">
      <c r="A845" s="23">
        <v>43942</v>
      </c>
      <c r="B845">
        <v>26.771999999999998</v>
      </c>
      <c r="C845" t="s">
        <v>19</v>
      </c>
      <c r="D845">
        <v>0.84499999999999997</v>
      </c>
      <c r="E845">
        <v>22.622339999999998</v>
      </c>
      <c r="F845" t="s">
        <v>13</v>
      </c>
      <c r="G845">
        <v>0.80599999999999994</v>
      </c>
      <c r="H845">
        <v>18.233606039999998</v>
      </c>
      <c r="I845" t="s">
        <v>12</v>
      </c>
      <c r="J845">
        <v>0.11699999999999999</v>
      </c>
      <c r="K845">
        <v>2.1333319066799996</v>
      </c>
      <c r="L845" t="s">
        <v>33</v>
      </c>
      <c r="M845">
        <v>0.111</v>
      </c>
      <c r="N845">
        <v>2.0239302704399997</v>
      </c>
    </row>
    <row r="846" spans="1:14" x14ac:dyDescent="0.25">
      <c r="A846" s="23">
        <v>43943</v>
      </c>
      <c r="B846">
        <v>26.771999999999998</v>
      </c>
      <c r="C846" t="s">
        <v>19</v>
      </c>
      <c r="D846">
        <v>0.84499999999999997</v>
      </c>
      <c r="E846">
        <v>22.622339999999998</v>
      </c>
      <c r="F846" t="s">
        <v>13</v>
      </c>
      <c r="G846">
        <v>0.80599999999999994</v>
      </c>
      <c r="H846">
        <v>18.233606039999998</v>
      </c>
      <c r="I846" t="s">
        <v>7</v>
      </c>
      <c r="J846">
        <v>0.17699999999999999</v>
      </c>
      <c r="K846">
        <v>3.2273482690799993</v>
      </c>
      <c r="L846" t="s">
        <v>34</v>
      </c>
      <c r="M846">
        <v>0.16800000000000001</v>
      </c>
      <c r="N846">
        <v>3.0632458147199997</v>
      </c>
    </row>
    <row r="847" spans="1:14" x14ac:dyDescent="0.25">
      <c r="A847" s="23">
        <v>43944</v>
      </c>
      <c r="B847">
        <v>26.771999999999998</v>
      </c>
      <c r="C847" t="s">
        <v>19</v>
      </c>
      <c r="D847">
        <v>0.84499999999999997</v>
      </c>
      <c r="E847">
        <v>22.622339999999998</v>
      </c>
      <c r="F847" t="s">
        <v>13</v>
      </c>
      <c r="G847">
        <v>0.80599999999999994</v>
      </c>
      <c r="H847">
        <v>18.233606039999998</v>
      </c>
      <c r="I847" t="s">
        <v>8</v>
      </c>
      <c r="J847">
        <v>0.376</v>
      </c>
      <c r="K847">
        <v>6.8558358710399991</v>
      </c>
      <c r="L847" t="s">
        <v>35</v>
      </c>
      <c r="M847">
        <v>0.27300000000000002</v>
      </c>
      <c r="N847">
        <v>4.97777444892</v>
      </c>
    </row>
    <row r="848" spans="1:14" x14ac:dyDescent="0.25">
      <c r="A848" s="23">
        <v>43945</v>
      </c>
      <c r="B848">
        <v>26.771999999999998</v>
      </c>
      <c r="C848" t="s">
        <v>19</v>
      </c>
      <c r="D848">
        <v>0.84499999999999997</v>
      </c>
      <c r="E848">
        <v>22.622339999999998</v>
      </c>
      <c r="F848" t="s">
        <v>13</v>
      </c>
      <c r="G848">
        <v>0.80599999999999994</v>
      </c>
      <c r="H848">
        <v>18.233606039999998</v>
      </c>
      <c r="I848" t="s">
        <v>10</v>
      </c>
      <c r="J848">
        <v>2.5000000000000001E-2</v>
      </c>
      <c r="K848">
        <v>0.45584015099999997</v>
      </c>
      <c r="L848" t="s">
        <v>36</v>
      </c>
      <c r="M848">
        <v>0.18600000000000003</v>
      </c>
      <c r="N848">
        <v>3.3914507234400002</v>
      </c>
    </row>
    <row r="849" spans="1:14" x14ac:dyDescent="0.25">
      <c r="A849" s="23">
        <v>43946</v>
      </c>
      <c r="B849">
        <v>26.771999999999998</v>
      </c>
      <c r="C849" t="s">
        <v>19</v>
      </c>
      <c r="D849">
        <v>0.84499999999999997</v>
      </c>
      <c r="E849">
        <v>22.622339999999998</v>
      </c>
      <c r="F849" t="s">
        <v>13</v>
      </c>
      <c r="G849">
        <v>0.80599999999999994</v>
      </c>
      <c r="H849">
        <v>18.233606039999998</v>
      </c>
      <c r="I849" t="s">
        <v>9</v>
      </c>
      <c r="J849">
        <v>0.127</v>
      </c>
      <c r="K849">
        <v>2.3156679670799996</v>
      </c>
      <c r="L849" t="s">
        <v>37</v>
      </c>
      <c r="M849">
        <v>0.16300000000000001</v>
      </c>
      <c r="N849">
        <v>2.9720777845199997</v>
      </c>
    </row>
    <row r="850" spans="1:14" x14ac:dyDescent="0.25">
      <c r="A850" s="23">
        <v>43947</v>
      </c>
      <c r="B850">
        <v>26.771999999999998</v>
      </c>
      <c r="C850" t="s">
        <v>19</v>
      </c>
      <c r="D850">
        <v>0.84499999999999997</v>
      </c>
      <c r="E850">
        <v>22.622339999999998</v>
      </c>
      <c r="F850" t="s">
        <v>13</v>
      </c>
      <c r="G850">
        <v>0.80599999999999994</v>
      </c>
      <c r="H850">
        <v>18.233606039999998</v>
      </c>
      <c r="I850" t="s">
        <v>55</v>
      </c>
      <c r="J850">
        <v>2.4E-2</v>
      </c>
      <c r="K850">
        <v>0.43760654495999995</v>
      </c>
      <c r="L850" t="s">
        <v>38</v>
      </c>
      <c r="M850">
        <v>2.7999999999999997E-2</v>
      </c>
      <c r="N850">
        <v>0.51054096911999991</v>
      </c>
    </row>
    <row r="851" spans="1:14" x14ac:dyDescent="0.25">
      <c r="A851" s="23">
        <v>43948</v>
      </c>
      <c r="B851">
        <v>26.771999999999998</v>
      </c>
      <c r="C851" t="s">
        <v>19</v>
      </c>
      <c r="D851">
        <v>0.84499999999999997</v>
      </c>
      <c r="E851">
        <v>22.622339999999998</v>
      </c>
      <c r="F851" t="s">
        <v>13</v>
      </c>
      <c r="G851">
        <v>0.80599999999999994</v>
      </c>
      <c r="H851">
        <v>18.233606039999998</v>
      </c>
      <c r="L851" t="s">
        <v>39</v>
      </c>
      <c r="M851">
        <v>1.7000000000000001E-2</v>
      </c>
      <c r="N851">
        <v>0.30997130268</v>
      </c>
    </row>
    <row r="852" spans="1:14" x14ac:dyDescent="0.25">
      <c r="A852" s="23">
        <v>43949</v>
      </c>
      <c r="B852">
        <v>26.771999999999998</v>
      </c>
      <c r="C852" t="s">
        <v>19</v>
      </c>
      <c r="D852">
        <v>0.84499999999999997</v>
      </c>
      <c r="E852">
        <v>22.622339999999998</v>
      </c>
      <c r="F852" t="s">
        <v>50</v>
      </c>
      <c r="G852">
        <v>0.89900000000000002</v>
      </c>
      <c r="H852">
        <v>20.337483659999997</v>
      </c>
      <c r="I852" t="s">
        <v>11</v>
      </c>
      <c r="J852">
        <v>0.12</v>
      </c>
      <c r="K852">
        <v>2.4404980391999995</v>
      </c>
      <c r="L852" t="s">
        <v>32</v>
      </c>
      <c r="M852">
        <v>3.7000000000000005E-2</v>
      </c>
      <c r="N852">
        <v>0.75248689542000002</v>
      </c>
    </row>
    <row r="853" spans="1:14" x14ac:dyDescent="0.25">
      <c r="A853" s="23">
        <v>43950</v>
      </c>
      <c r="B853">
        <v>26.771999999999998</v>
      </c>
      <c r="C853" t="s">
        <v>19</v>
      </c>
      <c r="D853">
        <v>0.84499999999999997</v>
      </c>
      <c r="E853">
        <v>22.622339999999998</v>
      </c>
      <c r="F853" t="s">
        <v>17</v>
      </c>
      <c r="G853">
        <v>0.89900000000000002</v>
      </c>
      <c r="H853">
        <v>20.337483659999997</v>
      </c>
      <c r="I853" t="s">
        <v>12</v>
      </c>
      <c r="J853">
        <v>0.129</v>
      </c>
      <c r="K853">
        <v>2.6235353921399995</v>
      </c>
      <c r="L853" t="s">
        <v>33</v>
      </c>
      <c r="M853">
        <v>0.13699999999999998</v>
      </c>
      <c r="N853">
        <v>2.786235261419999</v>
      </c>
    </row>
    <row r="854" spans="1:14" x14ac:dyDescent="0.25">
      <c r="A854" s="23">
        <v>43951</v>
      </c>
      <c r="B854">
        <v>26.771999999999998</v>
      </c>
      <c r="C854" t="s">
        <v>19</v>
      </c>
      <c r="D854">
        <v>0.84499999999999997</v>
      </c>
      <c r="E854">
        <v>22.622339999999998</v>
      </c>
      <c r="F854" t="s">
        <v>17</v>
      </c>
      <c r="G854">
        <v>0.89900000000000002</v>
      </c>
      <c r="H854">
        <v>20.337483659999997</v>
      </c>
      <c r="I854" t="s">
        <v>7</v>
      </c>
      <c r="J854">
        <v>0.22899999999999998</v>
      </c>
      <c r="K854">
        <v>4.6572837581399993</v>
      </c>
      <c r="L854" t="s">
        <v>34</v>
      </c>
      <c r="M854">
        <v>0.19500000000000001</v>
      </c>
      <c r="N854">
        <v>3.9658093136999994</v>
      </c>
    </row>
    <row r="855" spans="1:14" x14ac:dyDescent="0.25">
      <c r="A855" s="23">
        <v>43952</v>
      </c>
      <c r="B855">
        <v>26.771999999999998</v>
      </c>
      <c r="C855" t="s">
        <v>19</v>
      </c>
      <c r="D855">
        <v>0.84499999999999997</v>
      </c>
      <c r="E855">
        <v>22.622339999999998</v>
      </c>
      <c r="F855" t="s">
        <v>17</v>
      </c>
      <c r="G855">
        <v>0.89900000000000002</v>
      </c>
      <c r="H855">
        <v>20.337483659999997</v>
      </c>
      <c r="I855" t="s">
        <v>8</v>
      </c>
      <c r="J855">
        <v>0.35</v>
      </c>
      <c r="K855">
        <v>7.1181192809999985</v>
      </c>
      <c r="L855" t="s">
        <v>35</v>
      </c>
      <c r="M855">
        <v>0.29799999999999999</v>
      </c>
      <c r="N855">
        <v>6.0605701306799986</v>
      </c>
    </row>
    <row r="856" spans="1:14" x14ac:dyDescent="0.25">
      <c r="A856" s="23">
        <v>43953</v>
      </c>
      <c r="B856">
        <v>26.771999999999998</v>
      </c>
      <c r="C856" t="s">
        <v>19</v>
      </c>
      <c r="D856">
        <v>0.84499999999999997</v>
      </c>
      <c r="E856">
        <v>22.622339999999998</v>
      </c>
      <c r="F856" t="s">
        <v>17</v>
      </c>
      <c r="G856">
        <v>0.89900000000000002</v>
      </c>
      <c r="H856">
        <v>20.337483659999997</v>
      </c>
      <c r="I856" t="s">
        <v>10</v>
      </c>
      <c r="J856">
        <v>1.7000000000000001E-2</v>
      </c>
      <c r="K856">
        <v>0.34573722221999997</v>
      </c>
      <c r="L856" t="s">
        <v>36</v>
      </c>
      <c r="M856">
        <v>0.215</v>
      </c>
      <c r="N856">
        <v>4.3725589868999988</v>
      </c>
    </row>
    <row r="857" spans="1:14" x14ac:dyDescent="0.25">
      <c r="A857" s="23">
        <v>43954</v>
      </c>
      <c r="B857">
        <v>26.771999999999998</v>
      </c>
      <c r="C857" t="s">
        <v>19</v>
      </c>
      <c r="D857">
        <v>0.84499999999999997</v>
      </c>
      <c r="E857">
        <v>22.622339999999998</v>
      </c>
      <c r="F857" t="s">
        <v>17</v>
      </c>
      <c r="G857">
        <v>0.89900000000000002</v>
      </c>
      <c r="H857">
        <v>20.337483659999997</v>
      </c>
      <c r="I857" t="s">
        <v>9</v>
      </c>
      <c r="J857">
        <v>0.13200000000000001</v>
      </c>
      <c r="K857">
        <v>2.6845478431199998</v>
      </c>
      <c r="L857" t="s">
        <v>37</v>
      </c>
      <c r="M857">
        <v>8.6999999999999994E-2</v>
      </c>
      <c r="N857">
        <v>1.7693610784199996</v>
      </c>
    </row>
    <row r="858" spans="1:14" x14ac:dyDescent="0.25">
      <c r="A858" s="23">
        <v>43955</v>
      </c>
      <c r="B858">
        <v>26.771999999999998</v>
      </c>
      <c r="C858" t="s">
        <v>19</v>
      </c>
      <c r="D858">
        <v>0.84499999999999997</v>
      </c>
      <c r="E858">
        <v>22.622339999999998</v>
      </c>
      <c r="F858" t="s">
        <v>17</v>
      </c>
      <c r="G858">
        <v>0.89900000000000002</v>
      </c>
      <c r="H858">
        <v>20.337483659999997</v>
      </c>
      <c r="I858" t="s">
        <v>55</v>
      </c>
      <c r="J858">
        <v>2.3E-2</v>
      </c>
      <c r="K858">
        <v>0.46776212417999991</v>
      </c>
      <c r="L858" t="s">
        <v>38</v>
      </c>
      <c r="M858">
        <v>1.8000000000000002E-2</v>
      </c>
      <c r="N858">
        <v>0.36607470587999996</v>
      </c>
    </row>
    <row r="859" spans="1:14" x14ac:dyDescent="0.25">
      <c r="A859" s="23">
        <v>43956</v>
      </c>
      <c r="B859">
        <v>26.771999999999998</v>
      </c>
      <c r="C859" t="s">
        <v>19</v>
      </c>
      <c r="D859">
        <v>0.84499999999999997</v>
      </c>
      <c r="E859">
        <v>22.622339999999998</v>
      </c>
      <c r="F859" t="s">
        <v>17</v>
      </c>
      <c r="G859">
        <v>0.89900000000000002</v>
      </c>
      <c r="H859">
        <v>20.337483659999997</v>
      </c>
      <c r="L859" t="s">
        <v>39</v>
      </c>
      <c r="M859">
        <v>1.3000000000000001E-2</v>
      </c>
      <c r="N859">
        <v>0.26438728757999996</v>
      </c>
    </row>
    <row r="860" spans="1:14" x14ac:dyDescent="0.25">
      <c r="A860" s="23">
        <v>43957</v>
      </c>
      <c r="B860">
        <v>26.771999999999998</v>
      </c>
      <c r="C860" t="s">
        <v>19</v>
      </c>
      <c r="D860">
        <v>0.84499999999999997</v>
      </c>
      <c r="E860">
        <v>22.622339999999998</v>
      </c>
      <c r="F860" t="s">
        <v>49</v>
      </c>
      <c r="G860">
        <v>0.90799999999999992</v>
      </c>
      <c r="H860">
        <v>20.541084719999997</v>
      </c>
      <c r="I860" t="s">
        <v>11</v>
      </c>
      <c r="J860">
        <v>0.22</v>
      </c>
      <c r="K860">
        <v>4.5190386383999996</v>
      </c>
      <c r="L860" t="s">
        <v>32</v>
      </c>
      <c r="M860">
        <v>7.5999999999999998E-2</v>
      </c>
      <c r="N860">
        <v>1.5611224387199998</v>
      </c>
    </row>
    <row r="861" spans="1:14" x14ac:dyDescent="0.25">
      <c r="A861" s="23">
        <v>43958</v>
      </c>
      <c r="B861">
        <v>26.771999999999998</v>
      </c>
      <c r="C861" t="s">
        <v>19</v>
      </c>
      <c r="D861">
        <v>0.84499999999999997</v>
      </c>
      <c r="E861">
        <v>22.622339999999998</v>
      </c>
      <c r="F861" t="s">
        <v>18</v>
      </c>
      <c r="G861">
        <v>0.90799999999999992</v>
      </c>
      <c r="H861">
        <v>20.541084719999997</v>
      </c>
      <c r="I861" t="s">
        <v>12</v>
      </c>
      <c r="J861">
        <v>0.10800000000000001</v>
      </c>
      <c r="K861">
        <v>2.2184371497599997</v>
      </c>
      <c r="L861" t="s">
        <v>33</v>
      </c>
      <c r="M861">
        <v>0.13600000000000001</v>
      </c>
      <c r="N861">
        <v>2.7935875219199997</v>
      </c>
    </row>
    <row r="862" spans="1:14" x14ac:dyDescent="0.25">
      <c r="A862" s="23">
        <v>43959</v>
      </c>
      <c r="B862">
        <v>26.771999999999998</v>
      </c>
      <c r="C862" t="s">
        <v>19</v>
      </c>
      <c r="D862">
        <v>0.84499999999999997</v>
      </c>
      <c r="E862">
        <v>22.622339999999998</v>
      </c>
      <c r="F862" t="s">
        <v>18</v>
      </c>
      <c r="G862">
        <v>0.90799999999999992</v>
      </c>
      <c r="H862">
        <v>20.541084719999997</v>
      </c>
      <c r="I862" t="s">
        <v>7</v>
      </c>
      <c r="J862">
        <v>0.17100000000000001</v>
      </c>
      <c r="K862">
        <v>3.5125254871199996</v>
      </c>
      <c r="L862" t="s">
        <v>34</v>
      </c>
      <c r="M862">
        <v>0.161</v>
      </c>
      <c r="N862">
        <v>3.3071146399199995</v>
      </c>
    </row>
    <row r="863" spans="1:14" x14ac:dyDescent="0.25">
      <c r="A863" s="23">
        <v>43960</v>
      </c>
      <c r="B863">
        <v>26.771999999999998</v>
      </c>
      <c r="C863" t="s">
        <v>19</v>
      </c>
      <c r="D863">
        <v>0.84499999999999997</v>
      </c>
      <c r="E863">
        <v>22.622339999999998</v>
      </c>
      <c r="F863" t="s">
        <v>18</v>
      </c>
      <c r="G863">
        <v>0.90799999999999992</v>
      </c>
      <c r="H863">
        <v>20.541084719999997</v>
      </c>
      <c r="I863" t="s">
        <v>8</v>
      </c>
      <c r="J863">
        <v>0.371</v>
      </c>
      <c r="K863">
        <v>7.6207424311199992</v>
      </c>
      <c r="L863" t="s">
        <v>35</v>
      </c>
      <c r="M863">
        <v>0.252</v>
      </c>
      <c r="N863">
        <v>5.1763533494399994</v>
      </c>
    </row>
    <row r="864" spans="1:14" x14ac:dyDescent="0.25">
      <c r="A864" s="23">
        <v>43961</v>
      </c>
      <c r="B864">
        <v>26.771999999999998</v>
      </c>
      <c r="C864" t="s">
        <v>19</v>
      </c>
      <c r="D864">
        <v>0.84499999999999997</v>
      </c>
      <c r="E864">
        <v>22.622339999999998</v>
      </c>
      <c r="F864" t="s">
        <v>18</v>
      </c>
      <c r="G864">
        <v>0.90799999999999992</v>
      </c>
      <c r="H864">
        <v>20.541084719999997</v>
      </c>
      <c r="I864" t="s">
        <v>10</v>
      </c>
      <c r="J864">
        <v>2.4E-2</v>
      </c>
      <c r="K864">
        <v>0.49298603327999996</v>
      </c>
      <c r="L864" t="s">
        <v>36</v>
      </c>
      <c r="M864">
        <v>0.192</v>
      </c>
      <c r="N864">
        <v>3.9438882662399997</v>
      </c>
    </row>
    <row r="865" spans="1:14" x14ac:dyDescent="0.25">
      <c r="A865" s="23">
        <v>43962</v>
      </c>
      <c r="B865">
        <v>26.771999999999998</v>
      </c>
      <c r="C865" t="s">
        <v>19</v>
      </c>
      <c r="D865">
        <v>0.84499999999999997</v>
      </c>
      <c r="E865">
        <v>22.622339999999998</v>
      </c>
      <c r="F865" t="s">
        <v>18</v>
      </c>
      <c r="G865">
        <v>0.90799999999999992</v>
      </c>
      <c r="H865">
        <v>20.541084719999997</v>
      </c>
      <c r="I865" t="s">
        <v>9</v>
      </c>
      <c r="J865">
        <v>8.5999999999999993E-2</v>
      </c>
      <c r="K865">
        <v>1.7665332859199996</v>
      </c>
      <c r="L865" t="s">
        <v>37</v>
      </c>
      <c r="M865">
        <v>0.13</v>
      </c>
      <c r="N865">
        <v>2.6703410135999999</v>
      </c>
    </row>
    <row r="866" spans="1:14" x14ac:dyDescent="0.25">
      <c r="A866" s="23">
        <v>43963</v>
      </c>
      <c r="B866">
        <v>26.771999999999998</v>
      </c>
      <c r="C866" t="s">
        <v>19</v>
      </c>
      <c r="D866">
        <v>0.84499999999999997</v>
      </c>
      <c r="E866">
        <v>22.622339999999998</v>
      </c>
      <c r="F866" t="s">
        <v>18</v>
      </c>
      <c r="G866">
        <v>0.90799999999999992</v>
      </c>
      <c r="H866">
        <v>20.541084719999997</v>
      </c>
      <c r="I866" t="s">
        <v>55</v>
      </c>
      <c r="J866">
        <v>1.9E-2</v>
      </c>
      <c r="K866">
        <v>0.39028060967999995</v>
      </c>
      <c r="L866" t="s">
        <v>38</v>
      </c>
      <c r="M866">
        <v>2.5000000000000001E-2</v>
      </c>
      <c r="N866">
        <v>0.51352711799999995</v>
      </c>
    </row>
    <row r="867" spans="1:14" x14ac:dyDescent="0.25">
      <c r="A867" s="23">
        <v>43964</v>
      </c>
      <c r="B867">
        <v>26.771999999999998</v>
      </c>
      <c r="C867" t="s">
        <v>19</v>
      </c>
      <c r="D867">
        <v>0.84499999999999997</v>
      </c>
      <c r="E867">
        <v>22.622339999999998</v>
      </c>
      <c r="F867" t="s">
        <v>18</v>
      </c>
      <c r="G867">
        <v>0.90799999999999992</v>
      </c>
      <c r="H867">
        <v>20.541084719999997</v>
      </c>
      <c r="L867" t="s">
        <v>39</v>
      </c>
      <c r="M867">
        <v>2.7999999999999997E-2</v>
      </c>
      <c r="N867">
        <v>0.57515037215999987</v>
      </c>
    </row>
    <row r="868" spans="1:14" x14ac:dyDescent="0.25">
      <c r="A868" s="23">
        <v>43965</v>
      </c>
      <c r="B868">
        <v>24.114999999999998</v>
      </c>
      <c r="C868" t="s">
        <v>2</v>
      </c>
      <c r="D868">
        <v>0.13699999999999998</v>
      </c>
      <c r="E868">
        <v>3.3037549999999993</v>
      </c>
      <c r="F868" t="s">
        <v>14</v>
      </c>
      <c r="G868">
        <v>0.16200000000000001</v>
      </c>
      <c r="H868">
        <v>0.53520830999999991</v>
      </c>
      <c r="I868" t="s">
        <v>11</v>
      </c>
      <c r="J868">
        <v>0.09</v>
      </c>
      <c r="K868">
        <v>4.8168747899999989E-2</v>
      </c>
      <c r="L868" t="s">
        <v>32</v>
      </c>
      <c r="M868">
        <v>1.8000000000000002E-2</v>
      </c>
      <c r="N868">
        <v>9.6337495799999999E-3</v>
      </c>
    </row>
    <row r="869" spans="1:14" x14ac:dyDescent="0.25">
      <c r="A869" s="23">
        <v>43966</v>
      </c>
      <c r="B869">
        <v>24.114999999999998</v>
      </c>
      <c r="C869" t="s">
        <v>2</v>
      </c>
      <c r="D869">
        <v>0.13699999999999998</v>
      </c>
      <c r="E869">
        <v>3.3037549999999993</v>
      </c>
      <c r="F869" t="s">
        <v>43</v>
      </c>
      <c r="G869">
        <v>0.16200000000000001</v>
      </c>
      <c r="H869">
        <v>0.53520830999999991</v>
      </c>
      <c r="I869" t="s">
        <v>12</v>
      </c>
      <c r="J869">
        <v>1.8000000000000002E-2</v>
      </c>
      <c r="K869">
        <v>9.6337495799999999E-3</v>
      </c>
      <c r="L869" t="s">
        <v>33</v>
      </c>
      <c r="M869">
        <v>0.06</v>
      </c>
      <c r="N869">
        <v>3.211249859999999E-2</v>
      </c>
    </row>
    <row r="870" spans="1:14" x14ac:dyDescent="0.25">
      <c r="A870" s="23">
        <v>43967</v>
      </c>
      <c r="B870">
        <v>24.114999999999998</v>
      </c>
      <c r="C870" t="s">
        <v>2</v>
      </c>
      <c r="D870">
        <v>0.13699999999999998</v>
      </c>
      <c r="E870">
        <v>3.3037549999999993</v>
      </c>
      <c r="F870" t="s">
        <v>14</v>
      </c>
      <c r="G870">
        <v>0.16200000000000001</v>
      </c>
      <c r="H870">
        <v>0.53520830999999991</v>
      </c>
      <c r="I870" t="s">
        <v>7</v>
      </c>
      <c r="J870">
        <v>4.8000000000000001E-2</v>
      </c>
      <c r="K870">
        <v>2.5689998879999995E-2</v>
      </c>
      <c r="L870" t="s">
        <v>34</v>
      </c>
      <c r="M870">
        <v>0.13500000000000001</v>
      </c>
      <c r="N870">
        <v>7.2253121849999991E-2</v>
      </c>
    </row>
    <row r="871" spans="1:14" x14ac:dyDescent="0.25">
      <c r="A871" s="23">
        <v>43968</v>
      </c>
      <c r="B871">
        <v>24.114999999999998</v>
      </c>
      <c r="C871" t="s">
        <v>2</v>
      </c>
      <c r="D871">
        <v>0.13699999999999998</v>
      </c>
      <c r="E871">
        <v>3.3037549999999993</v>
      </c>
      <c r="F871" t="s">
        <v>14</v>
      </c>
      <c r="G871">
        <v>0.16200000000000001</v>
      </c>
      <c r="H871">
        <v>0.53520830999999991</v>
      </c>
      <c r="I871" t="s">
        <v>8</v>
      </c>
      <c r="J871">
        <v>0.33600000000000002</v>
      </c>
      <c r="K871">
        <v>0.17982999215999998</v>
      </c>
      <c r="L871" t="s">
        <v>35</v>
      </c>
      <c r="M871">
        <v>0.26700000000000002</v>
      </c>
      <c r="N871">
        <v>0.14290061876999999</v>
      </c>
    </row>
    <row r="872" spans="1:14" x14ac:dyDescent="0.25">
      <c r="A872" s="23">
        <v>43969</v>
      </c>
      <c r="B872">
        <v>24.114999999999998</v>
      </c>
      <c r="C872" t="s">
        <v>2</v>
      </c>
      <c r="D872">
        <v>0.13699999999999998</v>
      </c>
      <c r="E872">
        <v>3.3037549999999993</v>
      </c>
      <c r="F872" t="s">
        <v>14</v>
      </c>
      <c r="G872">
        <v>0.16200000000000001</v>
      </c>
      <c r="H872">
        <v>0.53520830999999991</v>
      </c>
      <c r="I872" t="s">
        <v>10</v>
      </c>
      <c r="J872">
        <v>8.199999999999999E-2</v>
      </c>
      <c r="K872">
        <v>4.3887081419999988E-2</v>
      </c>
      <c r="L872" t="s">
        <v>36</v>
      </c>
      <c r="M872">
        <v>0.26400000000000001</v>
      </c>
      <c r="N872">
        <v>0.14129499383999999</v>
      </c>
    </row>
    <row r="873" spans="1:14" x14ac:dyDescent="0.25">
      <c r="A873" s="23">
        <v>43970</v>
      </c>
      <c r="B873">
        <v>24.114999999999998</v>
      </c>
      <c r="C873" t="s">
        <v>2</v>
      </c>
      <c r="D873">
        <v>0.13699999999999998</v>
      </c>
      <c r="E873">
        <v>3.3037549999999993</v>
      </c>
      <c r="F873" t="s">
        <v>14</v>
      </c>
      <c r="G873">
        <v>0.16200000000000001</v>
      </c>
      <c r="H873">
        <v>0.53520830999999991</v>
      </c>
      <c r="I873" t="s">
        <v>9</v>
      </c>
      <c r="J873">
        <v>0.42399999999999999</v>
      </c>
      <c r="K873">
        <v>0.22692832343999997</v>
      </c>
      <c r="L873" t="s">
        <v>37</v>
      </c>
      <c r="M873">
        <v>0.24</v>
      </c>
      <c r="N873">
        <v>0.12844999439999996</v>
      </c>
    </row>
    <row r="874" spans="1:14" x14ac:dyDescent="0.25">
      <c r="A874" s="23">
        <v>43971</v>
      </c>
      <c r="B874">
        <v>24.114999999999998</v>
      </c>
      <c r="C874" t="s">
        <v>2</v>
      </c>
      <c r="D874">
        <v>0.13699999999999998</v>
      </c>
      <c r="E874">
        <v>3.3037549999999993</v>
      </c>
      <c r="F874" t="s">
        <v>14</v>
      </c>
      <c r="G874">
        <v>0.16200000000000001</v>
      </c>
      <c r="H874">
        <v>0.53520830999999991</v>
      </c>
      <c r="I874" t="s">
        <v>55</v>
      </c>
      <c r="J874">
        <v>3.0000000000000001E-3</v>
      </c>
      <c r="K874">
        <v>1.6056249299999997E-3</v>
      </c>
      <c r="L874" t="s">
        <v>38</v>
      </c>
      <c r="M874">
        <v>1.1000000000000001E-2</v>
      </c>
      <c r="N874">
        <v>5.8872914099999995E-3</v>
      </c>
    </row>
    <row r="875" spans="1:14" x14ac:dyDescent="0.25">
      <c r="A875" s="23">
        <v>43972</v>
      </c>
      <c r="B875">
        <v>24.114999999999998</v>
      </c>
      <c r="C875" t="s">
        <v>2</v>
      </c>
      <c r="D875">
        <v>0.13699999999999998</v>
      </c>
      <c r="E875">
        <v>3.3037549999999993</v>
      </c>
      <c r="F875" t="s">
        <v>14</v>
      </c>
      <c r="G875">
        <v>0.16200000000000001</v>
      </c>
      <c r="H875">
        <v>0.53520830999999991</v>
      </c>
      <c r="L875" t="s">
        <v>39</v>
      </c>
      <c r="M875">
        <v>6.0000000000000001E-3</v>
      </c>
      <c r="N875">
        <v>3.2112498599999994E-3</v>
      </c>
    </row>
    <row r="876" spans="1:14" x14ac:dyDescent="0.25">
      <c r="A876" s="23">
        <v>43973</v>
      </c>
      <c r="B876">
        <v>24.114999999999998</v>
      </c>
      <c r="C876" t="s">
        <v>2</v>
      </c>
      <c r="D876">
        <v>0.13699999999999998</v>
      </c>
      <c r="E876">
        <v>3.3037549999999993</v>
      </c>
      <c r="F876" t="s">
        <v>44</v>
      </c>
      <c r="G876">
        <v>0.22399999999999998</v>
      </c>
      <c r="H876">
        <v>0.74004111999999977</v>
      </c>
      <c r="I876" t="s">
        <v>11</v>
      </c>
      <c r="J876">
        <v>0</v>
      </c>
      <c r="K876">
        <v>0</v>
      </c>
      <c r="L876" t="s">
        <v>32</v>
      </c>
      <c r="M876">
        <v>0</v>
      </c>
      <c r="N876">
        <v>0</v>
      </c>
    </row>
    <row r="877" spans="1:14" x14ac:dyDescent="0.25">
      <c r="A877" s="23">
        <v>43974</v>
      </c>
      <c r="B877">
        <v>24.114999999999998</v>
      </c>
      <c r="C877" t="s">
        <v>2</v>
      </c>
      <c r="D877">
        <v>0.13699999999999998</v>
      </c>
      <c r="E877">
        <v>3.3037549999999993</v>
      </c>
      <c r="F877" t="s">
        <v>15</v>
      </c>
      <c r="G877">
        <v>0.22399999999999998</v>
      </c>
      <c r="H877">
        <v>0.74004111999999977</v>
      </c>
      <c r="I877" t="s">
        <v>12</v>
      </c>
      <c r="J877">
        <v>0</v>
      </c>
      <c r="K877">
        <v>0</v>
      </c>
      <c r="L877" t="s">
        <v>33</v>
      </c>
      <c r="M877">
        <v>5.0999999999999997E-2</v>
      </c>
      <c r="N877">
        <v>3.7742097119999984E-2</v>
      </c>
    </row>
    <row r="878" spans="1:14" x14ac:dyDescent="0.25">
      <c r="A878" s="23">
        <v>43975</v>
      </c>
      <c r="B878">
        <v>24.114999999999998</v>
      </c>
      <c r="C878" t="s">
        <v>2</v>
      </c>
      <c r="D878">
        <v>0.13699999999999998</v>
      </c>
      <c r="E878">
        <v>3.3037549999999993</v>
      </c>
      <c r="F878" t="s">
        <v>15</v>
      </c>
      <c r="G878">
        <v>0.22399999999999998</v>
      </c>
      <c r="H878">
        <v>0.74004111999999977</v>
      </c>
      <c r="I878" t="s">
        <v>7</v>
      </c>
      <c r="J878">
        <v>3.5000000000000003E-2</v>
      </c>
      <c r="K878">
        <v>2.5901439199999994E-2</v>
      </c>
      <c r="L878" t="s">
        <v>34</v>
      </c>
      <c r="M878">
        <v>7.2999999999999995E-2</v>
      </c>
      <c r="N878">
        <v>5.4023001759999981E-2</v>
      </c>
    </row>
    <row r="879" spans="1:14" x14ac:dyDescent="0.25">
      <c r="A879" s="23">
        <v>43976</v>
      </c>
      <c r="B879">
        <v>24.114999999999998</v>
      </c>
      <c r="C879" t="s">
        <v>2</v>
      </c>
      <c r="D879">
        <v>0.13699999999999998</v>
      </c>
      <c r="E879">
        <v>3.3037549999999993</v>
      </c>
      <c r="F879" t="s">
        <v>15</v>
      </c>
      <c r="G879">
        <v>0.22399999999999998</v>
      </c>
      <c r="H879">
        <v>0.74004111999999977</v>
      </c>
      <c r="I879" t="s">
        <v>8</v>
      </c>
      <c r="J879">
        <v>0.44299999999999995</v>
      </c>
      <c r="K879">
        <v>0.32783821615999986</v>
      </c>
      <c r="L879" t="s">
        <v>35</v>
      </c>
      <c r="M879">
        <v>0.46</v>
      </c>
      <c r="N879">
        <v>0.34041891519999989</v>
      </c>
    </row>
    <row r="880" spans="1:14" x14ac:dyDescent="0.25">
      <c r="A880" s="23">
        <v>43977</v>
      </c>
      <c r="B880">
        <v>24.114999999999998</v>
      </c>
      <c r="C880" t="s">
        <v>2</v>
      </c>
      <c r="D880">
        <v>0.13699999999999998</v>
      </c>
      <c r="E880">
        <v>3.3037549999999993</v>
      </c>
      <c r="F880" t="s">
        <v>15</v>
      </c>
      <c r="G880">
        <v>0.22399999999999998</v>
      </c>
      <c r="H880">
        <v>0.74004111999999977</v>
      </c>
      <c r="I880" t="s">
        <v>10</v>
      </c>
      <c r="J880">
        <v>0.10400000000000001</v>
      </c>
      <c r="K880">
        <v>7.6964276479999982E-2</v>
      </c>
      <c r="L880" t="s">
        <v>36</v>
      </c>
      <c r="M880">
        <v>0.192</v>
      </c>
      <c r="N880">
        <v>0.14208789503999997</v>
      </c>
    </row>
    <row r="881" spans="1:14" x14ac:dyDescent="0.25">
      <c r="A881" s="23">
        <v>43978</v>
      </c>
      <c r="B881">
        <v>24.114999999999998</v>
      </c>
      <c r="C881" t="s">
        <v>2</v>
      </c>
      <c r="D881">
        <v>0.13699999999999998</v>
      </c>
      <c r="E881">
        <v>3.3037549999999993</v>
      </c>
      <c r="F881" t="s">
        <v>15</v>
      </c>
      <c r="G881">
        <v>0.22399999999999998</v>
      </c>
      <c r="H881">
        <v>0.74004111999999977</v>
      </c>
      <c r="I881" t="s">
        <v>9</v>
      </c>
      <c r="J881">
        <v>0.41799999999999998</v>
      </c>
      <c r="K881">
        <v>0.30933718815999989</v>
      </c>
      <c r="L881" t="s">
        <v>37</v>
      </c>
      <c r="M881">
        <v>0.223</v>
      </c>
      <c r="N881">
        <v>0.16502916975999996</v>
      </c>
    </row>
    <row r="882" spans="1:14" x14ac:dyDescent="0.25">
      <c r="A882" s="23">
        <v>43979</v>
      </c>
      <c r="B882">
        <v>24.114999999999998</v>
      </c>
      <c r="C882" t="s">
        <v>2</v>
      </c>
      <c r="D882">
        <v>0.13699999999999998</v>
      </c>
      <c r="E882">
        <v>3.3037549999999993</v>
      </c>
      <c r="F882" t="s">
        <v>15</v>
      </c>
      <c r="G882">
        <v>0.22399999999999998</v>
      </c>
      <c r="H882">
        <v>0.74004111999999977</v>
      </c>
      <c r="I882" t="s">
        <v>55</v>
      </c>
      <c r="J882">
        <v>0</v>
      </c>
      <c r="K882">
        <v>0</v>
      </c>
      <c r="L882" t="s">
        <v>38</v>
      </c>
      <c r="M882">
        <v>0</v>
      </c>
      <c r="N882">
        <v>0</v>
      </c>
    </row>
    <row r="883" spans="1:14" x14ac:dyDescent="0.25">
      <c r="A883" s="23">
        <v>43980</v>
      </c>
      <c r="B883">
        <v>24.114999999999998</v>
      </c>
      <c r="C883" t="s">
        <v>2</v>
      </c>
      <c r="D883">
        <v>0.13699999999999998</v>
      </c>
      <c r="E883">
        <v>3.3037549999999993</v>
      </c>
      <c r="F883" t="s">
        <v>15</v>
      </c>
      <c r="G883">
        <v>0.22399999999999998</v>
      </c>
      <c r="H883">
        <v>0.74004111999999977</v>
      </c>
      <c r="L883" t="s">
        <v>39</v>
      </c>
      <c r="M883">
        <v>0</v>
      </c>
      <c r="N883">
        <v>0</v>
      </c>
    </row>
    <row r="884" spans="1:14" x14ac:dyDescent="0.25">
      <c r="A884" s="23">
        <v>43981</v>
      </c>
      <c r="B884">
        <v>24.114999999999998</v>
      </c>
      <c r="C884" t="s">
        <v>2</v>
      </c>
      <c r="D884">
        <v>0.13699999999999998</v>
      </c>
      <c r="E884">
        <v>3.3037549999999993</v>
      </c>
      <c r="F884" t="s">
        <v>45</v>
      </c>
      <c r="G884">
        <v>0.155</v>
      </c>
      <c r="H884">
        <v>0.51208202499999989</v>
      </c>
      <c r="I884" t="s">
        <v>11</v>
      </c>
      <c r="J884">
        <v>6.5000000000000002E-2</v>
      </c>
      <c r="K884">
        <v>3.3285331624999991E-2</v>
      </c>
      <c r="L884" t="s">
        <v>32</v>
      </c>
      <c r="M884">
        <v>0.01</v>
      </c>
      <c r="N884">
        <v>5.1208202499999989E-3</v>
      </c>
    </row>
    <row r="885" spans="1:14" x14ac:dyDescent="0.25">
      <c r="A885" s="23">
        <v>43982</v>
      </c>
      <c r="B885">
        <v>24.114999999999998</v>
      </c>
      <c r="C885" t="s">
        <v>2</v>
      </c>
      <c r="D885">
        <v>0.13699999999999998</v>
      </c>
      <c r="E885">
        <v>3.3037549999999993</v>
      </c>
      <c r="F885" t="s">
        <v>16</v>
      </c>
      <c r="G885">
        <v>0.155</v>
      </c>
      <c r="H885">
        <v>0.51208202499999989</v>
      </c>
      <c r="I885" t="s">
        <v>12</v>
      </c>
      <c r="J885">
        <v>3.5000000000000003E-2</v>
      </c>
      <c r="K885">
        <v>1.7922870874999997E-2</v>
      </c>
      <c r="L885" t="s">
        <v>33</v>
      </c>
      <c r="M885">
        <v>0.11199999999999999</v>
      </c>
      <c r="N885">
        <v>5.7353186799999983E-2</v>
      </c>
    </row>
    <row r="886" spans="1:14" x14ac:dyDescent="0.25">
      <c r="A886" s="23">
        <v>43983</v>
      </c>
      <c r="B886">
        <v>24.114999999999998</v>
      </c>
      <c r="C886" t="s">
        <v>2</v>
      </c>
      <c r="D886">
        <v>0.13699999999999998</v>
      </c>
      <c r="E886">
        <v>3.3037549999999993</v>
      </c>
      <c r="F886" t="s">
        <v>16</v>
      </c>
      <c r="G886">
        <v>0.155</v>
      </c>
      <c r="H886">
        <v>0.51208202499999989</v>
      </c>
      <c r="I886" t="s">
        <v>7</v>
      </c>
      <c r="J886">
        <v>5.2999999999999999E-2</v>
      </c>
      <c r="K886">
        <v>2.7140347324999994E-2</v>
      </c>
      <c r="L886" t="s">
        <v>34</v>
      </c>
      <c r="M886">
        <v>0.12</v>
      </c>
      <c r="N886">
        <v>6.1449842999999983E-2</v>
      </c>
    </row>
    <row r="887" spans="1:14" x14ac:dyDescent="0.25">
      <c r="A887" s="23">
        <v>43984</v>
      </c>
      <c r="B887">
        <v>24.114999999999998</v>
      </c>
      <c r="C887" t="s">
        <v>2</v>
      </c>
      <c r="D887">
        <v>0.13699999999999998</v>
      </c>
      <c r="E887">
        <v>3.3037549999999993</v>
      </c>
      <c r="F887" t="s">
        <v>16</v>
      </c>
      <c r="G887">
        <v>0.155</v>
      </c>
      <c r="H887">
        <v>0.51208202499999989</v>
      </c>
      <c r="I887" t="s">
        <v>8</v>
      </c>
      <c r="J887">
        <v>0.31</v>
      </c>
      <c r="K887">
        <v>0.15874542774999997</v>
      </c>
      <c r="L887" t="s">
        <v>35</v>
      </c>
      <c r="M887">
        <v>0.25</v>
      </c>
      <c r="N887">
        <v>0.12802050624999997</v>
      </c>
    </row>
    <row r="888" spans="1:14" x14ac:dyDescent="0.25">
      <c r="A888" s="23">
        <v>43985</v>
      </c>
      <c r="B888">
        <v>24.114999999999998</v>
      </c>
      <c r="C888" t="s">
        <v>2</v>
      </c>
      <c r="D888">
        <v>0.13699999999999998</v>
      </c>
      <c r="E888">
        <v>3.3037549999999993</v>
      </c>
      <c r="F888" t="s">
        <v>16</v>
      </c>
      <c r="G888">
        <v>0.155</v>
      </c>
      <c r="H888">
        <v>0.51208202499999989</v>
      </c>
      <c r="I888" t="s">
        <v>10</v>
      </c>
      <c r="J888">
        <v>0.107</v>
      </c>
      <c r="K888">
        <v>5.4792776674999988E-2</v>
      </c>
      <c r="L888" t="s">
        <v>36</v>
      </c>
      <c r="M888">
        <v>0.25900000000000001</v>
      </c>
      <c r="N888">
        <v>0.13262924447499996</v>
      </c>
    </row>
    <row r="889" spans="1:14" x14ac:dyDescent="0.25">
      <c r="A889" s="23">
        <v>43986</v>
      </c>
      <c r="B889">
        <v>24.114999999999998</v>
      </c>
      <c r="C889" t="s">
        <v>2</v>
      </c>
      <c r="D889">
        <v>0.13699999999999998</v>
      </c>
      <c r="E889">
        <v>3.3037549999999993</v>
      </c>
      <c r="F889" t="s">
        <v>16</v>
      </c>
      <c r="G889">
        <v>0.155</v>
      </c>
      <c r="H889">
        <v>0.51208202499999989</v>
      </c>
      <c r="I889" t="s">
        <v>9</v>
      </c>
      <c r="J889">
        <v>0.41600000000000004</v>
      </c>
      <c r="K889">
        <v>0.21302612239999996</v>
      </c>
      <c r="L889" t="s">
        <v>37</v>
      </c>
      <c r="M889">
        <v>0.22800000000000001</v>
      </c>
      <c r="N889">
        <v>0.11675470169999998</v>
      </c>
    </row>
    <row r="890" spans="1:14" x14ac:dyDescent="0.25">
      <c r="A890" s="23">
        <v>43987</v>
      </c>
      <c r="B890">
        <v>24.114999999999998</v>
      </c>
      <c r="C890" t="s">
        <v>2</v>
      </c>
      <c r="D890">
        <v>0.13699999999999998</v>
      </c>
      <c r="E890">
        <v>3.3037549999999993</v>
      </c>
      <c r="F890" t="s">
        <v>16</v>
      </c>
      <c r="G890">
        <v>0.155</v>
      </c>
      <c r="H890">
        <v>0.51208202499999989</v>
      </c>
      <c r="I890" t="s">
        <v>55</v>
      </c>
      <c r="J890">
        <v>1.3000000000000001E-2</v>
      </c>
      <c r="K890">
        <v>6.6570663249999988E-3</v>
      </c>
      <c r="L890" t="s">
        <v>38</v>
      </c>
      <c r="M890">
        <v>1.7000000000000001E-2</v>
      </c>
      <c r="N890">
        <v>8.7053944249999987E-3</v>
      </c>
    </row>
    <row r="891" spans="1:14" x14ac:dyDescent="0.25">
      <c r="A891" s="23">
        <v>43988</v>
      </c>
      <c r="B891">
        <v>24.114999999999998</v>
      </c>
      <c r="C891" t="s">
        <v>2</v>
      </c>
      <c r="D891">
        <v>0.13699999999999998</v>
      </c>
      <c r="E891">
        <v>3.3037549999999993</v>
      </c>
      <c r="F891" t="s">
        <v>16</v>
      </c>
      <c r="G891">
        <v>0.155</v>
      </c>
      <c r="H891">
        <v>0.51208202499999989</v>
      </c>
      <c r="L891" t="s">
        <v>39</v>
      </c>
      <c r="M891">
        <v>4.0000000000000001E-3</v>
      </c>
      <c r="N891">
        <v>2.0483280999999995E-3</v>
      </c>
    </row>
    <row r="892" spans="1:14" x14ac:dyDescent="0.25">
      <c r="A892" s="23">
        <v>43989</v>
      </c>
      <c r="B892">
        <v>24.114999999999998</v>
      </c>
      <c r="C892" t="s">
        <v>2</v>
      </c>
      <c r="D892">
        <v>0.13699999999999998</v>
      </c>
      <c r="E892">
        <v>3.3037549999999993</v>
      </c>
      <c r="F892" t="s">
        <v>46</v>
      </c>
      <c r="G892">
        <v>0.14400000000000002</v>
      </c>
      <c r="H892">
        <v>0.47574071999999995</v>
      </c>
      <c r="I892" t="s">
        <v>11</v>
      </c>
      <c r="J892">
        <v>0.20499999999999999</v>
      </c>
      <c r="K892">
        <v>9.752684759999998E-2</v>
      </c>
      <c r="L892" t="s">
        <v>32</v>
      </c>
      <c r="M892">
        <v>0.01</v>
      </c>
      <c r="N892">
        <v>4.7574072E-3</v>
      </c>
    </row>
    <row r="893" spans="1:14" x14ac:dyDescent="0.25">
      <c r="A893" s="23">
        <v>43990</v>
      </c>
      <c r="B893">
        <v>24.114999999999998</v>
      </c>
      <c r="C893" t="s">
        <v>2</v>
      </c>
      <c r="D893">
        <v>0.13699999999999998</v>
      </c>
      <c r="E893">
        <v>3.3037549999999993</v>
      </c>
      <c r="F893" t="s">
        <v>13</v>
      </c>
      <c r="G893">
        <v>0.14400000000000002</v>
      </c>
      <c r="H893">
        <v>0.47574071999999995</v>
      </c>
      <c r="I893" t="s">
        <v>12</v>
      </c>
      <c r="J893">
        <v>2.8999999999999998E-2</v>
      </c>
      <c r="K893">
        <v>1.3796480879999998E-2</v>
      </c>
      <c r="L893" t="s">
        <v>33</v>
      </c>
      <c r="M893">
        <v>5.7999999999999996E-2</v>
      </c>
      <c r="N893">
        <v>2.7592961759999996E-2</v>
      </c>
    </row>
    <row r="894" spans="1:14" x14ac:dyDescent="0.25">
      <c r="A894" s="23">
        <v>43991</v>
      </c>
      <c r="B894">
        <v>24.114999999999998</v>
      </c>
      <c r="C894" t="s">
        <v>2</v>
      </c>
      <c r="D894">
        <v>0.13699999999999998</v>
      </c>
      <c r="E894">
        <v>3.3037549999999993</v>
      </c>
      <c r="F894" t="s">
        <v>13</v>
      </c>
      <c r="G894">
        <v>0.14400000000000002</v>
      </c>
      <c r="H894">
        <v>0.47574071999999995</v>
      </c>
      <c r="I894" t="s">
        <v>7</v>
      </c>
      <c r="J894">
        <v>7.2999999999999995E-2</v>
      </c>
      <c r="K894">
        <v>3.4729072559999997E-2</v>
      </c>
      <c r="L894" t="s">
        <v>34</v>
      </c>
      <c r="M894">
        <v>0.13600000000000001</v>
      </c>
      <c r="N894">
        <v>6.4700737920000001E-2</v>
      </c>
    </row>
    <row r="895" spans="1:14" x14ac:dyDescent="0.25">
      <c r="A895" s="23">
        <v>43992</v>
      </c>
      <c r="B895">
        <v>24.114999999999998</v>
      </c>
      <c r="C895" t="s">
        <v>2</v>
      </c>
      <c r="D895">
        <v>0.13699999999999998</v>
      </c>
      <c r="E895">
        <v>3.3037549999999993</v>
      </c>
      <c r="F895" t="s">
        <v>13</v>
      </c>
      <c r="G895">
        <v>0.14400000000000002</v>
      </c>
      <c r="H895">
        <v>0.47574071999999995</v>
      </c>
      <c r="I895" t="s">
        <v>8</v>
      </c>
      <c r="J895">
        <v>0.36299999999999999</v>
      </c>
      <c r="K895">
        <v>0.17269388135999997</v>
      </c>
      <c r="L895" t="s">
        <v>35</v>
      </c>
      <c r="M895">
        <v>0.25800000000000001</v>
      </c>
      <c r="N895">
        <v>0.12274110576</v>
      </c>
    </row>
    <row r="896" spans="1:14" x14ac:dyDescent="0.25">
      <c r="A896" s="23">
        <v>43993</v>
      </c>
      <c r="B896">
        <v>24.114999999999998</v>
      </c>
      <c r="C896" t="s">
        <v>2</v>
      </c>
      <c r="D896">
        <v>0.13699999999999998</v>
      </c>
      <c r="E896">
        <v>3.3037549999999993</v>
      </c>
      <c r="F896" t="s">
        <v>13</v>
      </c>
      <c r="G896">
        <v>0.14400000000000002</v>
      </c>
      <c r="H896">
        <v>0.47574071999999995</v>
      </c>
      <c r="I896" t="s">
        <v>10</v>
      </c>
      <c r="J896">
        <v>7.4999999999999997E-2</v>
      </c>
      <c r="K896">
        <v>3.5680553999999996E-2</v>
      </c>
      <c r="L896" t="s">
        <v>36</v>
      </c>
      <c r="M896">
        <v>0.30099999999999999</v>
      </c>
      <c r="N896" t="e">
        <v>#REF!</v>
      </c>
    </row>
    <row r="897" spans="1:14" x14ac:dyDescent="0.25">
      <c r="A897" s="23">
        <v>43994</v>
      </c>
      <c r="B897">
        <v>24.114999999999998</v>
      </c>
      <c r="C897" t="s">
        <v>2</v>
      </c>
      <c r="D897">
        <v>0.13699999999999998</v>
      </c>
      <c r="E897">
        <v>3.3037549999999993</v>
      </c>
      <c r="F897" t="s">
        <v>13</v>
      </c>
      <c r="G897">
        <v>0.14400000000000002</v>
      </c>
      <c r="H897">
        <v>0.47574071999999995</v>
      </c>
      <c r="I897" t="s">
        <v>9</v>
      </c>
      <c r="J897">
        <v>0.23800000000000002</v>
      </c>
      <c r="K897">
        <v>0.11322629135999999</v>
      </c>
      <c r="L897" t="s">
        <v>37</v>
      </c>
      <c r="M897">
        <v>0.221</v>
      </c>
      <c r="N897">
        <v>0.14319795671999999</v>
      </c>
    </row>
    <row r="898" spans="1:14" x14ac:dyDescent="0.25">
      <c r="A898" s="23">
        <v>43995</v>
      </c>
      <c r="B898">
        <v>24.114999999999998</v>
      </c>
      <c r="C898" t="s">
        <v>2</v>
      </c>
      <c r="D898">
        <v>0.13699999999999998</v>
      </c>
      <c r="E898">
        <v>3.3037549999999993</v>
      </c>
      <c r="F898" t="s">
        <v>13</v>
      </c>
      <c r="G898">
        <v>0.14400000000000002</v>
      </c>
      <c r="H898">
        <v>0.47574071999999995</v>
      </c>
      <c r="I898" t="s">
        <v>55</v>
      </c>
      <c r="J898">
        <v>1.7000000000000001E-2</v>
      </c>
      <c r="K898">
        <v>8.0875922400000001E-3</v>
      </c>
      <c r="L898" t="s">
        <v>38</v>
      </c>
      <c r="M898">
        <v>8.0000000000000002E-3</v>
      </c>
      <c r="N898">
        <v>0.10513869911999998</v>
      </c>
    </row>
    <row r="899" spans="1:14" x14ac:dyDescent="0.25">
      <c r="A899" s="23">
        <v>43996</v>
      </c>
      <c r="B899">
        <v>24.114999999999998</v>
      </c>
      <c r="C899" t="s">
        <v>2</v>
      </c>
      <c r="D899">
        <v>0.13699999999999998</v>
      </c>
      <c r="E899">
        <v>3.3037549999999993</v>
      </c>
      <c r="F899" t="s">
        <v>13</v>
      </c>
      <c r="G899">
        <v>0.14400000000000002</v>
      </c>
      <c r="H899">
        <v>0.47574071999999995</v>
      </c>
      <c r="L899" t="s">
        <v>39</v>
      </c>
      <c r="M899">
        <v>8.0000000000000002E-3</v>
      </c>
      <c r="N899">
        <v>3.8059257599999995E-3</v>
      </c>
    </row>
    <row r="900" spans="1:14" x14ac:dyDescent="0.25">
      <c r="A900" s="23">
        <v>43997</v>
      </c>
      <c r="B900">
        <v>24.114999999999998</v>
      </c>
      <c r="C900" t="s">
        <v>2</v>
      </c>
      <c r="D900">
        <v>0.13699999999999998</v>
      </c>
      <c r="E900">
        <v>3.3037549999999993</v>
      </c>
      <c r="F900" t="s">
        <v>47</v>
      </c>
      <c r="G900">
        <v>0.16899999999999998</v>
      </c>
      <c r="H900">
        <v>0.55833459499999982</v>
      </c>
      <c r="I900" t="s">
        <v>11</v>
      </c>
      <c r="J900">
        <v>0</v>
      </c>
      <c r="K900">
        <v>0</v>
      </c>
      <c r="L900" t="s">
        <v>32</v>
      </c>
      <c r="M900">
        <v>0</v>
      </c>
      <c r="N900">
        <v>0</v>
      </c>
    </row>
    <row r="901" spans="1:14" x14ac:dyDescent="0.25">
      <c r="A901" s="23">
        <v>43998</v>
      </c>
      <c r="B901">
        <v>24.114999999999998</v>
      </c>
      <c r="C901" t="s">
        <v>2</v>
      </c>
      <c r="D901">
        <v>0.13699999999999998</v>
      </c>
      <c r="E901">
        <v>3.3037549999999993</v>
      </c>
      <c r="F901" t="s">
        <v>17</v>
      </c>
      <c r="G901">
        <v>0.16899999999999998</v>
      </c>
      <c r="H901">
        <v>0.55833459499999982</v>
      </c>
      <c r="I901" t="s">
        <v>12</v>
      </c>
      <c r="J901">
        <v>4.7E-2</v>
      </c>
      <c r="K901">
        <v>2.624172596499999E-2</v>
      </c>
      <c r="L901" t="s">
        <v>33</v>
      </c>
      <c r="M901">
        <v>5.2000000000000005E-2</v>
      </c>
      <c r="N901">
        <v>2.9033398939999993E-2</v>
      </c>
    </row>
    <row r="902" spans="1:14" x14ac:dyDescent="0.25">
      <c r="A902" s="23">
        <v>43999</v>
      </c>
      <c r="B902">
        <v>24.114999999999998</v>
      </c>
      <c r="C902" t="s">
        <v>2</v>
      </c>
      <c r="D902">
        <v>0.13699999999999998</v>
      </c>
      <c r="E902">
        <v>3.3037549999999993</v>
      </c>
      <c r="F902" t="s">
        <v>17</v>
      </c>
      <c r="G902">
        <v>0.16899999999999998</v>
      </c>
      <c r="H902">
        <v>0.55833459499999982</v>
      </c>
      <c r="I902" t="s">
        <v>7</v>
      </c>
      <c r="J902">
        <v>2.5000000000000001E-2</v>
      </c>
      <c r="K902">
        <v>1.3958364874999997E-2</v>
      </c>
      <c r="L902" t="s">
        <v>34</v>
      </c>
      <c r="M902">
        <v>0.124</v>
      </c>
      <c r="N902">
        <v>6.9233489779999977E-2</v>
      </c>
    </row>
    <row r="903" spans="1:14" x14ac:dyDescent="0.25">
      <c r="A903" s="23">
        <v>44000</v>
      </c>
      <c r="B903">
        <v>24.114999999999998</v>
      </c>
      <c r="C903" t="s">
        <v>2</v>
      </c>
      <c r="D903">
        <v>0.13699999999999998</v>
      </c>
      <c r="E903">
        <v>3.3037549999999993</v>
      </c>
      <c r="F903" t="s">
        <v>17</v>
      </c>
      <c r="G903">
        <v>0.16899999999999998</v>
      </c>
      <c r="H903">
        <v>0.55833459499999982</v>
      </c>
      <c r="I903" t="s">
        <v>8</v>
      </c>
      <c r="J903">
        <v>0.51900000000000002</v>
      </c>
      <c r="K903">
        <v>0.28977565480499989</v>
      </c>
      <c r="L903" t="s">
        <v>35</v>
      </c>
      <c r="M903">
        <v>0.40399999999999997</v>
      </c>
      <c r="N903">
        <v>0.2255671763799999</v>
      </c>
    </row>
    <row r="904" spans="1:14" x14ac:dyDescent="0.25">
      <c r="A904" s="23">
        <v>44001</v>
      </c>
      <c r="B904">
        <v>24.114999999999998</v>
      </c>
      <c r="C904" t="s">
        <v>2</v>
      </c>
      <c r="D904">
        <v>0.13699999999999998</v>
      </c>
      <c r="E904">
        <v>3.3037549999999993</v>
      </c>
      <c r="F904" t="s">
        <v>17</v>
      </c>
      <c r="G904">
        <v>0.16899999999999998</v>
      </c>
      <c r="H904">
        <v>0.55833459499999982</v>
      </c>
      <c r="I904" t="s">
        <v>10</v>
      </c>
      <c r="J904">
        <v>0.17899999999999999</v>
      </c>
      <c r="K904">
        <v>9.9941892504999963E-2</v>
      </c>
      <c r="L904" t="s">
        <v>36</v>
      </c>
      <c r="M904">
        <v>0.221</v>
      </c>
      <c r="N904">
        <v>0.12339194549499996</v>
      </c>
    </row>
    <row r="905" spans="1:14" x14ac:dyDescent="0.25">
      <c r="A905" s="23">
        <v>44002</v>
      </c>
      <c r="B905">
        <v>24.114999999999998</v>
      </c>
      <c r="C905" t="s">
        <v>2</v>
      </c>
      <c r="D905">
        <v>0.13699999999999998</v>
      </c>
      <c r="E905">
        <v>3.3037549999999993</v>
      </c>
      <c r="F905" t="s">
        <v>17</v>
      </c>
      <c r="G905">
        <v>0.16899999999999998</v>
      </c>
      <c r="H905">
        <v>0.55833459499999982</v>
      </c>
      <c r="I905" t="s">
        <v>9</v>
      </c>
      <c r="J905">
        <v>0.23</v>
      </c>
      <c r="K905">
        <v>0.12841695684999996</v>
      </c>
      <c r="L905" t="s">
        <v>37</v>
      </c>
      <c r="M905">
        <v>0.17</v>
      </c>
      <c r="N905">
        <v>9.4916881149999979E-2</v>
      </c>
    </row>
    <row r="906" spans="1:14" x14ac:dyDescent="0.25">
      <c r="A906" s="23">
        <v>44003</v>
      </c>
      <c r="B906">
        <v>24.114999999999998</v>
      </c>
      <c r="C906" t="s">
        <v>2</v>
      </c>
      <c r="D906">
        <v>0.13699999999999998</v>
      </c>
      <c r="E906">
        <v>3.3037549999999993</v>
      </c>
      <c r="F906" t="s">
        <v>17</v>
      </c>
      <c r="G906">
        <v>0.16899999999999998</v>
      </c>
      <c r="H906">
        <v>0.55833459499999982</v>
      </c>
      <c r="I906" t="s">
        <v>55</v>
      </c>
      <c r="J906">
        <v>0</v>
      </c>
      <c r="K906">
        <v>0</v>
      </c>
      <c r="L906" t="s">
        <v>38</v>
      </c>
      <c r="M906">
        <v>0</v>
      </c>
      <c r="N906">
        <v>0</v>
      </c>
    </row>
    <row r="907" spans="1:14" x14ac:dyDescent="0.25">
      <c r="A907" s="23">
        <v>44004</v>
      </c>
      <c r="B907">
        <v>24.114999999999998</v>
      </c>
      <c r="C907" t="s">
        <v>2</v>
      </c>
      <c r="D907">
        <v>0.13699999999999998</v>
      </c>
      <c r="E907">
        <v>3.3037549999999993</v>
      </c>
      <c r="F907" t="s">
        <v>17</v>
      </c>
      <c r="G907">
        <v>0.16899999999999998</v>
      </c>
      <c r="H907">
        <v>0.55833459499999982</v>
      </c>
      <c r="L907" t="s">
        <v>39</v>
      </c>
      <c r="M907">
        <v>2.7999999999999997E-2</v>
      </c>
      <c r="N907">
        <v>1.5633368659999994E-2</v>
      </c>
    </row>
    <row r="908" spans="1:14" x14ac:dyDescent="0.25">
      <c r="A908" s="23">
        <v>44005</v>
      </c>
      <c r="B908">
        <v>24.114999999999998</v>
      </c>
      <c r="C908" t="s">
        <v>2</v>
      </c>
      <c r="D908">
        <v>0.13699999999999998</v>
      </c>
      <c r="E908">
        <v>3.3037549999999993</v>
      </c>
      <c r="F908" t="s">
        <v>18</v>
      </c>
      <c r="G908">
        <v>7.400000000000001E-2</v>
      </c>
      <c r="H908">
        <v>0.24447786999999999</v>
      </c>
      <c r="I908" t="s">
        <v>11</v>
      </c>
      <c r="J908">
        <v>0.34799999999999998</v>
      </c>
      <c r="K908">
        <v>8.507829875999999E-2</v>
      </c>
      <c r="L908" t="s">
        <v>32</v>
      </c>
      <c r="M908">
        <v>1.4999999999999999E-2</v>
      </c>
      <c r="N908">
        <v>3.6671680499999995E-3</v>
      </c>
    </row>
    <row r="909" spans="1:14" x14ac:dyDescent="0.25">
      <c r="A909" s="23">
        <v>44006</v>
      </c>
      <c r="B909">
        <v>24.114999999999998</v>
      </c>
      <c r="C909" t="s">
        <v>2</v>
      </c>
      <c r="D909">
        <v>0.13699999999999998</v>
      </c>
      <c r="E909">
        <v>3.3037549999999993</v>
      </c>
      <c r="F909" t="s">
        <v>18</v>
      </c>
      <c r="G909">
        <v>7.400000000000001E-2</v>
      </c>
      <c r="H909">
        <v>0.24447786999999999</v>
      </c>
      <c r="I909" t="s">
        <v>12</v>
      </c>
      <c r="J909">
        <v>2.4E-2</v>
      </c>
      <c r="K909">
        <v>5.8674688799999998E-3</v>
      </c>
      <c r="L909" t="s">
        <v>33</v>
      </c>
      <c r="M909">
        <v>0.11199999999999999</v>
      </c>
      <c r="N909">
        <v>2.7381521439999997E-2</v>
      </c>
    </row>
    <row r="910" spans="1:14" x14ac:dyDescent="0.25">
      <c r="A910" s="23">
        <v>44007</v>
      </c>
      <c r="B910">
        <v>24.114999999999998</v>
      </c>
      <c r="C910" t="s">
        <v>2</v>
      </c>
      <c r="D910">
        <v>0.13699999999999998</v>
      </c>
      <c r="E910">
        <v>3.3037549999999993</v>
      </c>
      <c r="F910" t="s">
        <v>18</v>
      </c>
      <c r="G910">
        <v>7.400000000000001E-2</v>
      </c>
      <c r="H910">
        <v>0.24447786999999999</v>
      </c>
      <c r="I910" t="s">
        <v>7</v>
      </c>
      <c r="J910">
        <v>2.7000000000000003E-2</v>
      </c>
      <c r="K910">
        <v>6.6009024900000003E-3</v>
      </c>
      <c r="L910" t="s">
        <v>34</v>
      </c>
      <c r="M910">
        <v>0.10400000000000001</v>
      </c>
      <c r="N910">
        <v>2.5425698480000002E-2</v>
      </c>
    </row>
    <row r="911" spans="1:14" x14ac:dyDescent="0.25">
      <c r="A911" s="23">
        <v>44008</v>
      </c>
      <c r="B911">
        <v>24.114999999999998</v>
      </c>
      <c r="C911" t="s">
        <v>2</v>
      </c>
      <c r="D911">
        <v>0.13699999999999998</v>
      </c>
      <c r="E911">
        <v>3.3037549999999993</v>
      </c>
      <c r="F911" t="s">
        <v>18</v>
      </c>
      <c r="G911">
        <v>7.400000000000001E-2</v>
      </c>
      <c r="H911">
        <v>0.24447786999999999</v>
      </c>
      <c r="I911" t="s">
        <v>8</v>
      </c>
      <c r="J911">
        <v>0.255</v>
      </c>
      <c r="K911">
        <v>0</v>
      </c>
      <c r="L911" t="s">
        <v>35</v>
      </c>
      <c r="M911">
        <v>0.34700000000000003</v>
      </c>
      <c r="N911">
        <v>8.4833820890000008E-2</v>
      </c>
    </row>
    <row r="912" spans="1:14" x14ac:dyDescent="0.25">
      <c r="A912" s="23">
        <v>44009</v>
      </c>
      <c r="B912">
        <v>24.114999999999998</v>
      </c>
      <c r="C912" t="s">
        <v>2</v>
      </c>
      <c r="D912">
        <v>0.13699999999999998</v>
      </c>
      <c r="E912">
        <v>3.3037549999999993</v>
      </c>
      <c r="F912" t="s">
        <v>18</v>
      </c>
      <c r="G912">
        <v>7.400000000000001E-2</v>
      </c>
      <c r="H912">
        <v>0.24447786999999999</v>
      </c>
      <c r="I912" t="s">
        <v>10</v>
      </c>
      <c r="J912">
        <v>8.199999999999999E-2</v>
      </c>
      <c r="K912">
        <v>6.2341856849999995E-2</v>
      </c>
      <c r="L912" t="s">
        <v>36</v>
      </c>
      <c r="M912">
        <v>0.24</v>
      </c>
      <c r="N912">
        <v>5.8674688799999992E-2</v>
      </c>
    </row>
    <row r="913" spans="1:14" x14ac:dyDescent="0.25">
      <c r="A913" s="23">
        <v>44010</v>
      </c>
      <c r="B913">
        <v>24.114999999999998</v>
      </c>
      <c r="C913" t="s">
        <v>2</v>
      </c>
      <c r="D913">
        <v>0.13699999999999998</v>
      </c>
      <c r="E913">
        <v>3.3037549999999993</v>
      </c>
      <c r="F913" t="s">
        <v>48</v>
      </c>
      <c r="G913">
        <v>7.400000000000001E-2</v>
      </c>
      <c r="H913">
        <v>0.24447786999999999</v>
      </c>
      <c r="I913" t="s">
        <v>9</v>
      </c>
      <c r="J913">
        <v>0.26400000000000001</v>
      </c>
      <c r="K913">
        <v>6.4542157680000004E-2</v>
      </c>
      <c r="L913" t="s">
        <v>37</v>
      </c>
      <c r="M913">
        <v>0.14599999999999999</v>
      </c>
      <c r="N913">
        <v>3.5693769019999995E-2</v>
      </c>
    </row>
    <row r="914" spans="1:14" x14ac:dyDescent="0.25">
      <c r="A914" s="23">
        <v>44011</v>
      </c>
      <c r="B914">
        <v>24.114999999999998</v>
      </c>
      <c r="C914" t="s">
        <v>2</v>
      </c>
      <c r="D914">
        <v>0.13699999999999998</v>
      </c>
      <c r="E914">
        <v>3.3037549999999993</v>
      </c>
      <c r="F914" t="s">
        <v>18</v>
      </c>
      <c r="G914">
        <v>7.400000000000001E-2</v>
      </c>
      <c r="H914">
        <v>0.24447786999999999</v>
      </c>
      <c r="I914" t="s">
        <v>55</v>
      </c>
      <c r="J914">
        <v>0</v>
      </c>
      <c r="K914">
        <v>0</v>
      </c>
      <c r="L914" t="s">
        <v>38</v>
      </c>
      <c r="M914">
        <v>2.2000000000000002E-2</v>
      </c>
      <c r="N914">
        <v>5.37851314E-3</v>
      </c>
    </row>
    <row r="915" spans="1:14" x14ac:dyDescent="0.25">
      <c r="A915" s="23">
        <v>44012</v>
      </c>
      <c r="B915">
        <v>24.114999999999998</v>
      </c>
      <c r="C915" t="s">
        <v>2</v>
      </c>
      <c r="D915">
        <v>0.13699999999999998</v>
      </c>
      <c r="E915">
        <v>3.3037549999999993</v>
      </c>
      <c r="F915" t="s">
        <v>18</v>
      </c>
      <c r="G915">
        <v>7.400000000000001E-2</v>
      </c>
      <c r="H915">
        <v>0.24447786999999999</v>
      </c>
      <c r="L915" t="s">
        <v>39</v>
      </c>
      <c r="M915">
        <v>1.3000000000000001E-2</v>
      </c>
      <c r="N915">
        <v>3.1782123100000002E-3</v>
      </c>
    </row>
    <row r="916" spans="1:14" x14ac:dyDescent="0.25">
      <c r="A916" s="23">
        <v>44013</v>
      </c>
      <c r="B916">
        <v>24.114999999999998</v>
      </c>
      <c r="C916" t="s">
        <v>19</v>
      </c>
      <c r="D916">
        <v>0.86299999999999999</v>
      </c>
      <c r="E916">
        <v>20.811245</v>
      </c>
      <c r="F916" t="s">
        <v>54</v>
      </c>
      <c r="G916">
        <v>0.83799999999999997</v>
      </c>
      <c r="H916">
        <v>17.439823309999998</v>
      </c>
      <c r="I916" t="s">
        <v>11</v>
      </c>
      <c r="J916">
        <v>0.111</v>
      </c>
      <c r="K916">
        <v>1.9358203874099997</v>
      </c>
      <c r="L916" t="s">
        <v>32</v>
      </c>
      <c r="M916">
        <v>3.1E-2</v>
      </c>
      <c r="N916">
        <v>0.54063452260999989</v>
      </c>
    </row>
    <row r="917" spans="1:14" x14ac:dyDescent="0.25">
      <c r="A917" s="23">
        <v>44014</v>
      </c>
      <c r="B917">
        <v>24.114999999999998</v>
      </c>
      <c r="C917" t="s">
        <v>19</v>
      </c>
      <c r="D917">
        <v>0.86299999999999999</v>
      </c>
      <c r="E917">
        <v>20.811245</v>
      </c>
      <c r="F917" t="s">
        <v>14</v>
      </c>
      <c r="G917">
        <v>0.83799999999999997</v>
      </c>
      <c r="H917">
        <v>17.439823309999998</v>
      </c>
      <c r="I917" t="s">
        <v>12</v>
      </c>
      <c r="J917">
        <v>7.2000000000000008E-2</v>
      </c>
      <c r="K917">
        <v>1.25566727832</v>
      </c>
      <c r="L917" t="s">
        <v>33</v>
      </c>
      <c r="M917">
        <v>0.105</v>
      </c>
      <c r="N917">
        <v>1.8311814475499997</v>
      </c>
    </row>
    <row r="918" spans="1:14" x14ac:dyDescent="0.25">
      <c r="A918" s="23">
        <v>44015</v>
      </c>
      <c r="B918">
        <v>24.114999999999998</v>
      </c>
      <c r="C918" t="s">
        <v>19</v>
      </c>
      <c r="D918">
        <v>0.86299999999999999</v>
      </c>
      <c r="E918">
        <v>20.811245</v>
      </c>
      <c r="F918" t="s">
        <v>14</v>
      </c>
      <c r="G918">
        <v>0.83799999999999997</v>
      </c>
      <c r="H918">
        <v>17.439823309999998</v>
      </c>
      <c r="I918" t="s">
        <v>7</v>
      </c>
      <c r="J918">
        <v>0.158</v>
      </c>
      <c r="K918">
        <v>2.7554920829799996</v>
      </c>
      <c r="L918" t="s">
        <v>34</v>
      </c>
      <c r="M918">
        <v>0.17300000000000001</v>
      </c>
      <c r="N918">
        <v>3.0170894326299997</v>
      </c>
    </row>
    <row r="919" spans="1:14" x14ac:dyDescent="0.25">
      <c r="A919" s="23">
        <v>44016</v>
      </c>
      <c r="B919">
        <v>24.114999999999998</v>
      </c>
      <c r="C919" t="s">
        <v>19</v>
      </c>
      <c r="D919">
        <v>0.86299999999999999</v>
      </c>
      <c r="E919">
        <v>20.811245</v>
      </c>
      <c r="F919" t="s">
        <v>14</v>
      </c>
      <c r="G919">
        <v>0.83799999999999997</v>
      </c>
      <c r="H919">
        <v>17.439823309999998</v>
      </c>
      <c r="I919" t="s">
        <v>8</v>
      </c>
      <c r="J919">
        <v>0.35299999999999998</v>
      </c>
      <c r="K919">
        <v>6.1562576284299988</v>
      </c>
      <c r="L919" t="s">
        <v>35</v>
      </c>
      <c r="M919">
        <v>0.27300000000000002</v>
      </c>
      <c r="N919">
        <v>4.7610717636299995</v>
      </c>
    </row>
    <row r="920" spans="1:14" x14ac:dyDescent="0.25">
      <c r="A920" s="23">
        <v>44017</v>
      </c>
      <c r="B920">
        <v>24.114999999999998</v>
      </c>
      <c r="C920" t="s">
        <v>19</v>
      </c>
      <c r="D920">
        <v>0.86299999999999999</v>
      </c>
      <c r="E920">
        <v>20.811245</v>
      </c>
      <c r="F920" t="s">
        <v>14</v>
      </c>
      <c r="G920">
        <v>0.83799999999999997</v>
      </c>
      <c r="H920">
        <v>17.439823309999998</v>
      </c>
      <c r="I920" t="s">
        <v>10</v>
      </c>
      <c r="J920">
        <v>4.0999999999999995E-2</v>
      </c>
      <c r="K920">
        <v>0.7150327557099998</v>
      </c>
      <c r="L920" t="s">
        <v>36</v>
      </c>
      <c r="M920">
        <v>0.23</v>
      </c>
      <c r="N920">
        <v>4.0111593612999998</v>
      </c>
    </row>
    <row r="921" spans="1:14" x14ac:dyDescent="0.25">
      <c r="A921" s="23">
        <v>44018</v>
      </c>
      <c r="B921">
        <v>24.114999999999998</v>
      </c>
      <c r="C921" t="s">
        <v>19</v>
      </c>
      <c r="D921">
        <v>0.86299999999999999</v>
      </c>
      <c r="E921">
        <v>20.811245</v>
      </c>
      <c r="F921" t="s">
        <v>14</v>
      </c>
      <c r="G921">
        <v>0.83799999999999997</v>
      </c>
      <c r="H921">
        <v>17.439823309999998</v>
      </c>
      <c r="I921" t="s">
        <v>9</v>
      </c>
      <c r="J921">
        <v>0.24199999999999999</v>
      </c>
      <c r="K921">
        <v>0.40111593612999996</v>
      </c>
      <c r="L921" t="s">
        <v>37</v>
      </c>
      <c r="M921">
        <v>0.156</v>
      </c>
      <c r="N921">
        <v>2.7206124363599997</v>
      </c>
    </row>
    <row r="922" spans="1:14" x14ac:dyDescent="0.25">
      <c r="A922" s="23">
        <v>44019</v>
      </c>
      <c r="B922">
        <v>24.114999999999998</v>
      </c>
      <c r="C922" t="s">
        <v>19</v>
      </c>
      <c r="D922">
        <v>0.86299999999999999</v>
      </c>
      <c r="E922">
        <v>20.811245</v>
      </c>
      <c r="F922" t="s">
        <v>14</v>
      </c>
      <c r="G922">
        <v>0.83799999999999997</v>
      </c>
      <c r="H922">
        <v>17.439823309999998</v>
      </c>
      <c r="I922" t="s">
        <v>55</v>
      </c>
      <c r="J922">
        <v>2.3E-2</v>
      </c>
      <c r="K922">
        <v>0.40111593612999996</v>
      </c>
      <c r="L922" t="s">
        <v>38</v>
      </c>
      <c r="M922">
        <v>2.2000000000000002E-2</v>
      </c>
      <c r="N922">
        <v>0.38367611281999997</v>
      </c>
    </row>
    <row r="923" spans="1:14" x14ac:dyDescent="0.25">
      <c r="A923" s="23">
        <v>44020</v>
      </c>
      <c r="B923">
        <v>24.114999999999998</v>
      </c>
      <c r="C923" t="s">
        <v>19</v>
      </c>
      <c r="D923">
        <v>0.86299999999999999</v>
      </c>
      <c r="E923">
        <v>20.811245</v>
      </c>
      <c r="F923" t="s">
        <v>14</v>
      </c>
      <c r="G923">
        <v>0.83799999999999997</v>
      </c>
      <c r="H923">
        <v>17.439823309999998</v>
      </c>
      <c r="L923" t="s">
        <v>39</v>
      </c>
      <c r="M923">
        <v>9.0000000000000011E-3</v>
      </c>
      <c r="N923">
        <v>0.15695840979</v>
      </c>
    </row>
    <row r="924" spans="1:14" x14ac:dyDescent="0.25">
      <c r="A924" s="23">
        <v>44021</v>
      </c>
      <c r="B924">
        <v>24.114999999999998</v>
      </c>
      <c r="C924" t="s">
        <v>19</v>
      </c>
      <c r="D924">
        <v>0.86299999999999999</v>
      </c>
      <c r="E924">
        <v>20.811245</v>
      </c>
      <c r="F924" t="s">
        <v>52</v>
      </c>
      <c r="G924">
        <v>0.77599999999999991</v>
      </c>
      <c r="H924">
        <v>16.149526119999997</v>
      </c>
      <c r="I924" t="s">
        <v>11</v>
      </c>
      <c r="J924">
        <v>0.14899999999999999</v>
      </c>
      <c r="K924">
        <v>2.4062793918799996</v>
      </c>
      <c r="L924" t="s">
        <v>32</v>
      </c>
      <c r="M924">
        <v>1.1000000000000001E-2</v>
      </c>
      <c r="N924">
        <v>0.17764478732</v>
      </c>
    </row>
    <row r="925" spans="1:14" x14ac:dyDescent="0.25">
      <c r="A925" s="23">
        <v>44022</v>
      </c>
      <c r="B925">
        <v>24.114999999999998</v>
      </c>
      <c r="C925" t="s">
        <v>19</v>
      </c>
      <c r="D925">
        <v>0.86299999999999999</v>
      </c>
      <c r="E925">
        <v>20.811245</v>
      </c>
      <c r="F925" t="s">
        <v>15</v>
      </c>
      <c r="G925">
        <v>0.77599999999999991</v>
      </c>
      <c r="H925">
        <v>16.149526119999997</v>
      </c>
      <c r="I925" t="s">
        <v>12</v>
      </c>
      <c r="J925">
        <v>3.9E-2</v>
      </c>
      <c r="K925">
        <v>0.62983151867999987</v>
      </c>
      <c r="L925" t="s">
        <v>33</v>
      </c>
      <c r="M925">
        <v>6.0999999999999999E-2</v>
      </c>
      <c r="N925">
        <v>0.98512109331999986</v>
      </c>
    </row>
    <row r="926" spans="1:14" x14ac:dyDescent="0.25">
      <c r="A926" s="23">
        <v>44023</v>
      </c>
      <c r="B926">
        <v>24.114999999999998</v>
      </c>
      <c r="C926" t="s">
        <v>19</v>
      </c>
      <c r="D926">
        <v>0.86299999999999999</v>
      </c>
      <c r="E926">
        <v>20.811245</v>
      </c>
      <c r="F926" t="s">
        <v>15</v>
      </c>
      <c r="G926">
        <v>0.77599999999999991</v>
      </c>
      <c r="H926">
        <v>16.149526119999997</v>
      </c>
      <c r="I926" t="s">
        <v>7</v>
      </c>
      <c r="J926">
        <v>0.158</v>
      </c>
      <c r="K926">
        <v>2.5516251269599994</v>
      </c>
      <c r="L926" t="s">
        <v>34</v>
      </c>
      <c r="M926">
        <v>0.20499999999999999</v>
      </c>
      <c r="N926">
        <v>3.3106528545999994</v>
      </c>
    </row>
    <row r="927" spans="1:14" x14ac:dyDescent="0.25">
      <c r="A927" s="23">
        <v>44024</v>
      </c>
      <c r="B927">
        <v>24.114999999999998</v>
      </c>
      <c r="C927" t="s">
        <v>19</v>
      </c>
      <c r="D927">
        <v>0.86299999999999999</v>
      </c>
      <c r="E927">
        <v>20.811245</v>
      </c>
      <c r="F927" t="s">
        <v>15</v>
      </c>
      <c r="G927">
        <v>0.77599999999999991</v>
      </c>
      <c r="H927">
        <v>16.149526119999997</v>
      </c>
      <c r="I927" t="s">
        <v>8</v>
      </c>
      <c r="J927">
        <v>0.32500000000000001</v>
      </c>
      <c r="K927">
        <v>5.2485959889999991</v>
      </c>
      <c r="L927" t="s">
        <v>35</v>
      </c>
      <c r="M927">
        <v>0.27399999999999997</v>
      </c>
      <c r="N927">
        <v>4.4249701568799988</v>
      </c>
    </row>
    <row r="928" spans="1:14" x14ac:dyDescent="0.25">
      <c r="A928" s="23">
        <v>44025</v>
      </c>
      <c r="B928">
        <v>24.114999999999998</v>
      </c>
      <c r="C928" t="s">
        <v>19</v>
      </c>
      <c r="D928">
        <v>0.86299999999999999</v>
      </c>
      <c r="E928">
        <v>20.811245</v>
      </c>
      <c r="F928" t="s">
        <v>15</v>
      </c>
      <c r="G928">
        <v>0.77599999999999991</v>
      </c>
      <c r="H928">
        <v>16.149526119999997</v>
      </c>
      <c r="I928" t="s">
        <v>10</v>
      </c>
      <c r="J928">
        <v>3.7000000000000005E-2</v>
      </c>
      <c r="K928">
        <v>0.59753246644000002</v>
      </c>
      <c r="L928" t="s">
        <v>36</v>
      </c>
      <c r="M928">
        <v>0.26100000000000001</v>
      </c>
      <c r="N928">
        <v>4.2150263173199995</v>
      </c>
    </row>
    <row r="929" spans="1:14" x14ac:dyDescent="0.25">
      <c r="A929" s="23">
        <v>44026</v>
      </c>
      <c r="B929">
        <v>24.114999999999998</v>
      </c>
      <c r="C929" t="s">
        <v>19</v>
      </c>
      <c r="D929">
        <v>0.86299999999999999</v>
      </c>
      <c r="E929">
        <v>20.811245</v>
      </c>
      <c r="F929" t="s">
        <v>15</v>
      </c>
      <c r="G929">
        <v>0.77599999999999991</v>
      </c>
      <c r="H929">
        <v>16.149526119999997</v>
      </c>
      <c r="I929" t="s">
        <v>9</v>
      </c>
      <c r="J929">
        <v>0.27699999999999997</v>
      </c>
      <c r="K929">
        <v>4.4734187352399983</v>
      </c>
      <c r="L929" t="s">
        <v>37</v>
      </c>
      <c r="M929">
        <v>0.17600000000000002</v>
      </c>
      <c r="N929">
        <v>2.84231659712</v>
      </c>
    </row>
    <row r="930" spans="1:14" x14ac:dyDescent="0.25">
      <c r="A930" s="23">
        <v>44027</v>
      </c>
      <c r="B930">
        <v>24.114999999999998</v>
      </c>
      <c r="C930" t="s">
        <v>19</v>
      </c>
      <c r="D930">
        <v>0.86299999999999999</v>
      </c>
      <c r="E930">
        <v>20.811245</v>
      </c>
      <c r="F930" t="s">
        <v>15</v>
      </c>
      <c r="G930">
        <v>0.77599999999999991</v>
      </c>
      <c r="H930">
        <v>16.149526119999997</v>
      </c>
      <c r="I930" t="s">
        <v>55</v>
      </c>
      <c r="J930">
        <v>1.4999999999999999E-2</v>
      </c>
      <c r="K930">
        <v>0.24224289179999994</v>
      </c>
      <c r="L930" t="s">
        <v>38</v>
      </c>
      <c r="M930">
        <v>1.2E-2</v>
      </c>
      <c r="N930">
        <v>0.19379431343999998</v>
      </c>
    </row>
    <row r="931" spans="1:14" x14ac:dyDescent="0.25">
      <c r="A931" s="23">
        <v>44028</v>
      </c>
      <c r="B931">
        <v>24.114999999999998</v>
      </c>
      <c r="C931" t="s">
        <v>19</v>
      </c>
      <c r="D931">
        <v>0.86299999999999999</v>
      </c>
      <c r="E931">
        <v>20.811245</v>
      </c>
      <c r="F931" t="s">
        <v>15</v>
      </c>
      <c r="G931">
        <v>0.77599999999999991</v>
      </c>
      <c r="H931">
        <v>16.149526119999997</v>
      </c>
      <c r="L931" t="s">
        <v>39</v>
      </c>
      <c r="M931">
        <v>0</v>
      </c>
      <c r="N931">
        <v>0</v>
      </c>
    </row>
    <row r="932" spans="1:14" x14ac:dyDescent="0.25">
      <c r="A932" s="23">
        <v>44029</v>
      </c>
      <c r="B932">
        <v>24.114999999999998</v>
      </c>
      <c r="C932" t="s">
        <v>19</v>
      </c>
      <c r="D932">
        <v>0.86299999999999999</v>
      </c>
      <c r="E932">
        <v>20.811245</v>
      </c>
      <c r="F932" t="s">
        <v>53</v>
      </c>
      <c r="G932">
        <v>0.84499999999999997</v>
      </c>
      <c r="H932">
        <v>17.585502025</v>
      </c>
      <c r="I932" t="s">
        <v>11</v>
      </c>
      <c r="J932">
        <v>0.12</v>
      </c>
      <c r="K932">
        <v>2.1102602429999999</v>
      </c>
      <c r="L932" t="s">
        <v>32</v>
      </c>
      <c r="M932">
        <v>0.05</v>
      </c>
      <c r="N932">
        <v>0.87927510125000008</v>
      </c>
    </row>
    <row r="933" spans="1:14" x14ac:dyDescent="0.25">
      <c r="A933" s="23">
        <v>44030</v>
      </c>
      <c r="B933">
        <v>24.114999999999998</v>
      </c>
      <c r="C933" t="s">
        <v>19</v>
      </c>
      <c r="D933">
        <v>0.86299999999999999</v>
      </c>
      <c r="E933">
        <v>20.811245</v>
      </c>
      <c r="F933" t="s">
        <v>16</v>
      </c>
      <c r="G933">
        <v>0.84499999999999997</v>
      </c>
      <c r="H933">
        <v>17.585502025</v>
      </c>
      <c r="I933" t="s">
        <v>12</v>
      </c>
      <c r="J933">
        <v>6.5000000000000002E-2</v>
      </c>
      <c r="K933">
        <v>1.1430576316250001</v>
      </c>
      <c r="L933" t="s">
        <v>33</v>
      </c>
      <c r="M933">
        <v>0.11599999999999999</v>
      </c>
      <c r="N933">
        <v>2.0399182349</v>
      </c>
    </row>
    <row r="934" spans="1:14" x14ac:dyDescent="0.25">
      <c r="A934" s="23">
        <v>44031</v>
      </c>
      <c r="B934">
        <v>24.114999999999998</v>
      </c>
      <c r="C934" t="s">
        <v>19</v>
      </c>
      <c r="D934">
        <v>0.86299999999999999</v>
      </c>
      <c r="E934">
        <v>20.811245</v>
      </c>
      <c r="F934" t="s">
        <v>16</v>
      </c>
      <c r="G934">
        <v>0.84499999999999997</v>
      </c>
      <c r="H934">
        <v>17.585502025</v>
      </c>
      <c r="I934" t="s">
        <v>7</v>
      </c>
      <c r="J934">
        <v>0.14499999999999999</v>
      </c>
      <c r="K934">
        <v>2.549897793625</v>
      </c>
      <c r="L934" t="s">
        <v>34</v>
      </c>
      <c r="M934">
        <v>0.152</v>
      </c>
      <c r="N934">
        <v>2.6729963078000001</v>
      </c>
    </row>
    <row r="935" spans="1:14" x14ac:dyDescent="0.25">
      <c r="A935" s="23">
        <v>44032</v>
      </c>
      <c r="B935">
        <v>24.114999999999998</v>
      </c>
      <c r="C935" t="s">
        <v>19</v>
      </c>
      <c r="D935">
        <v>0.86299999999999999</v>
      </c>
      <c r="E935">
        <v>20.811245</v>
      </c>
      <c r="F935" t="s">
        <v>16</v>
      </c>
      <c r="G935">
        <v>0.84499999999999997</v>
      </c>
      <c r="H935">
        <v>17.585502025</v>
      </c>
      <c r="I935" t="s">
        <v>8</v>
      </c>
      <c r="J935">
        <v>0.39899999999999997</v>
      </c>
      <c r="K935">
        <v>7.0166153079749991</v>
      </c>
      <c r="L935" t="s">
        <v>35</v>
      </c>
      <c r="M935">
        <v>0.26500000000000001</v>
      </c>
      <c r="N935">
        <v>4.6601580366249999</v>
      </c>
    </row>
    <row r="936" spans="1:14" x14ac:dyDescent="0.25">
      <c r="A936" s="23">
        <v>44033</v>
      </c>
      <c r="B936">
        <v>24.114999999999998</v>
      </c>
      <c r="C936" t="s">
        <v>19</v>
      </c>
      <c r="D936">
        <v>0.86299999999999999</v>
      </c>
      <c r="E936">
        <v>20.811245</v>
      </c>
      <c r="F936" t="s">
        <v>16</v>
      </c>
      <c r="G936">
        <v>0.84499999999999997</v>
      </c>
      <c r="H936">
        <v>17.585502025</v>
      </c>
      <c r="I936" t="s">
        <v>10</v>
      </c>
      <c r="J936">
        <v>0.05</v>
      </c>
      <c r="K936">
        <v>0.87927510125000008</v>
      </c>
      <c r="L936" t="s">
        <v>36</v>
      </c>
      <c r="M936">
        <v>0.22</v>
      </c>
      <c r="N936">
        <v>3.8688104454999999</v>
      </c>
    </row>
    <row r="937" spans="1:14" x14ac:dyDescent="0.25">
      <c r="A937" s="23">
        <v>44034</v>
      </c>
      <c r="B937">
        <v>24.114999999999998</v>
      </c>
      <c r="C937" t="s">
        <v>19</v>
      </c>
      <c r="D937">
        <v>0.86299999999999999</v>
      </c>
      <c r="E937">
        <v>20.811245</v>
      </c>
      <c r="F937" t="s">
        <v>16</v>
      </c>
      <c r="G937">
        <v>0.84499999999999997</v>
      </c>
      <c r="H937">
        <v>17.585502025</v>
      </c>
      <c r="I937" t="s">
        <v>9</v>
      </c>
      <c r="J937">
        <v>0.20199999999999999</v>
      </c>
      <c r="K937">
        <v>3.5522714090499998</v>
      </c>
      <c r="L937" t="s">
        <v>37</v>
      </c>
      <c r="M937">
        <v>0.17100000000000001</v>
      </c>
      <c r="N937">
        <v>3.0071208462750003</v>
      </c>
    </row>
    <row r="938" spans="1:14" x14ac:dyDescent="0.25">
      <c r="A938" s="23">
        <v>44035</v>
      </c>
      <c r="B938">
        <v>24.114999999999998</v>
      </c>
      <c r="C938" t="s">
        <v>19</v>
      </c>
      <c r="D938">
        <v>0.86299999999999999</v>
      </c>
      <c r="E938">
        <v>20.811245</v>
      </c>
      <c r="F938" t="s">
        <v>16</v>
      </c>
      <c r="G938">
        <v>0.84499999999999997</v>
      </c>
      <c r="H938">
        <v>17.585502025</v>
      </c>
      <c r="I938" t="s">
        <v>55</v>
      </c>
      <c r="J938">
        <v>1.9E-2</v>
      </c>
      <c r="K938">
        <v>0.33412453847500001</v>
      </c>
      <c r="L938" t="s">
        <v>38</v>
      </c>
      <c r="M938">
        <v>1.7000000000000001E-2</v>
      </c>
      <c r="N938">
        <v>0.298953534425</v>
      </c>
    </row>
    <row r="939" spans="1:14" x14ac:dyDescent="0.25">
      <c r="A939" s="23">
        <v>44036</v>
      </c>
      <c r="B939">
        <v>24.114999999999998</v>
      </c>
      <c r="C939" t="s">
        <v>19</v>
      </c>
      <c r="D939">
        <v>0.86299999999999999</v>
      </c>
      <c r="E939">
        <v>20.811245</v>
      </c>
      <c r="F939" t="s">
        <v>16</v>
      </c>
      <c r="G939">
        <v>0.84499999999999997</v>
      </c>
      <c r="H939">
        <v>17.585502025</v>
      </c>
      <c r="L939" t="s">
        <v>39</v>
      </c>
      <c r="M939">
        <v>9.0000000000000011E-3</v>
      </c>
      <c r="N939">
        <v>0.15826951822500002</v>
      </c>
    </row>
    <row r="940" spans="1:14" x14ac:dyDescent="0.25">
      <c r="A940" s="23">
        <v>44037</v>
      </c>
      <c r="B940">
        <v>24.114999999999998</v>
      </c>
      <c r="C940" t="s">
        <v>19</v>
      </c>
      <c r="D940">
        <v>0.86299999999999999</v>
      </c>
      <c r="E940">
        <v>20.811245</v>
      </c>
      <c r="F940" t="s">
        <v>51</v>
      </c>
      <c r="G940">
        <v>0.85599999999999998</v>
      </c>
      <c r="H940">
        <v>17.814425719999999</v>
      </c>
      <c r="I940" t="s">
        <v>11</v>
      </c>
      <c r="J940">
        <v>0.14800000000000002</v>
      </c>
      <c r="K940">
        <v>2.6365350065600004</v>
      </c>
      <c r="L940" t="s">
        <v>32</v>
      </c>
      <c r="M940">
        <v>4.5999999999999999E-2</v>
      </c>
      <c r="N940">
        <v>0.81946358311999989</v>
      </c>
    </row>
    <row r="941" spans="1:14" x14ac:dyDescent="0.25">
      <c r="A941" s="23">
        <v>44038</v>
      </c>
      <c r="B941">
        <v>24.114999999999998</v>
      </c>
      <c r="C941" t="s">
        <v>19</v>
      </c>
      <c r="D941">
        <v>0.86299999999999999</v>
      </c>
      <c r="E941">
        <v>20.811245</v>
      </c>
      <c r="F941" t="s">
        <v>13</v>
      </c>
      <c r="G941">
        <v>0.85599999999999998</v>
      </c>
      <c r="H941">
        <v>17.814425719999999</v>
      </c>
      <c r="I941" t="s">
        <v>12</v>
      </c>
      <c r="J941">
        <v>0.1</v>
      </c>
      <c r="K941">
        <v>1.781442572</v>
      </c>
      <c r="L941" t="s">
        <v>33</v>
      </c>
      <c r="M941">
        <v>0.114</v>
      </c>
      <c r="N941">
        <v>2.0308445320800002</v>
      </c>
    </row>
    <row r="942" spans="1:14" x14ac:dyDescent="0.25">
      <c r="A942" s="23">
        <v>44039</v>
      </c>
      <c r="B942">
        <v>24.114999999999998</v>
      </c>
      <c r="C942" t="s">
        <v>19</v>
      </c>
      <c r="D942">
        <v>0.86299999999999999</v>
      </c>
      <c r="E942">
        <v>20.811245</v>
      </c>
      <c r="F942" t="s">
        <v>13</v>
      </c>
      <c r="G942">
        <v>0.85599999999999998</v>
      </c>
      <c r="H942">
        <v>17.814425719999999</v>
      </c>
      <c r="I942" t="s">
        <v>7</v>
      </c>
      <c r="J942">
        <v>0.17899999999999999</v>
      </c>
      <c r="K942">
        <v>3.1887822038799998</v>
      </c>
      <c r="L942" t="s">
        <v>34</v>
      </c>
      <c r="M942">
        <v>0.16</v>
      </c>
      <c r="N942">
        <v>2.8503081151999998</v>
      </c>
    </row>
    <row r="943" spans="1:14" x14ac:dyDescent="0.25">
      <c r="A943" s="23">
        <v>44040</v>
      </c>
      <c r="B943">
        <v>24.114999999999998</v>
      </c>
      <c r="C943" t="s">
        <v>19</v>
      </c>
      <c r="D943">
        <v>0.86299999999999999</v>
      </c>
      <c r="E943">
        <v>20.811245</v>
      </c>
      <c r="F943" t="s">
        <v>13</v>
      </c>
      <c r="G943">
        <v>0.85599999999999998</v>
      </c>
      <c r="H943">
        <v>17.814425719999999</v>
      </c>
      <c r="I943" t="s">
        <v>8</v>
      </c>
      <c r="J943">
        <v>0.37</v>
      </c>
      <c r="K943">
        <v>6.5913375163999994</v>
      </c>
      <c r="L943" t="s">
        <v>35</v>
      </c>
      <c r="M943">
        <v>0.27699999999999997</v>
      </c>
      <c r="N943">
        <v>4.9345959244399991</v>
      </c>
    </row>
    <row r="944" spans="1:14" x14ac:dyDescent="0.25">
      <c r="A944" s="23">
        <v>44041</v>
      </c>
      <c r="B944">
        <v>24.114999999999998</v>
      </c>
      <c r="C944" t="s">
        <v>19</v>
      </c>
      <c r="D944">
        <v>0.86299999999999999</v>
      </c>
      <c r="E944">
        <v>20.811245</v>
      </c>
      <c r="F944" t="s">
        <v>13</v>
      </c>
      <c r="G944">
        <v>0.85599999999999998</v>
      </c>
      <c r="H944">
        <v>17.814425719999999</v>
      </c>
      <c r="I944" t="s">
        <v>10</v>
      </c>
      <c r="J944">
        <v>3.5000000000000003E-2</v>
      </c>
      <c r="K944">
        <v>0.62350490020000005</v>
      </c>
      <c r="L944" t="s">
        <v>36</v>
      </c>
      <c r="M944">
        <v>0.20600000000000002</v>
      </c>
      <c r="N944">
        <v>3.6697716983199999</v>
      </c>
    </row>
    <row r="945" spans="1:14" x14ac:dyDescent="0.25">
      <c r="A945" s="23">
        <v>44042</v>
      </c>
      <c r="B945">
        <v>24.114999999999998</v>
      </c>
      <c r="C945" t="s">
        <v>19</v>
      </c>
      <c r="D945">
        <v>0.86299999999999999</v>
      </c>
      <c r="E945">
        <v>20.811245</v>
      </c>
      <c r="F945" t="s">
        <v>13</v>
      </c>
      <c r="G945">
        <v>0.85599999999999998</v>
      </c>
      <c r="H945">
        <v>17.814425719999999</v>
      </c>
      <c r="I945" t="s">
        <v>9</v>
      </c>
      <c r="J945">
        <v>0.14300000000000002</v>
      </c>
      <c r="K945">
        <v>2.5474628779600001</v>
      </c>
      <c r="L945" t="s">
        <v>37</v>
      </c>
      <c r="M945">
        <v>0.158</v>
      </c>
      <c r="N945">
        <v>2.81467926376</v>
      </c>
    </row>
    <row r="946" spans="1:14" x14ac:dyDescent="0.25">
      <c r="A946" s="23">
        <v>44043</v>
      </c>
      <c r="B946">
        <v>24.114999999999998</v>
      </c>
      <c r="C946" t="s">
        <v>19</v>
      </c>
      <c r="D946">
        <v>0.86299999999999999</v>
      </c>
      <c r="E946">
        <v>20.811245</v>
      </c>
      <c r="F946" t="s">
        <v>13</v>
      </c>
      <c r="G946">
        <v>0.85599999999999998</v>
      </c>
      <c r="H946">
        <v>17.814425719999999</v>
      </c>
      <c r="I946" t="s">
        <v>55</v>
      </c>
      <c r="J946">
        <v>2.5000000000000001E-2</v>
      </c>
      <c r="K946">
        <v>0.445360643</v>
      </c>
      <c r="L946" t="s">
        <v>38</v>
      </c>
      <c r="M946">
        <v>2.3E-2</v>
      </c>
      <c r="N946">
        <v>0.40973179155999995</v>
      </c>
    </row>
    <row r="947" spans="1:14" x14ac:dyDescent="0.25">
      <c r="A947" s="23">
        <v>44044</v>
      </c>
      <c r="B947">
        <v>24.114999999999998</v>
      </c>
      <c r="C947" t="s">
        <v>19</v>
      </c>
      <c r="D947">
        <v>0.86299999999999999</v>
      </c>
      <c r="E947">
        <v>20.811245</v>
      </c>
      <c r="F947" t="s">
        <v>13</v>
      </c>
      <c r="G947">
        <v>0.85599999999999998</v>
      </c>
      <c r="H947">
        <v>17.814425719999999</v>
      </c>
      <c r="L947" t="s">
        <v>39</v>
      </c>
      <c r="M947">
        <v>1.4999999999999999E-2</v>
      </c>
      <c r="N947">
        <v>0.26721638579999996</v>
      </c>
    </row>
    <row r="948" spans="1:14" x14ac:dyDescent="0.25">
      <c r="A948" s="23">
        <v>44045</v>
      </c>
      <c r="B948">
        <v>24.114999999999998</v>
      </c>
      <c r="C948" t="s">
        <v>19</v>
      </c>
      <c r="D948">
        <v>0.86299999999999999</v>
      </c>
      <c r="E948">
        <v>20.811245</v>
      </c>
      <c r="F948" t="s">
        <v>50</v>
      </c>
      <c r="G948">
        <v>0.83099999999999996</v>
      </c>
      <c r="H948">
        <v>17.294144594999999</v>
      </c>
      <c r="I948" t="s">
        <v>11</v>
      </c>
      <c r="J948">
        <v>0.13500000000000001</v>
      </c>
      <c r="K948">
        <v>2.3347095203250001</v>
      </c>
      <c r="L948" t="s">
        <v>32</v>
      </c>
      <c r="M948">
        <v>2.7999999999999997E-2</v>
      </c>
      <c r="N948">
        <v>0.48423604865999992</v>
      </c>
    </row>
    <row r="949" spans="1:14" x14ac:dyDescent="0.25">
      <c r="A949" s="23">
        <v>44046</v>
      </c>
      <c r="B949">
        <v>24.114999999999998</v>
      </c>
      <c r="C949" t="s">
        <v>19</v>
      </c>
      <c r="D949">
        <v>0.86299999999999999</v>
      </c>
      <c r="E949">
        <v>20.811245</v>
      </c>
      <c r="F949" t="s">
        <v>17</v>
      </c>
      <c r="G949">
        <v>0.83099999999999996</v>
      </c>
      <c r="H949">
        <v>17.294144594999999</v>
      </c>
      <c r="I949" t="s">
        <v>12</v>
      </c>
      <c r="J949">
        <v>0.11</v>
      </c>
      <c r="K949">
        <v>1.9023559054499999</v>
      </c>
      <c r="L949" t="s">
        <v>33</v>
      </c>
      <c r="M949">
        <v>7.6999999999999999E-2</v>
      </c>
      <c r="N949">
        <v>1.3316491338149998</v>
      </c>
    </row>
    <row r="950" spans="1:14" x14ac:dyDescent="0.25">
      <c r="A950" s="23">
        <v>44047</v>
      </c>
      <c r="B950">
        <v>24.114999999999998</v>
      </c>
      <c r="C950" t="s">
        <v>19</v>
      </c>
      <c r="D950">
        <v>0.86299999999999999</v>
      </c>
      <c r="E950">
        <v>20.811245</v>
      </c>
      <c r="F950" t="s">
        <v>17</v>
      </c>
      <c r="G950">
        <v>0.83099999999999996</v>
      </c>
      <c r="H950">
        <v>17.294144594999999</v>
      </c>
      <c r="I950" t="s">
        <v>7</v>
      </c>
      <c r="J950">
        <v>0.16</v>
      </c>
      <c r="K950">
        <v>2.7670631351999999</v>
      </c>
      <c r="L950" t="s">
        <v>34</v>
      </c>
      <c r="M950">
        <v>0.19800000000000001</v>
      </c>
      <c r="N950">
        <v>3.4242406298099999</v>
      </c>
    </row>
    <row r="951" spans="1:14" x14ac:dyDescent="0.25">
      <c r="A951" s="23">
        <v>44048</v>
      </c>
      <c r="B951">
        <v>24.114999999999998</v>
      </c>
      <c r="C951" t="s">
        <v>19</v>
      </c>
      <c r="D951">
        <v>0.86299999999999999</v>
      </c>
      <c r="E951">
        <v>20.811245</v>
      </c>
      <c r="F951" t="s">
        <v>17</v>
      </c>
      <c r="G951">
        <v>0.83099999999999996</v>
      </c>
      <c r="H951">
        <v>17.294144594999999</v>
      </c>
      <c r="I951" t="s">
        <v>8</v>
      </c>
      <c r="J951">
        <v>0.35100000000000003</v>
      </c>
      <c r="K951">
        <v>6.0702447528450003</v>
      </c>
      <c r="L951" t="s">
        <v>35</v>
      </c>
      <c r="M951">
        <v>0.30099999999999999</v>
      </c>
      <c r="N951">
        <v>5.2055375230949998</v>
      </c>
    </row>
    <row r="952" spans="1:14" x14ac:dyDescent="0.25">
      <c r="A952" s="23">
        <v>44049</v>
      </c>
      <c r="B952">
        <v>24.114999999999998</v>
      </c>
      <c r="C952" t="s">
        <v>19</v>
      </c>
      <c r="D952">
        <v>0.86299999999999999</v>
      </c>
      <c r="E952">
        <v>20.811245</v>
      </c>
      <c r="F952" t="s">
        <v>17</v>
      </c>
      <c r="G952">
        <v>0.83099999999999996</v>
      </c>
      <c r="H952">
        <v>17.294144594999999</v>
      </c>
      <c r="I952" t="s">
        <v>10</v>
      </c>
      <c r="J952">
        <v>1.9E-2</v>
      </c>
      <c r="K952">
        <v>0.32858874730499998</v>
      </c>
      <c r="L952" t="s">
        <v>36</v>
      </c>
      <c r="M952">
        <v>0.28899999999999998</v>
      </c>
      <c r="N952">
        <v>5.2055375230949998</v>
      </c>
    </row>
    <row r="953" spans="1:14" x14ac:dyDescent="0.25">
      <c r="A953" s="23">
        <v>44050</v>
      </c>
      <c r="B953">
        <v>24.114999999999998</v>
      </c>
      <c r="C953" t="s">
        <v>19</v>
      </c>
      <c r="D953">
        <v>0.86299999999999999</v>
      </c>
      <c r="E953">
        <v>20.811245</v>
      </c>
      <c r="F953" t="s">
        <v>17</v>
      </c>
      <c r="G953">
        <v>0.83099999999999996</v>
      </c>
      <c r="H953">
        <v>17.294144594999999</v>
      </c>
      <c r="I953" t="s">
        <v>9</v>
      </c>
      <c r="J953">
        <v>0.20199999999999999</v>
      </c>
      <c r="K953">
        <v>3.4934172081899995</v>
      </c>
      <c r="L953" t="s">
        <v>37</v>
      </c>
      <c r="M953">
        <v>0.10300000000000001</v>
      </c>
      <c r="N953">
        <v>4.9980077879549993</v>
      </c>
    </row>
    <row r="954" spans="1:14" x14ac:dyDescent="0.25">
      <c r="A954" s="23">
        <v>44051</v>
      </c>
      <c r="B954">
        <v>24.114999999999998</v>
      </c>
      <c r="C954" t="s">
        <v>19</v>
      </c>
      <c r="D954">
        <v>0.86299999999999999</v>
      </c>
      <c r="E954">
        <v>20.811245</v>
      </c>
      <c r="F954" t="s">
        <v>17</v>
      </c>
      <c r="G954">
        <v>0.83099999999999996</v>
      </c>
      <c r="H954">
        <v>17.294144594999999</v>
      </c>
      <c r="I954" t="s">
        <v>55</v>
      </c>
      <c r="J954">
        <v>2.3E-2</v>
      </c>
      <c r="K954">
        <v>0.39776532568499995</v>
      </c>
      <c r="L954" t="s">
        <v>38</v>
      </c>
      <c r="M954">
        <v>0</v>
      </c>
      <c r="N954">
        <v>1.781296893285</v>
      </c>
    </row>
    <row r="955" spans="1:14" x14ac:dyDescent="0.25">
      <c r="A955" s="23">
        <v>44052</v>
      </c>
      <c r="B955">
        <v>24.114999999999998</v>
      </c>
      <c r="C955" t="s">
        <v>19</v>
      </c>
      <c r="D955">
        <v>0.86299999999999999</v>
      </c>
      <c r="E955">
        <v>20.811245</v>
      </c>
      <c r="F955" t="s">
        <v>17</v>
      </c>
      <c r="G955">
        <v>0.83099999999999996</v>
      </c>
      <c r="H955">
        <v>17.294144594999999</v>
      </c>
      <c r="L955" t="s">
        <v>39</v>
      </c>
      <c r="M955">
        <v>4.0000000000000001E-3</v>
      </c>
      <c r="N955">
        <v>0</v>
      </c>
    </row>
    <row r="956" spans="1:14" x14ac:dyDescent="0.25">
      <c r="A956" s="23">
        <v>44053</v>
      </c>
      <c r="B956">
        <v>24.114999999999998</v>
      </c>
      <c r="C956" t="s">
        <v>19</v>
      </c>
      <c r="D956">
        <v>0.86299999999999999</v>
      </c>
      <c r="E956">
        <v>20.811245</v>
      </c>
      <c r="F956" t="s">
        <v>49</v>
      </c>
      <c r="G956">
        <v>0.92599999999999993</v>
      </c>
      <c r="H956">
        <v>19.271212869999999</v>
      </c>
      <c r="I956" t="s">
        <v>11</v>
      </c>
      <c r="J956">
        <v>0.20699999999999999</v>
      </c>
      <c r="K956">
        <v>3.9891410640899996</v>
      </c>
      <c r="L956" t="s">
        <v>32</v>
      </c>
      <c r="M956">
        <v>7.0999999999999994E-2</v>
      </c>
      <c r="N956">
        <v>1.3682561137699998</v>
      </c>
    </row>
    <row r="957" spans="1:14" x14ac:dyDescent="0.25">
      <c r="A957" s="23">
        <v>44054</v>
      </c>
      <c r="B957">
        <v>24.114999999999998</v>
      </c>
      <c r="C957" t="s">
        <v>19</v>
      </c>
      <c r="D957">
        <v>0.86299999999999999</v>
      </c>
      <c r="E957">
        <v>20.811245</v>
      </c>
      <c r="F957" t="s">
        <v>18</v>
      </c>
      <c r="G957">
        <v>0.92599999999999993</v>
      </c>
      <c r="H957">
        <v>19.271212869999999</v>
      </c>
      <c r="I957" t="s">
        <v>12</v>
      </c>
      <c r="J957">
        <v>8.5999999999999993E-2</v>
      </c>
      <c r="K957">
        <v>1.6573243068199999</v>
      </c>
      <c r="L957" t="s">
        <v>33</v>
      </c>
      <c r="M957">
        <v>0.13400000000000001</v>
      </c>
      <c r="N957">
        <v>2.58234252458</v>
      </c>
    </row>
    <row r="958" spans="1:14" x14ac:dyDescent="0.25">
      <c r="A958" s="23">
        <v>44055</v>
      </c>
      <c r="B958">
        <v>24.114999999999998</v>
      </c>
      <c r="C958" t="s">
        <v>19</v>
      </c>
      <c r="D958">
        <v>0.86299999999999999</v>
      </c>
      <c r="E958">
        <v>20.811245</v>
      </c>
      <c r="F958" t="s">
        <v>18</v>
      </c>
      <c r="G958">
        <v>0.92599999999999993</v>
      </c>
      <c r="H958">
        <v>19.271212869999999</v>
      </c>
      <c r="I958" t="s">
        <v>7</v>
      </c>
      <c r="J958">
        <v>0.187</v>
      </c>
      <c r="K958">
        <v>3.6037168066900001</v>
      </c>
      <c r="L958" t="s">
        <v>34</v>
      </c>
      <c r="M958">
        <v>0.16300000000000001</v>
      </c>
      <c r="N958">
        <v>3.1412076978100001</v>
      </c>
    </row>
    <row r="959" spans="1:14" x14ac:dyDescent="0.25">
      <c r="A959" s="23">
        <v>44056</v>
      </c>
      <c r="B959">
        <v>24.114999999999998</v>
      </c>
      <c r="C959" t="s">
        <v>19</v>
      </c>
      <c r="D959">
        <v>0.86299999999999999</v>
      </c>
      <c r="E959">
        <v>20.811245</v>
      </c>
      <c r="F959" t="s">
        <v>18</v>
      </c>
      <c r="G959">
        <v>0.92599999999999993</v>
      </c>
      <c r="H959">
        <v>19.271212869999999</v>
      </c>
      <c r="I959" t="s">
        <v>8</v>
      </c>
      <c r="J959">
        <v>0.38799999999999996</v>
      </c>
      <c r="K959">
        <v>7.477230593559999</v>
      </c>
      <c r="L959" t="s">
        <v>35</v>
      </c>
      <c r="M959">
        <v>0.254</v>
      </c>
      <c r="N959">
        <v>4.8948880689800003</v>
      </c>
    </row>
    <row r="960" spans="1:14" x14ac:dyDescent="0.25">
      <c r="A960" s="23">
        <v>44057</v>
      </c>
      <c r="B960">
        <v>24.114999999999998</v>
      </c>
      <c r="C960" t="s">
        <v>19</v>
      </c>
      <c r="D960">
        <v>0.86299999999999999</v>
      </c>
      <c r="E960">
        <v>20.811245</v>
      </c>
      <c r="F960" t="s">
        <v>18</v>
      </c>
      <c r="G960">
        <v>0.92599999999999993</v>
      </c>
      <c r="H960">
        <v>19.271212869999999</v>
      </c>
      <c r="I960" t="s">
        <v>10</v>
      </c>
      <c r="J960">
        <v>3.3000000000000002E-2</v>
      </c>
      <c r="K960">
        <v>0.63595002471000006</v>
      </c>
      <c r="L960" t="s">
        <v>36</v>
      </c>
      <c r="M960">
        <v>0.191</v>
      </c>
      <c r="N960">
        <v>3.68080165817</v>
      </c>
    </row>
    <row r="961" spans="1:14" x14ac:dyDescent="0.25">
      <c r="A961" s="23">
        <v>44058</v>
      </c>
      <c r="B961">
        <v>24.114999999999998</v>
      </c>
      <c r="C961" t="s">
        <v>19</v>
      </c>
      <c r="D961">
        <v>0.86299999999999999</v>
      </c>
      <c r="E961">
        <v>20.811245</v>
      </c>
      <c r="F961" t="s">
        <v>18</v>
      </c>
      <c r="G961">
        <v>0.92599999999999993</v>
      </c>
      <c r="H961">
        <v>19.271212869999999</v>
      </c>
      <c r="I961" t="s">
        <v>9</v>
      </c>
      <c r="J961">
        <v>8.1000000000000003E-2</v>
      </c>
      <c r="K961">
        <v>1.56096824247</v>
      </c>
      <c r="L961" t="s">
        <v>37</v>
      </c>
      <c r="M961">
        <v>0.14499999999999999</v>
      </c>
      <c r="N961">
        <v>2.7943258661499999</v>
      </c>
    </row>
    <row r="962" spans="1:14" x14ac:dyDescent="0.25">
      <c r="A962" s="23">
        <v>44059</v>
      </c>
      <c r="B962">
        <v>24.114999999999998</v>
      </c>
      <c r="C962" t="s">
        <v>19</v>
      </c>
      <c r="D962">
        <v>0.86299999999999999</v>
      </c>
      <c r="E962">
        <v>20.811245</v>
      </c>
      <c r="F962" t="s">
        <v>18</v>
      </c>
      <c r="G962">
        <v>0.92599999999999993</v>
      </c>
      <c r="H962">
        <v>19.271212869999999</v>
      </c>
      <c r="I962" t="s">
        <v>55</v>
      </c>
      <c r="J962">
        <v>1.9E-2</v>
      </c>
      <c r="K962">
        <v>0.36615304452999997</v>
      </c>
      <c r="L962" t="s">
        <v>38</v>
      </c>
      <c r="M962">
        <v>2.7000000000000003E-2</v>
      </c>
      <c r="N962">
        <v>0.52032274749000007</v>
      </c>
    </row>
    <row r="963" spans="1:14" x14ac:dyDescent="0.25">
      <c r="A963" s="23">
        <v>44060</v>
      </c>
      <c r="B963">
        <v>24.114999999999998</v>
      </c>
      <c r="C963" t="s">
        <v>19</v>
      </c>
      <c r="D963">
        <v>0.86299999999999999</v>
      </c>
      <c r="E963">
        <v>20.811245</v>
      </c>
      <c r="F963" t="s">
        <v>18</v>
      </c>
      <c r="G963">
        <v>0.92599999999999993</v>
      </c>
      <c r="H963">
        <v>19.271212869999999</v>
      </c>
      <c r="L963" t="s">
        <v>39</v>
      </c>
      <c r="M963">
        <v>1.4999999999999999E-2</v>
      </c>
      <c r="N963">
        <v>0.28906819304999998</v>
      </c>
    </row>
    <row r="964" spans="1:14" x14ac:dyDescent="0.25">
      <c r="A964" s="23">
        <v>44061</v>
      </c>
      <c r="B964">
        <v>26.11</v>
      </c>
      <c r="C964" t="s">
        <v>2</v>
      </c>
      <c r="D964">
        <v>0.14599999999999999</v>
      </c>
      <c r="E964">
        <v>3.8120599999999998</v>
      </c>
      <c r="F964" t="s">
        <v>14</v>
      </c>
      <c r="G964">
        <v>0.184</v>
      </c>
      <c r="H964">
        <v>0.70141903999999999</v>
      </c>
      <c r="I964" t="s">
        <v>11</v>
      </c>
      <c r="J964">
        <v>0.10199999999999999</v>
      </c>
      <c r="K964">
        <v>7.1544742080000001E-2</v>
      </c>
      <c r="L964" t="s">
        <v>32</v>
      </c>
      <c r="M964">
        <v>0.02</v>
      </c>
      <c r="N964">
        <v>1.40283808E-2</v>
      </c>
    </row>
    <row r="965" spans="1:14" x14ac:dyDescent="0.25">
      <c r="A965" s="23">
        <v>44062</v>
      </c>
      <c r="B965">
        <v>26.11</v>
      </c>
      <c r="C965" t="s">
        <v>2</v>
      </c>
      <c r="D965">
        <v>0.14599999999999999</v>
      </c>
      <c r="E965">
        <v>3.8120599999999998</v>
      </c>
      <c r="F965" t="s">
        <v>43</v>
      </c>
      <c r="G965">
        <v>0.184</v>
      </c>
      <c r="H965">
        <v>0.70141903999999999</v>
      </c>
      <c r="I965" t="s">
        <v>12</v>
      </c>
      <c r="J965">
        <v>1.4999999999999999E-2</v>
      </c>
      <c r="K965">
        <v>1.0521285599999999E-2</v>
      </c>
      <c r="L965" t="s">
        <v>33</v>
      </c>
      <c r="M965">
        <v>8.199999999999999E-2</v>
      </c>
      <c r="N965">
        <v>5.751636127999999E-2</v>
      </c>
    </row>
    <row r="966" spans="1:14" x14ac:dyDescent="0.25">
      <c r="A966" s="23">
        <v>44063</v>
      </c>
      <c r="B966">
        <v>26.11</v>
      </c>
      <c r="C966" t="s">
        <v>2</v>
      </c>
      <c r="D966">
        <v>0.14599999999999999</v>
      </c>
      <c r="E966">
        <v>3.8120599999999998</v>
      </c>
      <c r="F966" t="s">
        <v>14</v>
      </c>
      <c r="G966">
        <v>0.184</v>
      </c>
      <c r="H966">
        <v>0.70141903999999999</v>
      </c>
      <c r="I966" t="s">
        <v>7</v>
      </c>
      <c r="J966">
        <v>6.0999999999999999E-2</v>
      </c>
      <c r="K966">
        <v>4.2786561439999996E-2</v>
      </c>
      <c r="L966" t="s">
        <v>34</v>
      </c>
      <c r="M966">
        <v>0.11800000000000001</v>
      </c>
      <c r="N966">
        <v>8.2767446719999999E-2</v>
      </c>
    </row>
    <row r="967" spans="1:14" x14ac:dyDescent="0.25">
      <c r="A967" s="23">
        <v>44064</v>
      </c>
      <c r="B967">
        <v>26.11</v>
      </c>
      <c r="C967" t="s">
        <v>2</v>
      </c>
      <c r="D967">
        <v>0.14599999999999999</v>
      </c>
      <c r="E967">
        <v>3.8120599999999998</v>
      </c>
      <c r="F967" t="s">
        <v>14</v>
      </c>
      <c r="G967">
        <v>0.184</v>
      </c>
      <c r="H967">
        <v>0.70141903999999999</v>
      </c>
      <c r="I967" t="s">
        <v>8</v>
      </c>
      <c r="J967">
        <v>0.29199999999999998</v>
      </c>
      <c r="K967">
        <v>0.20481435967999997</v>
      </c>
      <c r="L967" t="s">
        <v>35</v>
      </c>
      <c r="M967">
        <v>0.28399999999999997</v>
      </c>
      <c r="N967">
        <v>0.19920300735999999</v>
      </c>
    </row>
    <row r="968" spans="1:14" x14ac:dyDescent="0.25">
      <c r="A968" s="23">
        <v>44065</v>
      </c>
      <c r="B968">
        <v>26.11</v>
      </c>
      <c r="C968" t="s">
        <v>2</v>
      </c>
      <c r="D968">
        <v>0.14599999999999999</v>
      </c>
      <c r="E968">
        <v>3.8120599999999998</v>
      </c>
      <c r="F968" t="s">
        <v>14</v>
      </c>
      <c r="G968">
        <v>0.184</v>
      </c>
      <c r="H968">
        <v>0.70141903999999999</v>
      </c>
      <c r="I968" t="s">
        <v>10</v>
      </c>
      <c r="J968">
        <v>6.9000000000000006E-2</v>
      </c>
      <c r="K968">
        <v>4.8397913760000001E-2</v>
      </c>
      <c r="L968" t="s">
        <v>36</v>
      </c>
      <c r="M968">
        <v>0.247</v>
      </c>
      <c r="N968">
        <v>0.17325050287999999</v>
      </c>
    </row>
    <row r="969" spans="1:14" x14ac:dyDescent="0.25">
      <c r="A969" s="23">
        <v>44066</v>
      </c>
      <c r="B969">
        <v>26.11</v>
      </c>
      <c r="C969" t="s">
        <v>2</v>
      </c>
      <c r="D969">
        <v>0.14599999999999999</v>
      </c>
      <c r="E969">
        <v>3.8120599999999998</v>
      </c>
      <c r="F969" t="s">
        <v>14</v>
      </c>
      <c r="G969">
        <v>0.184</v>
      </c>
      <c r="H969">
        <v>0.70141903999999999</v>
      </c>
      <c r="I969" t="s">
        <v>9</v>
      </c>
      <c r="J969">
        <v>0.44900000000000001</v>
      </c>
      <c r="K969">
        <v>0.31493714896000002</v>
      </c>
      <c r="L969" t="s">
        <v>37</v>
      </c>
      <c r="M969">
        <v>0.23300000000000001</v>
      </c>
      <c r="N969">
        <v>0.16343063632000002</v>
      </c>
    </row>
    <row r="970" spans="1:14" x14ac:dyDescent="0.25">
      <c r="A970" s="23">
        <v>44067</v>
      </c>
      <c r="B970">
        <v>26.11</v>
      </c>
      <c r="C970" t="s">
        <v>2</v>
      </c>
      <c r="D970">
        <v>0.14599999999999999</v>
      </c>
      <c r="E970">
        <v>3.8120599999999998</v>
      </c>
      <c r="F970" t="s">
        <v>14</v>
      </c>
      <c r="G970">
        <v>0.184</v>
      </c>
      <c r="H970">
        <v>0.70141903999999999</v>
      </c>
      <c r="I970" t="s">
        <v>55</v>
      </c>
      <c r="J970">
        <v>1.1000000000000001E-2</v>
      </c>
      <c r="K970">
        <v>7.7156094400000009E-3</v>
      </c>
      <c r="L970" t="s">
        <v>38</v>
      </c>
      <c r="M970">
        <v>0.01</v>
      </c>
      <c r="N970">
        <v>7.0141904000000001E-3</v>
      </c>
    </row>
    <row r="971" spans="1:14" x14ac:dyDescent="0.25">
      <c r="A971" s="23">
        <v>44068</v>
      </c>
      <c r="B971">
        <v>26.11</v>
      </c>
      <c r="C971" t="s">
        <v>2</v>
      </c>
      <c r="D971">
        <v>0.14599999999999999</v>
      </c>
      <c r="E971">
        <v>3.8120599999999998</v>
      </c>
      <c r="F971" t="s">
        <v>14</v>
      </c>
      <c r="G971">
        <v>0.184</v>
      </c>
      <c r="H971">
        <v>0.70141903999999999</v>
      </c>
      <c r="L971" t="s">
        <v>39</v>
      </c>
      <c r="M971">
        <v>6.0000000000000001E-3</v>
      </c>
      <c r="N971">
        <v>4.2085142399999999E-3</v>
      </c>
    </row>
    <row r="972" spans="1:14" x14ac:dyDescent="0.25">
      <c r="A972" s="23">
        <v>44069</v>
      </c>
      <c r="B972">
        <v>26.11</v>
      </c>
      <c r="C972" t="s">
        <v>2</v>
      </c>
      <c r="D972">
        <v>0.14599999999999999</v>
      </c>
      <c r="E972">
        <v>3.8120599999999998</v>
      </c>
      <c r="F972" t="s">
        <v>44</v>
      </c>
      <c r="G972">
        <v>0.16399999999999998</v>
      </c>
      <c r="H972">
        <v>0.62517783999999987</v>
      </c>
      <c r="I972" t="s">
        <v>11</v>
      </c>
      <c r="J972">
        <v>0</v>
      </c>
      <c r="K972">
        <v>0</v>
      </c>
      <c r="L972" t="s">
        <v>32</v>
      </c>
      <c r="M972">
        <v>0</v>
      </c>
      <c r="N972">
        <v>0</v>
      </c>
    </row>
    <row r="973" spans="1:14" x14ac:dyDescent="0.25">
      <c r="A973" s="23">
        <v>44070</v>
      </c>
      <c r="B973">
        <v>26.11</v>
      </c>
      <c r="C973" t="s">
        <v>2</v>
      </c>
      <c r="D973">
        <v>0.14599999999999999</v>
      </c>
      <c r="E973">
        <v>3.8120599999999998</v>
      </c>
      <c r="F973" t="s">
        <v>15</v>
      </c>
      <c r="G973">
        <v>0.16399999999999998</v>
      </c>
      <c r="H973">
        <v>0.62517783999999987</v>
      </c>
      <c r="I973" t="s">
        <v>12</v>
      </c>
      <c r="J973">
        <v>0</v>
      </c>
      <c r="K973">
        <v>0</v>
      </c>
      <c r="L973" t="s">
        <v>33</v>
      </c>
      <c r="M973">
        <v>0.16399999999999998</v>
      </c>
      <c r="N973">
        <v>0.10252916575999997</v>
      </c>
    </row>
    <row r="974" spans="1:14" x14ac:dyDescent="0.25">
      <c r="A974" s="23">
        <v>44071</v>
      </c>
      <c r="B974">
        <v>26.11</v>
      </c>
      <c r="C974" t="s">
        <v>2</v>
      </c>
      <c r="D974">
        <v>0.14599999999999999</v>
      </c>
      <c r="E974">
        <v>3.8120599999999998</v>
      </c>
      <c r="F974" t="s">
        <v>15</v>
      </c>
      <c r="G974">
        <v>0.16399999999999998</v>
      </c>
      <c r="H974">
        <v>0.62517783999999987</v>
      </c>
      <c r="I974" t="s">
        <v>7</v>
      </c>
      <c r="J974">
        <v>0.03</v>
      </c>
      <c r="K974">
        <v>1.8755335199999997E-2</v>
      </c>
      <c r="L974" t="s">
        <v>34</v>
      </c>
      <c r="M974">
        <v>0.21299999999999999</v>
      </c>
      <c r="N974">
        <v>0.13316287991999998</v>
      </c>
    </row>
    <row r="975" spans="1:14" x14ac:dyDescent="0.25">
      <c r="A975" s="23">
        <v>44072</v>
      </c>
      <c r="B975">
        <v>26.11</v>
      </c>
      <c r="C975" t="s">
        <v>2</v>
      </c>
      <c r="D975">
        <v>0.14599999999999999</v>
      </c>
      <c r="E975">
        <v>3.8120599999999998</v>
      </c>
      <c r="F975" t="s">
        <v>15</v>
      </c>
      <c r="G975">
        <v>0.16399999999999998</v>
      </c>
      <c r="H975">
        <v>0.62517783999999987</v>
      </c>
      <c r="I975" t="s">
        <v>8</v>
      </c>
      <c r="J975">
        <v>0.27399999999999997</v>
      </c>
      <c r="K975">
        <v>0.17129872815999994</v>
      </c>
      <c r="L975" t="s">
        <v>35</v>
      </c>
      <c r="M975">
        <v>0.19600000000000001</v>
      </c>
      <c r="N975">
        <v>0.12253485663999998</v>
      </c>
    </row>
    <row r="976" spans="1:14" x14ac:dyDescent="0.25">
      <c r="A976" s="23">
        <v>44073</v>
      </c>
      <c r="B976">
        <v>26.11</v>
      </c>
      <c r="C976" t="s">
        <v>2</v>
      </c>
      <c r="D976">
        <v>0.14599999999999999</v>
      </c>
      <c r="E976">
        <v>3.8120599999999998</v>
      </c>
      <c r="F976" t="s">
        <v>15</v>
      </c>
      <c r="G976">
        <v>0.16399999999999998</v>
      </c>
      <c r="H976">
        <v>0.62517783999999987</v>
      </c>
      <c r="I976" t="s">
        <v>10</v>
      </c>
      <c r="J976">
        <v>0.156</v>
      </c>
      <c r="K976">
        <v>9.7527743039999976E-2</v>
      </c>
      <c r="L976" t="s">
        <v>36</v>
      </c>
      <c r="M976">
        <v>0.188</v>
      </c>
      <c r="N976">
        <v>0.11753343391999997</v>
      </c>
    </row>
    <row r="977" spans="1:14" x14ac:dyDescent="0.25">
      <c r="A977" s="23">
        <v>44074</v>
      </c>
      <c r="B977">
        <v>26.11</v>
      </c>
      <c r="C977" t="s">
        <v>2</v>
      </c>
      <c r="D977">
        <v>0.14599999999999999</v>
      </c>
      <c r="E977">
        <v>3.8120599999999998</v>
      </c>
      <c r="F977" t="s">
        <v>15</v>
      </c>
      <c r="G977">
        <v>0.16399999999999998</v>
      </c>
      <c r="H977">
        <v>0.62517783999999987</v>
      </c>
      <c r="I977" t="s">
        <v>9</v>
      </c>
      <c r="J977">
        <v>0.52300000000000002</v>
      </c>
      <c r="K977">
        <v>0.32696801031999995</v>
      </c>
      <c r="L977" t="s">
        <v>37</v>
      </c>
      <c r="M977">
        <v>0.24</v>
      </c>
      <c r="N977">
        <v>0.15004268159999998</v>
      </c>
    </row>
    <row r="978" spans="1:14" x14ac:dyDescent="0.25">
      <c r="A978" s="23">
        <v>44075</v>
      </c>
      <c r="B978">
        <v>26.11</v>
      </c>
      <c r="C978" t="s">
        <v>2</v>
      </c>
      <c r="D978">
        <v>0.14599999999999999</v>
      </c>
      <c r="E978">
        <v>3.8120599999999998</v>
      </c>
      <c r="F978" t="s">
        <v>15</v>
      </c>
      <c r="G978">
        <v>0.16399999999999998</v>
      </c>
      <c r="H978">
        <v>0.62517783999999987</v>
      </c>
      <c r="I978" t="s">
        <v>55</v>
      </c>
      <c r="J978">
        <v>1.8000000000000002E-2</v>
      </c>
      <c r="K978">
        <v>1.1253201119999999E-2</v>
      </c>
      <c r="L978" t="s">
        <v>38</v>
      </c>
      <c r="M978">
        <v>0</v>
      </c>
      <c r="N978">
        <v>0</v>
      </c>
    </row>
    <row r="979" spans="1:14" x14ac:dyDescent="0.25">
      <c r="A979" s="23">
        <v>44076</v>
      </c>
      <c r="B979">
        <v>26.11</v>
      </c>
      <c r="C979" t="s">
        <v>2</v>
      </c>
      <c r="D979">
        <v>0.14599999999999999</v>
      </c>
      <c r="E979">
        <v>3.8120599999999998</v>
      </c>
      <c r="F979" t="s">
        <v>15</v>
      </c>
      <c r="G979">
        <v>0.16399999999999998</v>
      </c>
      <c r="H979">
        <v>0.62517783999999987</v>
      </c>
      <c r="L979" t="s">
        <v>39</v>
      </c>
      <c r="M979">
        <v>0</v>
      </c>
      <c r="N979">
        <v>0</v>
      </c>
    </row>
    <row r="980" spans="1:14" x14ac:dyDescent="0.25">
      <c r="A980" s="23">
        <v>44077</v>
      </c>
      <c r="B980">
        <v>26.11</v>
      </c>
      <c r="C980" t="s">
        <v>2</v>
      </c>
      <c r="D980">
        <v>0.14599999999999999</v>
      </c>
      <c r="E980">
        <v>3.8120599999999998</v>
      </c>
      <c r="F980" t="s">
        <v>45</v>
      </c>
      <c r="G980">
        <v>0.16</v>
      </c>
      <c r="H980">
        <v>0.60992959999999996</v>
      </c>
      <c r="I980" t="s">
        <v>11</v>
      </c>
      <c r="J980">
        <v>9.5000000000000001E-2</v>
      </c>
      <c r="K980">
        <v>5.7943311999999997E-2</v>
      </c>
      <c r="L980" t="s">
        <v>32</v>
      </c>
      <c r="M980">
        <v>1.4999999999999999E-2</v>
      </c>
      <c r="N980">
        <v>9.1489439999999991E-3</v>
      </c>
    </row>
    <row r="981" spans="1:14" x14ac:dyDescent="0.25">
      <c r="A981" s="23">
        <v>44078</v>
      </c>
      <c r="B981">
        <v>26.11</v>
      </c>
      <c r="C981" t="s">
        <v>2</v>
      </c>
      <c r="D981">
        <v>0.14599999999999999</v>
      </c>
      <c r="E981">
        <v>3.8120599999999998</v>
      </c>
      <c r="F981" t="s">
        <v>16</v>
      </c>
      <c r="G981">
        <v>0.16</v>
      </c>
      <c r="H981">
        <v>0.60992959999999996</v>
      </c>
      <c r="I981" t="s">
        <v>12</v>
      </c>
      <c r="J981">
        <v>1.8000000000000002E-2</v>
      </c>
      <c r="K981">
        <v>1.09787328E-2</v>
      </c>
      <c r="L981" t="s">
        <v>33</v>
      </c>
      <c r="M981">
        <v>9.1999999999999998E-2</v>
      </c>
      <c r="N981">
        <v>5.6113523199999994E-2</v>
      </c>
    </row>
    <row r="982" spans="1:14" x14ac:dyDescent="0.25">
      <c r="A982" s="23">
        <v>44079</v>
      </c>
      <c r="B982">
        <v>26.11</v>
      </c>
      <c r="C982" t="s">
        <v>2</v>
      </c>
      <c r="D982">
        <v>0.14599999999999999</v>
      </c>
      <c r="E982">
        <v>3.8120599999999998</v>
      </c>
      <c r="F982" t="s">
        <v>16</v>
      </c>
      <c r="G982">
        <v>0.16</v>
      </c>
      <c r="H982">
        <v>0.60992959999999996</v>
      </c>
      <c r="I982" t="s">
        <v>7</v>
      </c>
      <c r="J982">
        <v>5.9000000000000004E-2</v>
      </c>
      <c r="K982">
        <v>3.59858464E-2</v>
      </c>
      <c r="L982" t="s">
        <v>34</v>
      </c>
      <c r="M982">
        <v>0.17100000000000001</v>
      </c>
      <c r="N982">
        <v>0.1042979616</v>
      </c>
    </row>
    <row r="983" spans="1:14" x14ac:dyDescent="0.25">
      <c r="A983" s="23">
        <v>44080</v>
      </c>
      <c r="B983">
        <v>26.11</v>
      </c>
      <c r="C983" t="s">
        <v>2</v>
      </c>
      <c r="D983">
        <v>0.14599999999999999</v>
      </c>
      <c r="E983">
        <v>3.8120599999999998</v>
      </c>
      <c r="F983" t="s">
        <v>16</v>
      </c>
      <c r="G983">
        <v>0.16</v>
      </c>
      <c r="H983">
        <v>0.60992959999999996</v>
      </c>
      <c r="I983" t="s">
        <v>8</v>
      </c>
      <c r="J983">
        <v>0.23499999999999999</v>
      </c>
      <c r="K983">
        <v>0.14333345599999997</v>
      </c>
      <c r="L983" t="s">
        <v>35</v>
      </c>
      <c r="M983">
        <v>0.247</v>
      </c>
      <c r="N983">
        <v>0.15065261119999998</v>
      </c>
    </row>
    <row r="984" spans="1:14" x14ac:dyDescent="0.25">
      <c r="A984" s="23">
        <v>44081</v>
      </c>
      <c r="B984">
        <v>26.11</v>
      </c>
      <c r="C984" t="s">
        <v>2</v>
      </c>
      <c r="D984">
        <v>0.14599999999999999</v>
      </c>
      <c r="E984">
        <v>3.8120599999999998</v>
      </c>
      <c r="F984" t="s">
        <v>16</v>
      </c>
      <c r="G984">
        <v>0.16</v>
      </c>
      <c r="H984">
        <v>0.60992959999999996</v>
      </c>
      <c r="I984" t="s">
        <v>10</v>
      </c>
      <c r="J984">
        <v>6.0999999999999999E-2</v>
      </c>
      <c r="K984">
        <v>3.72057056E-2</v>
      </c>
      <c r="L984" t="s">
        <v>36</v>
      </c>
      <c r="M984">
        <v>0.26400000000000001</v>
      </c>
      <c r="N984">
        <v>0.16102141440000001</v>
      </c>
    </row>
    <row r="985" spans="1:14" x14ac:dyDescent="0.25">
      <c r="A985" s="23">
        <v>44082</v>
      </c>
      <c r="B985">
        <v>26.11</v>
      </c>
      <c r="C985" t="s">
        <v>2</v>
      </c>
      <c r="D985">
        <v>0.14599999999999999</v>
      </c>
      <c r="E985">
        <v>3.8120599999999998</v>
      </c>
      <c r="F985" t="s">
        <v>16</v>
      </c>
      <c r="G985">
        <v>0.16</v>
      </c>
      <c r="H985">
        <v>0.60992959999999996</v>
      </c>
      <c r="I985" t="s">
        <v>9</v>
      </c>
      <c r="J985">
        <v>0.52200000000000002</v>
      </c>
      <c r="K985">
        <v>0.31838325119999999</v>
      </c>
      <c r="L985" t="s">
        <v>37</v>
      </c>
      <c r="M985">
        <v>0.18899999999999997</v>
      </c>
      <c r="N985">
        <v>0.11527669439999998</v>
      </c>
    </row>
    <row r="986" spans="1:14" x14ac:dyDescent="0.25">
      <c r="A986" s="23">
        <v>44083</v>
      </c>
      <c r="B986">
        <v>26.11</v>
      </c>
      <c r="C986" t="s">
        <v>2</v>
      </c>
      <c r="D986">
        <v>0.14599999999999999</v>
      </c>
      <c r="E986">
        <v>3.8120599999999998</v>
      </c>
      <c r="F986" t="s">
        <v>16</v>
      </c>
      <c r="G986">
        <v>0.16</v>
      </c>
      <c r="H986">
        <v>0.60992959999999996</v>
      </c>
      <c r="I986" t="s">
        <v>55</v>
      </c>
      <c r="J986">
        <v>0.01</v>
      </c>
      <c r="K986">
        <v>6.0992959999999997E-3</v>
      </c>
      <c r="L986" t="s">
        <v>38</v>
      </c>
      <c r="M986">
        <v>1.8000000000000002E-2</v>
      </c>
      <c r="N986">
        <v>1.09787328E-2</v>
      </c>
    </row>
    <row r="987" spans="1:14" x14ac:dyDescent="0.25">
      <c r="A987" s="23">
        <v>44084</v>
      </c>
      <c r="B987">
        <v>26.11</v>
      </c>
      <c r="C987" t="s">
        <v>2</v>
      </c>
      <c r="D987">
        <v>0.14599999999999999</v>
      </c>
      <c r="E987">
        <v>3.8120599999999998</v>
      </c>
      <c r="F987" t="s">
        <v>16</v>
      </c>
      <c r="G987">
        <v>0.16</v>
      </c>
      <c r="H987">
        <v>0.60992959999999996</v>
      </c>
      <c r="L987" t="s">
        <v>39</v>
      </c>
      <c r="M987">
        <v>4.0000000000000001E-3</v>
      </c>
      <c r="N987">
        <v>2.4397183999999997E-3</v>
      </c>
    </row>
    <row r="988" spans="1:14" x14ac:dyDescent="0.25">
      <c r="A988" s="23">
        <v>44085</v>
      </c>
      <c r="B988">
        <v>26.11</v>
      </c>
      <c r="C988" t="s">
        <v>2</v>
      </c>
      <c r="D988">
        <v>0.14599999999999999</v>
      </c>
      <c r="E988">
        <v>3.8120599999999998</v>
      </c>
      <c r="F988" t="s">
        <v>46</v>
      </c>
      <c r="G988">
        <v>0.152</v>
      </c>
      <c r="H988">
        <v>0.57943311999999991</v>
      </c>
      <c r="I988" t="s">
        <v>11</v>
      </c>
      <c r="J988">
        <v>0.245</v>
      </c>
      <c r="K988">
        <v>0.14196111439999998</v>
      </c>
      <c r="L988" t="s">
        <v>32</v>
      </c>
      <c r="M988">
        <v>1.9E-2</v>
      </c>
      <c r="N988">
        <v>1.1009229279999998E-2</v>
      </c>
    </row>
    <row r="989" spans="1:14" x14ac:dyDescent="0.25">
      <c r="A989" s="23">
        <v>44086</v>
      </c>
      <c r="B989">
        <v>26.11</v>
      </c>
      <c r="C989" t="s">
        <v>2</v>
      </c>
      <c r="D989">
        <v>0.14599999999999999</v>
      </c>
      <c r="E989">
        <v>3.8120599999999998</v>
      </c>
      <c r="F989" t="s">
        <v>13</v>
      </c>
      <c r="G989">
        <v>0.152</v>
      </c>
      <c r="H989">
        <v>0.57943311999999991</v>
      </c>
      <c r="I989" t="s">
        <v>12</v>
      </c>
      <c r="J989">
        <v>4.2999999999999997E-2</v>
      </c>
      <c r="K989">
        <v>2.4915624159999993E-2</v>
      </c>
      <c r="L989" t="s">
        <v>33</v>
      </c>
      <c r="M989">
        <v>8.6999999999999994E-2</v>
      </c>
      <c r="N989">
        <v>5.0410681439999987E-2</v>
      </c>
    </row>
    <row r="990" spans="1:14" x14ac:dyDescent="0.25">
      <c r="A990" s="23">
        <v>44087</v>
      </c>
      <c r="B990">
        <v>26.11</v>
      </c>
      <c r="C990" t="s">
        <v>2</v>
      </c>
      <c r="D990">
        <v>0.14599999999999999</v>
      </c>
      <c r="E990">
        <v>3.8120599999999998</v>
      </c>
      <c r="F990" t="s">
        <v>13</v>
      </c>
      <c r="G990">
        <v>0.152</v>
      </c>
      <c r="H990">
        <v>0.57943311999999991</v>
      </c>
      <c r="I990" t="s">
        <v>7</v>
      </c>
      <c r="J990">
        <v>9.5000000000000001E-2</v>
      </c>
      <c r="K990">
        <v>5.5046146399999996E-2</v>
      </c>
      <c r="L990" t="s">
        <v>34</v>
      </c>
      <c r="M990">
        <v>0.13300000000000001</v>
      </c>
      <c r="N990">
        <v>7.7064604959999991E-2</v>
      </c>
    </row>
    <row r="991" spans="1:14" x14ac:dyDescent="0.25">
      <c r="A991" s="23">
        <v>44088</v>
      </c>
      <c r="B991">
        <v>26.11</v>
      </c>
      <c r="C991" t="s">
        <v>2</v>
      </c>
      <c r="D991">
        <v>0.14599999999999999</v>
      </c>
      <c r="E991">
        <v>3.8120599999999998</v>
      </c>
      <c r="F991" t="s">
        <v>13</v>
      </c>
      <c r="G991">
        <v>0.152</v>
      </c>
      <c r="H991">
        <v>0.57943311999999991</v>
      </c>
      <c r="I991" t="s">
        <v>8</v>
      </c>
      <c r="J991">
        <v>0.30399999999999999</v>
      </c>
      <c r="K991">
        <v>0.17614766847999996</v>
      </c>
      <c r="L991" t="s">
        <v>35</v>
      </c>
      <c r="M991">
        <v>0.27600000000000002</v>
      </c>
      <c r="N991">
        <v>0.15992354111999998</v>
      </c>
    </row>
    <row r="992" spans="1:14" x14ac:dyDescent="0.25">
      <c r="A992" s="23">
        <v>44089</v>
      </c>
      <c r="B992">
        <v>26.11</v>
      </c>
      <c r="C992" t="s">
        <v>2</v>
      </c>
      <c r="D992">
        <v>0.14599999999999999</v>
      </c>
      <c r="E992">
        <v>3.8120599999999998</v>
      </c>
      <c r="F992" t="s">
        <v>13</v>
      </c>
      <c r="G992">
        <v>0.152</v>
      </c>
      <c r="H992">
        <v>0.57943311999999991</v>
      </c>
      <c r="I992" t="s">
        <v>10</v>
      </c>
      <c r="J992">
        <v>5.0999999999999997E-2</v>
      </c>
      <c r="K992">
        <v>2.9551089119999995E-2</v>
      </c>
      <c r="L992" t="s">
        <v>36</v>
      </c>
      <c r="M992">
        <v>0.27399999999999997</v>
      </c>
      <c r="N992" t="e">
        <v>#REF!</v>
      </c>
    </row>
    <row r="993" spans="1:14" x14ac:dyDescent="0.25">
      <c r="A993" s="23">
        <v>44090</v>
      </c>
      <c r="B993">
        <v>26.11</v>
      </c>
      <c r="C993" t="s">
        <v>2</v>
      </c>
      <c r="D993">
        <v>0.14599999999999999</v>
      </c>
      <c r="E993">
        <v>3.8120599999999998</v>
      </c>
      <c r="F993" t="s">
        <v>13</v>
      </c>
      <c r="G993">
        <v>0.152</v>
      </c>
      <c r="H993">
        <v>0.57943311999999991</v>
      </c>
      <c r="I993" t="s">
        <v>9</v>
      </c>
      <c r="J993">
        <v>0.24100000000000002</v>
      </c>
      <c r="K993">
        <v>0.13964338192</v>
      </c>
      <c r="L993" t="s">
        <v>37</v>
      </c>
      <c r="M993">
        <v>0.18899999999999997</v>
      </c>
      <c r="N993">
        <v>0.15876467487999996</v>
      </c>
    </row>
    <row r="994" spans="1:14" x14ac:dyDescent="0.25">
      <c r="A994" s="23">
        <v>44091</v>
      </c>
      <c r="B994">
        <v>26.11</v>
      </c>
      <c r="C994" t="s">
        <v>2</v>
      </c>
      <c r="D994">
        <v>0.14599999999999999</v>
      </c>
      <c r="E994">
        <v>3.8120599999999998</v>
      </c>
      <c r="F994" t="s">
        <v>13</v>
      </c>
      <c r="G994">
        <v>0.152</v>
      </c>
      <c r="H994">
        <v>0.57943311999999991</v>
      </c>
      <c r="I994" t="s">
        <v>55</v>
      </c>
      <c r="J994">
        <v>2.1000000000000001E-2</v>
      </c>
      <c r="K994">
        <v>1.2168095519999998E-2</v>
      </c>
      <c r="L994" t="s">
        <v>38</v>
      </c>
      <c r="M994">
        <v>1.3999999999999999E-2</v>
      </c>
      <c r="N994">
        <v>0.10951285967999996</v>
      </c>
    </row>
    <row r="995" spans="1:14" x14ac:dyDescent="0.25">
      <c r="A995" s="23">
        <v>44092</v>
      </c>
      <c r="B995">
        <v>26.11</v>
      </c>
      <c r="C995" t="s">
        <v>2</v>
      </c>
      <c r="D995">
        <v>0.14599999999999999</v>
      </c>
      <c r="E995">
        <v>3.8120599999999998</v>
      </c>
      <c r="F995" t="s">
        <v>13</v>
      </c>
      <c r="G995">
        <v>0.152</v>
      </c>
      <c r="H995">
        <v>0.57943311999999991</v>
      </c>
      <c r="L995" t="s">
        <v>39</v>
      </c>
      <c r="M995">
        <v>8.0000000000000002E-3</v>
      </c>
      <c r="N995">
        <v>8.1120636799999982E-3</v>
      </c>
    </row>
    <row r="996" spans="1:14" x14ac:dyDescent="0.25">
      <c r="A996" s="23">
        <v>44093</v>
      </c>
      <c r="B996">
        <v>26.11</v>
      </c>
      <c r="C996" t="s">
        <v>2</v>
      </c>
      <c r="D996">
        <v>0.14599999999999999</v>
      </c>
      <c r="E996">
        <v>3.8120599999999998</v>
      </c>
      <c r="F996" t="s">
        <v>47</v>
      </c>
      <c r="G996">
        <v>6.0999999999999999E-2</v>
      </c>
      <c r="H996">
        <v>0.23253565999999998</v>
      </c>
      <c r="I996" t="s">
        <v>11</v>
      </c>
      <c r="J996">
        <v>0</v>
      </c>
      <c r="K996">
        <v>0</v>
      </c>
      <c r="L996" t="s">
        <v>32</v>
      </c>
      <c r="M996">
        <v>0</v>
      </c>
      <c r="N996">
        <v>0</v>
      </c>
    </row>
    <row r="997" spans="1:14" x14ac:dyDescent="0.25">
      <c r="A997" s="23">
        <v>44094</v>
      </c>
      <c r="B997">
        <v>26.11</v>
      </c>
      <c r="C997" t="s">
        <v>2</v>
      </c>
      <c r="D997">
        <v>0.14599999999999999</v>
      </c>
      <c r="E997">
        <v>3.8120599999999998</v>
      </c>
      <c r="F997" t="s">
        <v>17</v>
      </c>
      <c r="G997">
        <v>6.0999999999999999E-2</v>
      </c>
      <c r="H997">
        <v>0.23253565999999998</v>
      </c>
      <c r="I997" t="s">
        <v>12</v>
      </c>
      <c r="J997">
        <v>0</v>
      </c>
      <c r="K997">
        <v>0</v>
      </c>
      <c r="L997" t="s">
        <v>33</v>
      </c>
      <c r="M997">
        <v>0</v>
      </c>
      <c r="N997">
        <v>0</v>
      </c>
    </row>
    <row r="998" spans="1:14" x14ac:dyDescent="0.25">
      <c r="A998" s="23">
        <v>44095</v>
      </c>
      <c r="B998">
        <v>26.11</v>
      </c>
      <c r="C998" t="s">
        <v>2</v>
      </c>
      <c r="D998">
        <v>0.14599999999999999</v>
      </c>
      <c r="E998">
        <v>3.8120599999999998</v>
      </c>
      <c r="F998" t="s">
        <v>17</v>
      </c>
      <c r="G998">
        <v>6.0999999999999999E-2</v>
      </c>
      <c r="H998">
        <v>0.23253565999999998</v>
      </c>
      <c r="I998" t="s">
        <v>7</v>
      </c>
      <c r="J998">
        <v>0</v>
      </c>
      <c r="K998">
        <v>0</v>
      </c>
      <c r="L998" t="s">
        <v>34</v>
      </c>
      <c r="M998">
        <v>0.15</v>
      </c>
      <c r="N998">
        <v>3.4880348999999998E-2</v>
      </c>
    </row>
    <row r="999" spans="1:14" x14ac:dyDescent="0.25">
      <c r="A999" s="23">
        <v>44096</v>
      </c>
      <c r="B999">
        <v>26.11</v>
      </c>
      <c r="C999" t="s">
        <v>2</v>
      </c>
      <c r="D999">
        <v>0.14599999999999999</v>
      </c>
      <c r="E999">
        <v>3.8120599999999998</v>
      </c>
      <c r="F999" t="s">
        <v>17</v>
      </c>
      <c r="G999">
        <v>6.0999999999999999E-2</v>
      </c>
      <c r="H999">
        <v>0.23253565999999998</v>
      </c>
      <c r="I999" t="s">
        <v>8</v>
      </c>
      <c r="J999">
        <v>0.747</v>
      </c>
      <c r="K999">
        <v>0.17370413801999998</v>
      </c>
      <c r="L999" t="s">
        <v>35</v>
      </c>
      <c r="M999">
        <v>0.29100000000000004</v>
      </c>
      <c r="N999">
        <v>6.7667877060000006E-2</v>
      </c>
    </row>
    <row r="1000" spans="1:14" x14ac:dyDescent="0.25">
      <c r="A1000" s="23">
        <v>44097</v>
      </c>
      <c r="B1000">
        <v>26.11</v>
      </c>
      <c r="C1000" t="s">
        <v>2</v>
      </c>
      <c r="D1000">
        <v>0.14599999999999999</v>
      </c>
      <c r="E1000">
        <v>3.8120599999999998</v>
      </c>
      <c r="F1000" t="s">
        <v>17</v>
      </c>
      <c r="G1000">
        <v>6.0999999999999999E-2</v>
      </c>
      <c r="H1000">
        <v>0.23253565999999998</v>
      </c>
      <c r="I1000" t="s">
        <v>10</v>
      </c>
      <c r="J1000">
        <v>0</v>
      </c>
      <c r="K1000">
        <v>0</v>
      </c>
      <c r="L1000" t="s">
        <v>36</v>
      </c>
      <c r="M1000">
        <v>0.217</v>
      </c>
      <c r="N1000">
        <v>5.0460238219999995E-2</v>
      </c>
    </row>
    <row r="1001" spans="1:14" x14ac:dyDescent="0.25">
      <c r="A1001" s="23">
        <v>44098</v>
      </c>
      <c r="B1001">
        <v>26.11</v>
      </c>
      <c r="C1001" t="s">
        <v>2</v>
      </c>
      <c r="D1001">
        <v>0.14599999999999999</v>
      </c>
      <c r="E1001">
        <v>3.8120599999999998</v>
      </c>
      <c r="F1001" t="s">
        <v>17</v>
      </c>
      <c r="G1001">
        <v>6.0999999999999999E-2</v>
      </c>
      <c r="H1001">
        <v>0.23253565999999998</v>
      </c>
      <c r="I1001" t="s">
        <v>9</v>
      </c>
      <c r="J1001">
        <v>0.253</v>
      </c>
      <c r="K1001">
        <v>5.8831521979999996E-2</v>
      </c>
      <c r="L1001" t="s">
        <v>37</v>
      </c>
      <c r="M1001">
        <v>0.34499999999999997</v>
      </c>
      <c r="N1001">
        <v>8.0224802699999986E-2</v>
      </c>
    </row>
    <row r="1002" spans="1:14" x14ac:dyDescent="0.25">
      <c r="A1002" s="23">
        <v>44099</v>
      </c>
      <c r="B1002">
        <v>26.11</v>
      </c>
      <c r="C1002" t="s">
        <v>2</v>
      </c>
      <c r="D1002">
        <v>0.14599999999999999</v>
      </c>
      <c r="E1002">
        <v>3.8120599999999998</v>
      </c>
      <c r="F1002" t="s">
        <v>17</v>
      </c>
      <c r="G1002">
        <v>6.0999999999999999E-2</v>
      </c>
      <c r="H1002">
        <v>0.23253565999999998</v>
      </c>
      <c r="I1002" t="s">
        <v>55</v>
      </c>
      <c r="J1002">
        <v>0</v>
      </c>
      <c r="K1002">
        <v>0</v>
      </c>
      <c r="L1002" t="s">
        <v>38</v>
      </c>
      <c r="M1002">
        <v>0</v>
      </c>
      <c r="N1002">
        <v>0</v>
      </c>
    </row>
    <row r="1003" spans="1:14" x14ac:dyDescent="0.25">
      <c r="A1003" s="23">
        <v>44100</v>
      </c>
      <c r="B1003">
        <v>26.11</v>
      </c>
      <c r="C1003" t="s">
        <v>2</v>
      </c>
      <c r="D1003">
        <v>0.14599999999999999</v>
      </c>
      <c r="E1003">
        <v>3.8120599999999998</v>
      </c>
      <c r="F1003" t="s">
        <v>17</v>
      </c>
      <c r="G1003">
        <v>6.0999999999999999E-2</v>
      </c>
      <c r="H1003">
        <v>0.23253565999999998</v>
      </c>
      <c r="L1003" t="s">
        <v>39</v>
      </c>
      <c r="M1003">
        <v>0</v>
      </c>
      <c r="N1003">
        <v>0</v>
      </c>
    </row>
    <row r="1004" spans="1:14" x14ac:dyDescent="0.25">
      <c r="A1004" s="23">
        <v>44101</v>
      </c>
      <c r="B1004">
        <v>26.11</v>
      </c>
      <c r="C1004" t="s">
        <v>2</v>
      </c>
      <c r="D1004">
        <v>0.14599999999999999</v>
      </c>
      <c r="E1004">
        <v>3.8120599999999998</v>
      </c>
      <c r="F1004" t="s">
        <v>18</v>
      </c>
      <c r="G1004">
        <v>8.5000000000000006E-2</v>
      </c>
      <c r="H1004">
        <v>0.32402510000000001</v>
      </c>
      <c r="I1004" t="s">
        <v>11</v>
      </c>
      <c r="J1004">
        <v>0.34200000000000003</v>
      </c>
      <c r="K1004">
        <v>0.11081658420000001</v>
      </c>
      <c r="L1004" t="s">
        <v>32</v>
      </c>
      <c r="M1004">
        <v>2.5000000000000001E-2</v>
      </c>
      <c r="N1004">
        <v>8.1006275000000006E-3</v>
      </c>
    </row>
    <row r="1005" spans="1:14" x14ac:dyDescent="0.25">
      <c r="A1005" s="23">
        <v>44102</v>
      </c>
      <c r="B1005">
        <v>26.11</v>
      </c>
      <c r="C1005" t="s">
        <v>2</v>
      </c>
      <c r="D1005">
        <v>0.14599999999999999</v>
      </c>
      <c r="E1005">
        <v>3.8120599999999998</v>
      </c>
      <c r="F1005" t="s">
        <v>18</v>
      </c>
      <c r="G1005">
        <v>8.5000000000000006E-2</v>
      </c>
      <c r="H1005">
        <v>0.32402510000000001</v>
      </c>
      <c r="I1005" t="s">
        <v>12</v>
      </c>
      <c r="J1005">
        <v>3.3000000000000002E-2</v>
      </c>
      <c r="K1005">
        <v>1.06928283E-2</v>
      </c>
      <c r="L1005" t="s">
        <v>33</v>
      </c>
      <c r="M1005">
        <v>8.4000000000000005E-2</v>
      </c>
      <c r="N1005">
        <v>2.7218108400000003E-2</v>
      </c>
    </row>
    <row r="1006" spans="1:14" x14ac:dyDescent="0.25">
      <c r="A1006" s="23">
        <v>44103</v>
      </c>
      <c r="B1006">
        <v>26.11</v>
      </c>
      <c r="C1006" t="s">
        <v>2</v>
      </c>
      <c r="D1006">
        <v>0.14599999999999999</v>
      </c>
      <c r="E1006">
        <v>3.8120599999999998</v>
      </c>
      <c r="F1006" t="s">
        <v>18</v>
      </c>
      <c r="G1006">
        <v>8.5000000000000006E-2</v>
      </c>
      <c r="H1006">
        <v>0.32402510000000001</v>
      </c>
      <c r="I1006" t="s">
        <v>7</v>
      </c>
      <c r="J1006">
        <v>8.5999999999999993E-2</v>
      </c>
      <c r="K1006">
        <v>2.78661586E-2</v>
      </c>
      <c r="L1006" t="s">
        <v>34</v>
      </c>
      <c r="M1006">
        <v>0.14000000000000001</v>
      </c>
      <c r="N1006">
        <v>4.5363514000000008E-2</v>
      </c>
    </row>
    <row r="1007" spans="1:14" x14ac:dyDescent="0.25">
      <c r="A1007" s="23">
        <v>44104</v>
      </c>
      <c r="B1007">
        <v>26.11</v>
      </c>
      <c r="C1007" t="s">
        <v>2</v>
      </c>
      <c r="D1007">
        <v>0.14599999999999999</v>
      </c>
      <c r="E1007">
        <v>3.8120599999999998</v>
      </c>
      <c r="F1007" t="s">
        <v>18</v>
      </c>
      <c r="G1007">
        <v>8.5000000000000006E-2</v>
      </c>
      <c r="H1007">
        <v>0.32402510000000001</v>
      </c>
      <c r="I1007" t="s">
        <v>8</v>
      </c>
      <c r="J1007">
        <v>0.23600000000000002</v>
      </c>
      <c r="K1007">
        <v>9.7207530000000008E-4</v>
      </c>
      <c r="L1007" t="s">
        <v>35</v>
      </c>
      <c r="M1007">
        <v>0.34299999999999997</v>
      </c>
      <c r="N1007">
        <v>0.1111406093</v>
      </c>
    </row>
    <row r="1008" spans="1:14" x14ac:dyDescent="0.25">
      <c r="A1008" s="23">
        <v>44105</v>
      </c>
      <c r="B1008">
        <v>26.11</v>
      </c>
      <c r="C1008" t="s">
        <v>2</v>
      </c>
      <c r="D1008">
        <v>0.14599999999999999</v>
      </c>
      <c r="E1008">
        <v>3.8120599999999998</v>
      </c>
      <c r="F1008" t="s">
        <v>18</v>
      </c>
      <c r="G1008">
        <v>8.5000000000000006E-2</v>
      </c>
      <c r="H1008">
        <v>0.32402510000000001</v>
      </c>
      <c r="I1008" t="s">
        <v>10</v>
      </c>
      <c r="J1008">
        <v>6.6000000000000003E-2</v>
      </c>
      <c r="K1008">
        <v>7.6469923600000003E-2</v>
      </c>
      <c r="L1008" t="s">
        <v>36</v>
      </c>
      <c r="M1008">
        <v>0.23399999999999999</v>
      </c>
      <c r="N1008">
        <v>7.5821873400000003E-2</v>
      </c>
    </row>
    <row r="1009" spans="1:14" x14ac:dyDescent="0.25">
      <c r="A1009" s="23">
        <v>44106</v>
      </c>
      <c r="B1009">
        <v>26.11</v>
      </c>
      <c r="C1009" t="s">
        <v>2</v>
      </c>
      <c r="D1009">
        <v>0.14599999999999999</v>
      </c>
      <c r="E1009">
        <v>3.8120599999999998</v>
      </c>
      <c r="F1009" t="s">
        <v>48</v>
      </c>
      <c r="G1009">
        <v>8.5000000000000006E-2</v>
      </c>
      <c r="H1009">
        <v>0.32402510000000001</v>
      </c>
      <c r="I1009" t="s">
        <v>9</v>
      </c>
      <c r="J1009">
        <v>0.23300000000000001</v>
      </c>
      <c r="K1009">
        <v>7.5497848300000003E-2</v>
      </c>
      <c r="L1009" t="s">
        <v>37</v>
      </c>
      <c r="M1009">
        <v>0.14499999999999999</v>
      </c>
      <c r="N1009">
        <v>4.69836395E-2</v>
      </c>
    </row>
    <row r="1010" spans="1:14" x14ac:dyDescent="0.25">
      <c r="A1010" s="23">
        <v>44107</v>
      </c>
      <c r="B1010">
        <v>26.11</v>
      </c>
      <c r="C1010" t="s">
        <v>2</v>
      </c>
      <c r="D1010">
        <v>0.14599999999999999</v>
      </c>
      <c r="E1010">
        <v>3.8120599999999998</v>
      </c>
      <c r="F1010" t="s">
        <v>18</v>
      </c>
      <c r="G1010">
        <v>8.5000000000000006E-2</v>
      </c>
      <c r="H1010">
        <v>0.32402510000000001</v>
      </c>
      <c r="I1010" t="s">
        <v>55</v>
      </c>
      <c r="J1010">
        <v>3.0000000000000001E-3</v>
      </c>
      <c r="K1010">
        <v>9.7207530000000008E-4</v>
      </c>
      <c r="L1010" t="s">
        <v>38</v>
      </c>
      <c r="M1010">
        <v>2.3E-2</v>
      </c>
      <c r="N1010">
        <v>7.4525772999999998E-3</v>
      </c>
    </row>
    <row r="1011" spans="1:14" x14ac:dyDescent="0.25">
      <c r="A1011" s="23">
        <v>44108</v>
      </c>
      <c r="B1011">
        <v>26.11</v>
      </c>
      <c r="C1011" t="s">
        <v>2</v>
      </c>
      <c r="D1011">
        <v>0.14599999999999999</v>
      </c>
      <c r="E1011">
        <v>3.8120599999999998</v>
      </c>
      <c r="F1011" t="s">
        <v>18</v>
      </c>
      <c r="G1011">
        <v>8.5000000000000006E-2</v>
      </c>
      <c r="H1011">
        <v>0.32402510000000001</v>
      </c>
      <c r="L1011" t="s">
        <v>39</v>
      </c>
      <c r="M1011">
        <v>5.0000000000000001E-3</v>
      </c>
      <c r="N1011">
        <v>1.6201255E-3</v>
      </c>
    </row>
    <row r="1012" spans="1:14" x14ac:dyDescent="0.25">
      <c r="A1012" s="23">
        <v>44109</v>
      </c>
      <c r="B1012">
        <v>26.11</v>
      </c>
      <c r="C1012" t="s">
        <v>19</v>
      </c>
      <c r="D1012">
        <v>0.85400000000000009</v>
      </c>
      <c r="E1012">
        <v>22.297940000000001</v>
      </c>
      <c r="F1012" t="s">
        <v>54</v>
      </c>
      <c r="G1012">
        <v>0.81599999999999995</v>
      </c>
      <c r="H1012">
        <v>18.195119039999998</v>
      </c>
      <c r="I1012" t="s">
        <v>11</v>
      </c>
      <c r="J1012">
        <v>0.109</v>
      </c>
      <c r="K1012">
        <v>1.9832679753599998</v>
      </c>
      <c r="L1012" t="s">
        <v>32</v>
      </c>
      <c r="M1012">
        <v>3.6000000000000004E-2</v>
      </c>
      <c r="N1012">
        <v>0.65502428544000002</v>
      </c>
    </row>
    <row r="1013" spans="1:14" x14ac:dyDescent="0.25">
      <c r="A1013" s="23">
        <v>44110</v>
      </c>
      <c r="B1013">
        <v>26.11</v>
      </c>
      <c r="C1013" t="s">
        <v>19</v>
      </c>
      <c r="D1013">
        <v>0.85400000000000009</v>
      </c>
      <c r="E1013">
        <v>22.297940000000001</v>
      </c>
      <c r="F1013" t="s">
        <v>14</v>
      </c>
      <c r="G1013">
        <v>0.81599999999999995</v>
      </c>
      <c r="H1013">
        <v>18.195119039999998</v>
      </c>
      <c r="I1013" t="s">
        <v>12</v>
      </c>
      <c r="J1013">
        <v>8.199999999999999E-2</v>
      </c>
      <c r="K1013">
        <v>1.4919997612799996</v>
      </c>
      <c r="L1013" t="s">
        <v>33</v>
      </c>
      <c r="M1013">
        <v>0.10199999999999999</v>
      </c>
      <c r="N1013">
        <v>1.8559021420799997</v>
      </c>
    </row>
    <row r="1014" spans="1:14" x14ac:dyDescent="0.25">
      <c r="A1014" s="23">
        <v>44111</v>
      </c>
      <c r="B1014">
        <v>26.11</v>
      </c>
      <c r="C1014" t="s">
        <v>19</v>
      </c>
      <c r="D1014">
        <v>0.85400000000000009</v>
      </c>
      <c r="E1014">
        <v>22.297940000000001</v>
      </c>
      <c r="F1014" t="s">
        <v>14</v>
      </c>
      <c r="G1014">
        <v>0.81599999999999995</v>
      </c>
      <c r="H1014">
        <v>18.195119039999998</v>
      </c>
      <c r="I1014" t="s">
        <v>7</v>
      </c>
      <c r="J1014">
        <v>0.161</v>
      </c>
      <c r="K1014">
        <v>2.9294141654399999</v>
      </c>
      <c r="L1014" t="s">
        <v>34</v>
      </c>
      <c r="M1014">
        <v>0.16699999999999998</v>
      </c>
      <c r="N1014">
        <v>3.0385848796799992</v>
      </c>
    </row>
    <row r="1015" spans="1:14" x14ac:dyDescent="0.25">
      <c r="A1015" s="23">
        <v>44112</v>
      </c>
      <c r="B1015">
        <v>26.11</v>
      </c>
      <c r="C1015" t="s">
        <v>19</v>
      </c>
      <c r="D1015">
        <v>0.85400000000000009</v>
      </c>
      <c r="E1015">
        <v>22.297940000000001</v>
      </c>
      <c r="F1015" t="s">
        <v>14</v>
      </c>
      <c r="G1015">
        <v>0.81599999999999995</v>
      </c>
      <c r="H1015">
        <v>18.195119039999998</v>
      </c>
      <c r="I1015" t="s">
        <v>8</v>
      </c>
      <c r="J1015">
        <v>0.36899999999999999</v>
      </c>
      <c r="K1015">
        <v>6.7139989257599995</v>
      </c>
      <c r="L1015" t="s">
        <v>35</v>
      </c>
      <c r="M1015">
        <v>0.26899999999999996</v>
      </c>
      <c r="N1015">
        <v>4.8944870217599989</v>
      </c>
    </row>
    <row r="1016" spans="1:14" x14ac:dyDescent="0.25">
      <c r="A1016" s="23">
        <v>44113</v>
      </c>
      <c r="B1016">
        <v>26.11</v>
      </c>
      <c r="C1016" t="s">
        <v>19</v>
      </c>
      <c r="D1016">
        <v>0.85400000000000009</v>
      </c>
      <c r="E1016">
        <v>22.297940000000001</v>
      </c>
      <c r="F1016" t="s">
        <v>14</v>
      </c>
      <c r="G1016">
        <v>0.81599999999999995</v>
      </c>
      <c r="H1016">
        <v>18.195119039999998</v>
      </c>
      <c r="I1016" t="s">
        <v>10</v>
      </c>
      <c r="J1016">
        <v>0.04</v>
      </c>
      <c r="K1016">
        <v>0.72780476159999996</v>
      </c>
      <c r="L1016" t="s">
        <v>36</v>
      </c>
      <c r="M1016">
        <v>0.23100000000000001</v>
      </c>
      <c r="N1016">
        <v>4.2030724982400001</v>
      </c>
    </row>
    <row r="1017" spans="1:14" x14ac:dyDescent="0.25">
      <c r="A1017" s="23">
        <v>44114</v>
      </c>
      <c r="B1017">
        <v>26.11</v>
      </c>
      <c r="C1017" t="s">
        <v>19</v>
      </c>
      <c r="D1017">
        <v>0.85400000000000009</v>
      </c>
      <c r="E1017">
        <v>22.297940000000001</v>
      </c>
      <c r="F1017" t="s">
        <v>14</v>
      </c>
      <c r="G1017">
        <v>0.81599999999999995</v>
      </c>
      <c r="H1017">
        <v>18.195119039999998</v>
      </c>
      <c r="I1017" t="s">
        <v>9</v>
      </c>
      <c r="J1017">
        <v>0.215</v>
      </c>
      <c r="K1017">
        <v>0.41848773791999994</v>
      </c>
      <c r="L1017" t="s">
        <v>37</v>
      </c>
      <c r="M1017">
        <v>0.16</v>
      </c>
      <c r="N1017">
        <v>2.9112190463999998</v>
      </c>
    </row>
    <row r="1018" spans="1:14" x14ac:dyDescent="0.25">
      <c r="A1018" s="23">
        <v>44115</v>
      </c>
      <c r="B1018">
        <v>26.11</v>
      </c>
      <c r="C1018" t="s">
        <v>19</v>
      </c>
      <c r="D1018">
        <v>0.85400000000000009</v>
      </c>
      <c r="E1018">
        <v>22.297940000000001</v>
      </c>
      <c r="F1018" t="s">
        <v>14</v>
      </c>
      <c r="G1018">
        <v>0.81599999999999995</v>
      </c>
      <c r="H1018">
        <v>18.195119039999998</v>
      </c>
      <c r="I1018" t="s">
        <v>55</v>
      </c>
      <c r="J1018">
        <v>2.3E-2</v>
      </c>
      <c r="K1018">
        <v>0.41848773791999994</v>
      </c>
      <c r="L1018" t="s">
        <v>38</v>
      </c>
      <c r="M1018">
        <v>2.4E-2</v>
      </c>
      <c r="N1018">
        <v>0.43668285695999998</v>
      </c>
    </row>
    <row r="1019" spans="1:14" x14ac:dyDescent="0.25">
      <c r="A1019" s="23">
        <v>44116</v>
      </c>
      <c r="B1019">
        <v>26.11</v>
      </c>
      <c r="C1019" t="s">
        <v>19</v>
      </c>
      <c r="D1019">
        <v>0.85400000000000009</v>
      </c>
      <c r="E1019">
        <v>22.297940000000001</v>
      </c>
      <c r="F1019" t="s">
        <v>14</v>
      </c>
      <c r="G1019">
        <v>0.81599999999999995</v>
      </c>
      <c r="H1019">
        <v>18.195119039999998</v>
      </c>
      <c r="L1019" t="s">
        <v>39</v>
      </c>
      <c r="M1019">
        <v>1.1000000000000001E-2</v>
      </c>
      <c r="N1019">
        <v>0.20014630944</v>
      </c>
    </row>
    <row r="1020" spans="1:14" x14ac:dyDescent="0.25">
      <c r="A1020" s="23">
        <v>44117</v>
      </c>
      <c r="B1020">
        <v>26.11</v>
      </c>
      <c r="C1020" t="s">
        <v>19</v>
      </c>
      <c r="D1020">
        <v>0.85400000000000009</v>
      </c>
      <c r="E1020">
        <v>22.297940000000001</v>
      </c>
      <c r="F1020" t="s">
        <v>52</v>
      </c>
      <c r="G1020">
        <v>0.83599999999999997</v>
      </c>
      <c r="H1020">
        <v>18.641077840000001</v>
      </c>
      <c r="I1020" t="s">
        <v>11</v>
      </c>
      <c r="J1020">
        <v>0.13400000000000001</v>
      </c>
      <c r="K1020">
        <v>2.4979044305600002</v>
      </c>
      <c r="L1020" t="s">
        <v>32</v>
      </c>
      <c r="M1020">
        <v>0</v>
      </c>
      <c r="N1020">
        <v>0</v>
      </c>
    </row>
    <row r="1021" spans="1:14" x14ac:dyDescent="0.25">
      <c r="A1021" s="23">
        <v>44118</v>
      </c>
      <c r="B1021">
        <v>26.11</v>
      </c>
      <c r="C1021" t="s">
        <v>19</v>
      </c>
      <c r="D1021">
        <v>0.85400000000000009</v>
      </c>
      <c r="E1021">
        <v>22.297940000000001</v>
      </c>
      <c r="F1021" t="s">
        <v>15</v>
      </c>
      <c r="G1021">
        <v>0.83599999999999997</v>
      </c>
      <c r="H1021">
        <v>18.641077840000001</v>
      </c>
      <c r="I1021" t="s">
        <v>12</v>
      </c>
      <c r="J1021">
        <v>2.7999999999999997E-2</v>
      </c>
      <c r="K1021">
        <v>0.52195017952</v>
      </c>
      <c r="L1021" t="s">
        <v>33</v>
      </c>
      <c r="M1021">
        <v>0.12</v>
      </c>
      <c r="N1021">
        <v>2.2369293408000002</v>
      </c>
    </row>
    <row r="1022" spans="1:14" x14ac:dyDescent="0.25">
      <c r="A1022" s="23">
        <v>44119</v>
      </c>
      <c r="B1022">
        <v>26.11</v>
      </c>
      <c r="C1022" t="s">
        <v>19</v>
      </c>
      <c r="D1022">
        <v>0.85400000000000009</v>
      </c>
      <c r="E1022">
        <v>22.297940000000001</v>
      </c>
      <c r="F1022" t="s">
        <v>15</v>
      </c>
      <c r="G1022">
        <v>0.83599999999999997</v>
      </c>
      <c r="H1022">
        <v>18.641077840000001</v>
      </c>
      <c r="I1022" t="s">
        <v>7</v>
      </c>
      <c r="J1022">
        <v>0.13400000000000001</v>
      </c>
      <c r="K1022">
        <v>2.4979044305600002</v>
      </c>
      <c r="L1022" t="s">
        <v>34</v>
      </c>
      <c r="M1022">
        <v>0.23600000000000002</v>
      </c>
      <c r="N1022">
        <v>4.3992943702400007</v>
      </c>
    </row>
    <row r="1023" spans="1:14" x14ac:dyDescent="0.25">
      <c r="A1023" s="23">
        <v>44120</v>
      </c>
      <c r="B1023">
        <v>26.11</v>
      </c>
      <c r="C1023" t="s">
        <v>19</v>
      </c>
      <c r="D1023">
        <v>0.85400000000000009</v>
      </c>
      <c r="E1023">
        <v>22.297940000000001</v>
      </c>
      <c r="F1023" t="s">
        <v>15</v>
      </c>
      <c r="G1023">
        <v>0.83599999999999997</v>
      </c>
      <c r="H1023">
        <v>18.641077840000001</v>
      </c>
      <c r="I1023" t="s">
        <v>8</v>
      </c>
      <c r="J1023">
        <v>0.40899999999999997</v>
      </c>
      <c r="K1023">
        <v>7.62420083656</v>
      </c>
      <c r="L1023" t="s">
        <v>35</v>
      </c>
      <c r="M1023">
        <v>0.33899999999999997</v>
      </c>
      <c r="N1023">
        <v>6.3193253877600002</v>
      </c>
    </row>
    <row r="1024" spans="1:14" x14ac:dyDescent="0.25">
      <c r="A1024" s="23">
        <v>44121</v>
      </c>
      <c r="B1024">
        <v>26.11</v>
      </c>
      <c r="C1024" t="s">
        <v>19</v>
      </c>
      <c r="D1024">
        <v>0.85400000000000009</v>
      </c>
      <c r="E1024">
        <v>22.297940000000001</v>
      </c>
      <c r="F1024" t="s">
        <v>15</v>
      </c>
      <c r="G1024">
        <v>0.83599999999999997</v>
      </c>
      <c r="H1024">
        <v>18.641077840000001</v>
      </c>
      <c r="I1024" t="s">
        <v>10</v>
      </c>
      <c r="J1024">
        <v>4.2000000000000003E-2</v>
      </c>
      <c r="K1024">
        <v>0.78292526928000006</v>
      </c>
      <c r="L1024" t="s">
        <v>36</v>
      </c>
      <c r="M1024">
        <v>0.21600000000000003</v>
      </c>
      <c r="N1024">
        <v>4.0264728134400007</v>
      </c>
    </row>
    <row r="1025" spans="1:14" x14ac:dyDescent="0.25">
      <c r="A1025" s="23">
        <v>44122</v>
      </c>
      <c r="B1025">
        <v>26.11</v>
      </c>
      <c r="C1025" t="s">
        <v>19</v>
      </c>
      <c r="D1025">
        <v>0.85400000000000009</v>
      </c>
      <c r="E1025">
        <v>22.297940000000001</v>
      </c>
      <c r="F1025" t="s">
        <v>15</v>
      </c>
      <c r="G1025">
        <v>0.83599999999999997</v>
      </c>
      <c r="H1025">
        <v>18.641077840000001</v>
      </c>
      <c r="I1025" t="s">
        <v>9</v>
      </c>
      <c r="J1025">
        <v>0.215</v>
      </c>
      <c r="K1025">
        <v>4.0078317355999999</v>
      </c>
      <c r="L1025" t="s">
        <v>37</v>
      </c>
      <c r="M1025">
        <v>8.4000000000000005E-2</v>
      </c>
      <c r="N1025">
        <v>1.5658505385600001</v>
      </c>
    </row>
    <row r="1026" spans="1:14" x14ac:dyDescent="0.25">
      <c r="A1026" s="23">
        <v>44123</v>
      </c>
      <c r="B1026">
        <v>26.11</v>
      </c>
      <c r="C1026" t="s">
        <v>19</v>
      </c>
      <c r="D1026">
        <v>0.85400000000000009</v>
      </c>
      <c r="E1026">
        <v>22.297940000000001</v>
      </c>
      <c r="F1026" t="s">
        <v>15</v>
      </c>
      <c r="G1026">
        <v>0.83599999999999997</v>
      </c>
      <c r="H1026">
        <v>18.641077840000001</v>
      </c>
      <c r="I1026" t="s">
        <v>55</v>
      </c>
      <c r="J1026">
        <v>3.7999999999999999E-2</v>
      </c>
      <c r="K1026">
        <v>0.70836095791999998</v>
      </c>
      <c r="L1026" t="s">
        <v>38</v>
      </c>
      <c r="M1026">
        <v>5.0000000000000001E-3</v>
      </c>
      <c r="N1026">
        <v>9.3205389200000002E-2</v>
      </c>
    </row>
    <row r="1027" spans="1:14" x14ac:dyDescent="0.25">
      <c r="A1027" s="23">
        <v>44124</v>
      </c>
      <c r="B1027">
        <v>26.11</v>
      </c>
      <c r="C1027" t="s">
        <v>19</v>
      </c>
      <c r="D1027">
        <v>0.85400000000000009</v>
      </c>
      <c r="E1027">
        <v>22.297940000000001</v>
      </c>
      <c r="F1027" t="s">
        <v>15</v>
      </c>
      <c r="G1027">
        <v>0.83599999999999997</v>
      </c>
      <c r="H1027">
        <v>18.641077840000001</v>
      </c>
      <c r="L1027" t="s">
        <v>39</v>
      </c>
      <c r="M1027">
        <v>0</v>
      </c>
      <c r="N1027">
        <v>0</v>
      </c>
    </row>
    <row r="1028" spans="1:14" x14ac:dyDescent="0.25">
      <c r="A1028" s="23">
        <v>44125</v>
      </c>
      <c r="B1028">
        <v>26.11</v>
      </c>
      <c r="C1028" t="s">
        <v>19</v>
      </c>
      <c r="D1028">
        <v>0.85400000000000009</v>
      </c>
      <c r="E1028">
        <v>22.297940000000001</v>
      </c>
      <c r="F1028" t="s">
        <v>53</v>
      </c>
      <c r="G1028">
        <v>0.84</v>
      </c>
      <c r="H1028">
        <v>18.7302696</v>
      </c>
      <c r="I1028" t="s">
        <v>11</v>
      </c>
      <c r="J1028">
        <v>0.13100000000000001</v>
      </c>
      <c r="K1028">
        <v>2.4536653176000001</v>
      </c>
      <c r="L1028" t="s">
        <v>32</v>
      </c>
      <c r="M1028">
        <v>5.2999999999999999E-2</v>
      </c>
      <c r="N1028">
        <v>0.99270428879999995</v>
      </c>
    </row>
    <row r="1029" spans="1:14" x14ac:dyDescent="0.25">
      <c r="A1029" s="23">
        <v>44126</v>
      </c>
      <c r="B1029">
        <v>26.11</v>
      </c>
      <c r="C1029" t="s">
        <v>19</v>
      </c>
      <c r="D1029">
        <v>0.85400000000000009</v>
      </c>
      <c r="E1029">
        <v>22.297940000000001</v>
      </c>
      <c r="F1029" t="s">
        <v>16</v>
      </c>
      <c r="G1029">
        <v>0.84</v>
      </c>
      <c r="H1029">
        <v>18.7302696</v>
      </c>
      <c r="I1029" t="s">
        <v>12</v>
      </c>
      <c r="J1029">
        <v>6.2E-2</v>
      </c>
      <c r="K1029">
        <v>1.1612767151999999</v>
      </c>
      <c r="L1029" t="s">
        <v>33</v>
      </c>
      <c r="M1029">
        <v>0.106</v>
      </c>
      <c r="N1029">
        <v>1.9854085775999999</v>
      </c>
    </row>
    <row r="1030" spans="1:14" x14ac:dyDescent="0.25">
      <c r="A1030" s="23">
        <v>44127</v>
      </c>
      <c r="B1030">
        <v>26.11</v>
      </c>
      <c r="C1030" t="s">
        <v>19</v>
      </c>
      <c r="D1030">
        <v>0.85400000000000009</v>
      </c>
      <c r="E1030">
        <v>22.297940000000001</v>
      </c>
      <c r="F1030" t="s">
        <v>16</v>
      </c>
      <c r="G1030">
        <v>0.84</v>
      </c>
      <c r="H1030">
        <v>18.7302696</v>
      </c>
      <c r="I1030" t="s">
        <v>7</v>
      </c>
      <c r="J1030">
        <v>0.16300000000000001</v>
      </c>
      <c r="K1030">
        <v>3.0530339448000001</v>
      </c>
      <c r="L1030" t="s">
        <v>34</v>
      </c>
      <c r="M1030">
        <v>0.17499999999999999</v>
      </c>
      <c r="N1030">
        <v>3.2777971799999999</v>
      </c>
    </row>
    <row r="1031" spans="1:14" x14ac:dyDescent="0.25">
      <c r="A1031" s="23">
        <v>44128</v>
      </c>
      <c r="B1031">
        <v>26.11</v>
      </c>
      <c r="C1031" t="s">
        <v>19</v>
      </c>
      <c r="D1031">
        <v>0.85400000000000009</v>
      </c>
      <c r="E1031">
        <v>22.297940000000001</v>
      </c>
      <c r="F1031" t="s">
        <v>16</v>
      </c>
      <c r="G1031">
        <v>0.84</v>
      </c>
      <c r="H1031">
        <v>18.7302696</v>
      </c>
      <c r="I1031" t="s">
        <v>8</v>
      </c>
      <c r="J1031">
        <v>0.35299999999999998</v>
      </c>
      <c r="K1031">
        <v>6.6117851687999991</v>
      </c>
      <c r="L1031" t="s">
        <v>35</v>
      </c>
      <c r="M1031">
        <v>0.27</v>
      </c>
      <c r="N1031">
        <v>5.0571727920000002</v>
      </c>
    </row>
    <row r="1032" spans="1:14" x14ac:dyDescent="0.25">
      <c r="A1032" s="23">
        <v>44129</v>
      </c>
      <c r="B1032">
        <v>26.11</v>
      </c>
      <c r="C1032" t="s">
        <v>19</v>
      </c>
      <c r="D1032">
        <v>0.85400000000000009</v>
      </c>
      <c r="E1032">
        <v>22.297940000000001</v>
      </c>
      <c r="F1032" t="s">
        <v>16</v>
      </c>
      <c r="G1032">
        <v>0.84</v>
      </c>
      <c r="H1032">
        <v>18.7302696</v>
      </c>
      <c r="I1032" t="s">
        <v>10</v>
      </c>
      <c r="J1032">
        <v>5.0999999999999997E-2</v>
      </c>
      <c r="K1032">
        <v>0.95524374959999991</v>
      </c>
      <c r="L1032" t="s">
        <v>36</v>
      </c>
      <c r="M1032">
        <v>0.222</v>
      </c>
      <c r="N1032">
        <v>4.1581198512000004</v>
      </c>
    </row>
    <row r="1033" spans="1:14" x14ac:dyDescent="0.25">
      <c r="A1033" s="23">
        <v>44130</v>
      </c>
      <c r="B1033">
        <v>26.11</v>
      </c>
      <c r="C1033" t="s">
        <v>19</v>
      </c>
      <c r="D1033">
        <v>0.85400000000000009</v>
      </c>
      <c r="E1033">
        <v>22.297940000000001</v>
      </c>
      <c r="F1033" t="s">
        <v>16</v>
      </c>
      <c r="G1033">
        <v>0.84</v>
      </c>
      <c r="H1033">
        <v>18.7302696</v>
      </c>
      <c r="I1033" t="s">
        <v>9</v>
      </c>
      <c r="J1033">
        <v>0.218</v>
      </c>
      <c r="K1033">
        <v>4.0831987728000003</v>
      </c>
      <c r="L1033" t="s">
        <v>37</v>
      </c>
      <c r="M1033">
        <v>0.14599999999999999</v>
      </c>
      <c r="N1033">
        <v>2.7346193615999996</v>
      </c>
    </row>
    <row r="1034" spans="1:14" x14ac:dyDescent="0.25">
      <c r="A1034" s="23">
        <v>44131</v>
      </c>
      <c r="B1034">
        <v>26.11</v>
      </c>
      <c r="C1034" t="s">
        <v>19</v>
      </c>
      <c r="D1034">
        <v>0.85400000000000009</v>
      </c>
      <c r="E1034">
        <v>22.297940000000001</v>
      </c>
      <c r="F1034" t="s">
        <v>16</v>
      </c>
      <c r="G1034">
        <v>0.84</v>
      </c>
      <c r="H1034">
        <v>18.7302696</v>
      </c>
      <c r="I1034" t="s">
        <v>55</v>
      </c>
      <c r="J1034">
        <v>2.3E-2</v>
      </c>
      <c r="K1034">
        <v>0.43079620079999997</v>
      </c>
      <c r="L1034" t="s">
        <v>38</v>
      </c>
      <c r="M1034">
        <v>1.4999999999999999E-2</v>
      </c>
      <c r="N1034">
        <v>0.28095404399999996</v>
      </c>
    </row>
    <row r="1035" spans="1:14" x14ac:dyDescent="0.25">
      <c r="A1035" s="23">
        <v>44132</v>
      </c>
      <c r="B1035">
        <v>26.11</v>
      </c>
      <c r="C1035" t="s">
        <v>19</v>
      </c>
      <c r="D1035">
        <v>0.85400000000000009</v>
      </c>
      <c r="E1035">
        <v>22.297940000000001</v>
      </c>
      <c r="F1035" t="s">
        <v>16</v>
      </c>
      <c r="G1035">
        <v>0.84</v>
      </c>
      <c r="H1035">
        <v>18.7302696</v>
      </c>
      <c r="L1035" t="s">
        <v>39</v>
      </c>
      <c r="M1035">
        <v>1.3000000000000001E-2</v>
      </c>
      <c r="N1035">
        <v>0.24349350480000001</v>
      </c>
    </row>
    <row r="1036" spans="1:14" x14ac:dyDescent="0.25">
      <c r="A1036" s="23">
        <v>44133</v>
      </c>
      <c r="B1036">
        <v>26.11</v>
      </c>
      <c r="C1036" t="s">
        <v>19</v>
      </c>
      <c r="D1036">
        <v>0.85400000000000009</v>
      </c>
      <c r="E1036">
        <v>22.297940000000001</v>
      </c>
      <c r="F1036" t="s">
        <v>51</v>
      </c>
      <c r="G1036">
        <v>0.84799999999999998</v>
      </c>
      <c r="H1036">
        <v>18.90865312</v>
      </c>
      <c r="I1036" t="s">
        <v>11</v>
      </c>
      <c r="J1036">
        <v>0.16200000000000001</v>
      </c>
      <c r="K1036">
        <v>3.0632018054400003</v>
      </c>
      <c r="L1036" t="s">
        <v>32</v>
      </c>
      <c r="M1036">
        <v>5.5999999999999994E-2</v>
      </c>
      <c r="N1036">
        <v>1.05888457472</v>
      </c>
    </row>
    <row r="1037" spans="1:14" x14ac:dyDescent="0.25">
      <c r="A1037" s="23">
        <v>44134</v>
      </c>
      <c r="B1037">
        <v>26.11</v>
      </c>
      <c r="C1037" t="s">
        <v>19</v>
      </c>
      <c r="D1037">
        <v>0.85400000000000009</v>
      </c>
      <c r="E1037">
        <v>22.297940000000001</v>
      </c>
      <c r="F1037" t="s">
        <v>13</v>
      </c>
      <c r="G1037">
        <v>0.84799999999999998</v>
      </c>
      <c r="H1037">
        <v>18.90865312</v>
      </c>
      <c r="I1037" t="s">
        <v>12</v>
      </c>
      <c r="J1037">
        <v>9.6000000000000002E-2</v>
      </c>
      <c r="K1037">
        <v>1.81523069952</v>
      </c>
      <c r="L1037" t="s">
        <v>33</v>
      </c>
      <c r="M1037">
        <v>0.11699999999999999</v>
      </c>
      <c r="N1037">
        <v>2.21231241504</v>
      </c>
    </row>
    <row r="1038" spans="1:14" x14ac:dyDescent="0.25">
      <c r="A1038" s="23">
        <v>44135</v>
      </c>
      <c r="B1038">
        <v>26.11</v>
      </c>
      <c r="C1038" t="s">
        <v>19</v>
      </c>
      <c r="D1038">
        <v>0.85400000000000009</v>
      </c>
      <c r="E1038">
        <v>22.297940000000001</v>
      </c>
      <c r="F1038" t="s">
        <v>13</v>
      </c>
      <c r="G1038">
        <v>0.84799999999999998</v>
      </c>
      <c r="H1038">
        <v>18.90865312</v>
      </c>
      <c r="I1038" t="s">
        <v>7</v>
      </c>
      <c r="J1038">
        <v>0.17699999999999999</v>
      </c>
      <c r="K1038">
        <v>3.34683160224</v>
      </c>
      <c r="L1038" t="s">
        <v>34</v>
      </c>
      <c r="M1038">
        <v>0.16600000000000001</v>
      </c>
      <c r="N1038">
        <v>3.1388364179200003</v>
      </c>
    </row>
    <row r="1039" spans="1:14" x14ac:dyDescent="0.25">
      <c r="A1039" s="23">
        <v>44136</v>
      </c>
      <c r="B1039">
        <v>26.11</v>
      </c>
      <c r="C1039" t="s">
        <v>19</v>
      </c>
      <c r="D1039">
        <v>0.85400000000000009</v>
      </c>
      <c r="E1039">
        <v>22.297940000000001</v>
      </c>
      <c r="F1039" t="s">
        <v>13</v>
      </c>
      <c r="G1039">
        <v>0.84799999999999998</v>
      </c>
      <c r="H1039">
        <v>18.90865312</v>
      </c>
      <c r="I1039" t="s">
        <v>8</v>
      </c>
      <c r="J1039">
        <v>0.374</v>
      </c>
      <c r="K1039">
        <v>7.0718362668800001</v>
      </c>
      <c r="L1039" t="s">
        <v>35</v>
      </c>
      <c r="M1039">
        <v>0.26500000000000001</v>
      </c>
      <c r="N1039">
        <v>5.0107930768000006</v>
      </c>
    </row>
    <row r="1040" spans="1:14" x14ac:dyDescent="0.25">
      <c r="A1040" s="23">
        <v>44137</v>
      </c>
      <c r="B1040">
        <v>26.11</v>
      </c>
      <c r="C1040" t="s">
        <v>19</v>
      </c>
      <c r="D1040">
        <v>0.85400000000000009</v>
      </c>
      <c r="E1040">
        <v>22.297940000000001</v>
      </c>
      <c r="F1040" t="s">
        <v>13</v>
      </c>
      <c r="G1040">
        <v>0.84799999999999998</v>
      </c>
      <c r="H1040">
        <v>18.90865312</v>
      </c>
      <c r="I1040" t="s">
        <v>10</v>
      </c>
      <c r="J1040">
        <v>2.8999999999999998E-2</v>
      </c>
      <c r="K1040">
        <v>0.54835094047999999</v>
      </c>
      <c r="L1040" t="s">
        <v>36</v>
      </c>
      <c r="M1040">
        <v>0.19899999999999998</v>
      </c>
      <c r="N1040">
        <v>3.7628219708799997</v>
      </c>
    </row>
    <row r="1041" spans="1:14" x14ac:dyDescent="0.25">
      <c r="A1041" s="23">
        <v>44138</v>
      </c>
      <c r="B1041">
        <v>26.11</v>
      </c>
      <c r="C1041" t="s">
        <v>19</v>
      </c>
      <c r="D1041">
        <v>0.85400000000000009</v>
      </c>
      <c r="E1041">
        <v>22.297940000000001</v>
      </c>
      <c r="F1041" t="s">
        <v>13</v>
      </c>
      <c r="G1041">
        <v>0.84799999999999998</v>
      </c>
      <c r="H1041">
        <v>18.90865312</v>
      </c>
      <c r="I1041" t="s">
        <v>9</v>
      </c>
      <c r="J1041">
        <v>0.13100000000000001</v>
      </c>
      <c r="K1041">
        <v>2.4770335587200001</v>
      </c>
      <c r="L1041" t="s">
        <v>37</v>
      </c>
      <c r="M1041">
        <v>0.151</v>
      </c>
      <c r="N1041">
        <v>2.8552066211199998</v>
      </c>
    </row>
    <row r="1042" spans="1:14" x14ac:dyDescent="0.25">
      <c r="A1042" s="23">
        <v>44139</v>
      </c>
      <c r="B1042">
        <v>26.11</v>
      </c>
      <c r="C1042" t="s">
        <v>19</v>
      </c>
      <c r="D1042">
        <v>0.85400000000000009</v>
      </c>
      <c r="E1042">
        <v>22.297940000000001</v>
      </c>
      <c r="F1042" t="s">
        <v>13</v>
      </c>
      <c r="G1042">
        <v>0.84799999999999998</v>
      </c>
      <c r="H1042">
        <v>18.90865312</v>
      </c>
      <c r="I1042" t="s">
        <v>55</v>
      </c>
      <c r="J1042">
        <v>3.2000000000000001E-2</v>
      </c>
      <c r="K1042">
        <v>0.60507689984000002</v>
      </c>
      <c r="L1042" t="s">
        <v>38</v>
      </c>
      <c r="M1042">
        <v>0.03</v>
      </c>
      <c r="N1042">
        <v>0.5672595936</v>
      </c>
    </row>
    <row r="1043" spans="1:14" x14ac:dyDescent="0.25">
      <c r="A1043" s="23">
        <v>44140</v>
      </c>
      <c r="B1043">
        <v>26.11</v>
      </c>
      <c r="C1043" t="s">
        <v>19</v>
      </c>
      <c r="D1043">
        <v>0.85400000000000009</v>
      </c>
      <c r="E1043">
        <v>22.297940000000001</v>
      </c>
      <c r="F1043" t="s">
        <v>13</v>
      </c>
      <c r="G1043">
        <v>0.84799999999999998</v>
      </c>
      <c r="H1043">
        <v>18.90865312</v>
      </c>
      <c r="L1043" t="s">
        <v>39</v>
      </c>
      <c r="M1043">
        <v>1.6E-2</v>
      </c>
      <c r="N1043">
        <v>0.30253844992000001</v>
      </c>
    </row>
    <row r="1044" spans="1:14" x14ac:dyDescent="0.25">
      <c r="A1044" s="23">
        <v>44141</v>
      </c>
      <c r="B1044">
        <v>26.11</v>
      </c>
      <c r="C1044" t="s">
        <v>19</v>
      </c>
      <c r="D1044">
        <v>0.85400000000000009</v>
      </c>
      <c r="E1044">
        <v>22.297940000000001</v>
      </c>
      <c r="F1044" t="s">
        <v>50</v>
      </c>
      <c r="G1044">
        <v>0.93900000000000006</v>
      </c>
      <c r="H1044">
        <v>20.93776566</v>
      </c>
      <c r="I1044" t="s">
        <v>11</v>
      </c>
      <c r="J1044">
        <v>0.10099999999999999</v>
      </c>
      <c r="K1044">
        <v>2.1147143316599997</v>
      </c>
      <c r="L1044" t="s">
        <v>32</v>
      </c>
      <c r="M1044">
        <v>0</v>
      </c>
      <c r="N1044">
        <v>0</v>
      </c>
    </row>
    <row r="1045" spans="1:14" x14ac:dyDescent="0.25">
      <c r="A1045" s="23">
        <v>44142</v>
      </c>
      <c r="B1045">
        <v>26.11</v>
      </c>
      <c r="C1045" t="s">
        <v>19</v>
      </c>
      <c r="D1045">
        <v>0.85400000000000009</v>
      </c>
      <c r="E1045">
        <v>22.297940000000001</v>
      </c>
      <c r="F1045" t="s">
        <v>17</v>
      </c>
      <c r="G1045">
        <v>0.93900000000000006</v>
      </c>
      <c r="H1045">
        <v>20.93776566</v>
      </c>
      <c r="I1045" t="s">
        <v>12</v>
      </c>
      <c r="J1045">
        <v>0.13900000000000001</v>
      </c>
      <c r="K1045">
        <v>2.9103494267400003</v>
      </c>
      <c r="L1045" t="s">
        <v>33</v>
      </c>
      <c r="M1045">
        <v>0.111</v>
      </c>
      <c r="N1045">
        <v>2.3240919882600002</v>
      </c>
    </row>
    <row r="1046" spans="1:14" x14ac:dyDescent="0.25">
      <c r="A1046" s="23">
        <v>44143</v>
      </c>
      <c r="B1046">
        <v>26.11</v>
      </c>
      <c r="C1046" t="s">
        <v>19</v>
      </c>
      <c r="D1046">
        <v>0.85400000000000009</v>
      </c>
      <c r="E1046">
        <v>22.297940000000001</v>
      </c>
      <c r="F1046" t="s">
        <v>17</v>
      </c>
      <c r="G1046">
        <v>0.93900000000000006</v>
      </c>
      <c r="H1046">
        <v>20.93776566</v>
      </c>
      <c r="I1046" t="s">
        <v>7</v>
      </c>
      <c r="J1046">
        <v>0.23</v>
      </c>
      <c r="K1046">
        <v>4.8156861017999999</v>
      </c>
      <c r="L1046" t="s">
        <v>34</v>
      </c>
      <c r="M1046">
        <v>0.23600000000000002</v>
      </c>
      <c r="N1046">
        <v>4.9413126957600007</v>
      </c>
    </row>
    <row r="1047" spans="1:14" x14ac:dyDescent="0.25">
      <c r="A1047" s="23">
        <v>44144</v>
      </c>
      <c r="B1047">
        <v>26.11</v>
      </c>
      <c r="C1047" t="s">
        <v>19</v>
      </c>
      <c r="D1047">
        <v>0.85400000000000009</v>
      </c>
      <c r="E1047">
        <v>22.297940000000001</v>
      </c>
      <c r="F1047" t="s">
        <v>17</v>
      </c>
      <c r="G1047">
        <v>0.93900000000000006</v>
      </c>
      <c r="H1047">
        <v>20.93776566</v>
      </c>
      <c r="I1047" t="s">
        <v>8</v>
      </c>
      <c r="J1047">
        <v>0.37</v>
      </c>
      <c r="K1047">
        <v>7.7469732942</v>
      </c>
      <c r="L1047" t="s">
        <v>35</v>
      </c>
      <c r="M1047">
        <v>0.32</v>
      </c>
      <c r="N1047">
        <v>6.7000850112000006</v>
      </c>
    </row>
    <row r="1048" spans="1:14" x14ac:dyDescent="0.25">
      <c r="A1048" s="23">
        <v>44145</v>
      </c>
      <c r="B1048">
        <v>26.11</v>
      </c>
      <c r="C1048" t="s">
        <v>19</v>
      </c>
      <c r="D1048">
        <v>0.85400000000000009</v>
      </c>
      <c r="E1048">
        <v>22.297940000000001</v>
      </c>
      <c r="F1048" t="s">
        <v>17</v>
      </c>
      <c r="G1048">
        <v>0.93900000000000006</v>
      </c>
      <c r="H1048">
        <v>20.93776566</v>
      </c>
      <c r="I1048" t="s">
        <v>10</v>
      </c>
      <c r="J1048">
        <v>0.02</v>
      </c>
      <c r="K1048">
        <v>0.41875531320000003</v>
      </c>
      <c r="L1048" t="s">
        <v>36</v>
      </c>
      <c r="M1048">
        <v>0.19600000000000001</v>
      </c>
      <c r="N1048">
        <v>6.7000850112000006</v>
      </c>
    </row>
    <row r="1049" spans="1:14" x14ac:dyDescent="0.25">
      <c r="A1049" s="23">
        <v>44146</v>
      </c>
      <c r="B1049">
        <v>26.11</v>
      </c>
      <c r="C1049" t="s">
        <v>19</v>
      </c>
      <c r="D1049">
        <v>0.85400000000000009</v>
      </c>
      <c r="E1049">
        <v>22.297940000000001</v>
      </c>
      <c r="F1049" t="s">
        <v>17</v>
      </c>
      <c r="G1049">
        <v>0.93900000000000006</v>
      </c>
      <c r="H1049">
        <v>20.93776566</v>
      </c>
      <c r="I1049" t="s">
        <v>9</v>
      </c>
      <c r="J1049">
        <v>0.106</v>
      </c>
      <c r="K1049">
        <v>2.2194031599600001</v>
      </c>
      <c r="L1049" t="s">
        <v>37</v>
      </c>
      <c r="M1049">
        <v>0.10400000000000001</v>
      </c>
      <c r="N1049">
        <v>4.1038020693600004</v>
      </c>
    </row>
    <row r="1050" spans="1:14" x14ac:dyDescent="0.25">
      <c r="A1050" s="23">
        <v>44147</v>
      </c>
      <c r="B1050">
        <v>26.11</v>
      </c>
      <c r="C1050" t="s">
        <v>19</v>
      </c>
      <c r="D1050">
        <v>0.85400000000000009</v>
      </c>
      <c r="E1050">
        <v>22.297940000000001</v>
      </c>
      <c r="F1050" t="s">
        <v>17</v>
      </c>
      <c r="G1050">
        <v>0.93900000000000006</v>
      </c>
      <c r="H1050">
        <v>20.93776566</v>
      </c>
      <c r="I1050" t="s">
        <v>55</v>
      </c>
      <c r="J1050">
        <v>3.5000000000000003E-2</v>
      </c>
      <c r="K1050">
        <v>0.73282179810000003</v>
      </c>
      <c r="L1050" t="s">
        <v>38</v>
      </c>
      <c r="M1050">
        <v>3.4000000000000002E-2</v>
      </c>
      <c r="N1050">
        <v>2.17752762864</v>
      </c>
    </row>
    <row r="1051" spans="1:14" x14ac:dyDescent="0.25">
      <c r="A1051" s="23">
        <v>44148</v>
      </c>
      <c r="B1051">
        <v>26.11</v>
      </c>
      <c r="C1051" t="s">
        <v>19</v>
      </c>
      <c r="D1051">
        <v>0.85400000000000009</v>
      </c>
      <c r="E1051">
        <v>22.297940000000001</v>
      </c>
      <c r="F1051" t="s">
        <v>17</v>
      </c>
      <c r="G1051">
        <v>0.93900000000000006</v>
      </c>
      <c r="H1051">
        <v>20.93776566</v>
      </c>
      <c r="L1051" t="s">
        <v>39</v>
      </c>
      <c r="M1051">
        <v>0</v>
      </c>
      <c r="N1051">
        <v>0.71188403244000009</v>
      </c>
    </row>
    <row r="1052" spans="1:14" x14ac:dyDescent="0.25">
      <c r="A1052" s="23">
        <v>44149</v>
      </c>
      <c r="B1052">
        <v>26.11</v>
      </c>
      <c r="C1052" t="s">
        <v>19</v>
      </c>
      <c r="D1052">
        <v>0.85400000000000009</v>
      </c>
      <c r="E1052">
        <v>22.297940000000001</v>
      </c>
      <c r="F1052" t="s">
        <v>49</v>
      </c>
      <c r="G1052">
        <v>0.91500000000000004</v>
      </c>
      <c r="H1052">
        <v>20.402615100000002</v>
      </c>
      <c r="I1052" t="s">
        <v>11</v>
      </c>
      <c r="J1052">
        <v>0.21600000000000003</v>
      </c>
      <c r="K1052">
        <v>4.4069648616000006</v>
      </c>
      <c r="L1052" t="s">
        <v>32</v>
      </c>
      <c r="M1052">
        <v>8.199999999999999E-2</v>
      </c>
      <c r="N1052">
        <v>1.6730144381999998</v>
      </c>
    </row>
    <row r="1053" spans="1:14" x14ac:dyDescent="0.25">
      <c r="A1053" s="23">
        <v>44150</v>
      </c>
      <c r="B1053">
        <v>26.11</v>
      </c>
      <c r="C1053" t="s">
        <v>19</v>
      </c>
      <c r="D1053">
        <v>0.85400000000000009</v>
      </c>
      <c r="E1053">
        <v>22.297940000000001</v>
      </c>
      <c r="F1053" t="s">
        <v>18</v>
      </c>
      <c r="G1053">
        <v>0.91500000000000004</v>
      </c>
      <c r="H1053">
        <v>20.402615100000002</v>
      </c>
      <c r="I1053" t="s">
        <v>12</v>
      </c>
      <c r="J1053">
        <v>9.3000000000000013E-2</v>
      </c>
      <c r="K1053">
        <v>1.8974432043000005</v>
      </c>
      <c r="L1053" t="s">
        <v>33</v>
      </c>
      <c r="M1053">
        <v>0.13900000000000001</v>
      </c>
      <c r="N1053">
        <v>2.8359634989000004</v>
      </c>
    </row>
    <row r="1054" spans="1:14" x14ac:dyDescent="0.25">
      <c r="A1054" s="23">
        <v>44151</v>
      </c>
      <c r="B1054">
        <v>26.11</v>
      </c>
      <c r="C1054" t="s">
        <v>19</v>
      </c>
      <c r="D1054">
        <v>0.85400000000000009</v>
      </c>
      <c r="E1054">
        <v>22.297940000000001</v>
      </c>
      <c r="F1054" t="s">
        <v>18</v>
      </c>
      <c r="G1054">
        <v>0.91500000000000004</v>
      </c>
      <c r="H1054">
        <v>20.402615100000002</v>
      </c>
      <c r="I1054" t="s">
        <v>7</v>
      </c>
      <c r="J1054">
        <v>0.191</v>
      </c>
      <c r="K1054">
        <v>3.8968994841000004</v>
      </c>
      <c r="L1054" t="s">
        <v>34</v>
      </c>
      <c r="M1054">
        <v>0.159</v>
      </c>
      <c r="N1054">
        <v>3.2440158009000002</v>
      </c>
    </row>
    <row r="1055" spans="1:14" x14ac:dyDescent="0.25">
      <c r="A1055" s="23">
        <v>44152</v>
      </c>
      <c r="B1055">
        <v>26.11</v>
      </c>
      <c r="C1055" t="s">
        <v>19</v>
      </c>
      <c r="D1055">
        <v>0.85400000000000009</v>
      </c>
      <c r="E1055">
        <v>22.297940000000001</v>
      </c>
      <c r="F1055" t="s">
        <v>18</v>
      </c>
      <c r="G1055">
        <v>0.91500000000000004</v>
      </c>
      <c r="H1055">
        <v>20.402615100000002</v>
      </c>
      <c r="I1055" t="s">
        <v>8</v>
      </c>
      <c r="J1055">
        <v>0.36200000000000004</v>
      </c>
      <c r="K1055">
        <v>7.385746666200002</v>
      </c>
      <c r="L1055" t="s">
        <v>35</v>
      </c>
      <c r="M1055">
        <v>0.253</v>
      </c>
      <c r="N1055">
        <v>5.1618616203000007</v>
      </c>
    </row>
    <row r="1056" spans="1:14" x14ac:dyDescent="0.25">
      <c r="A1056" s="23">
        <v>44153</v>
      </c>
      <c r="B1056">
        <v>26.11</v>
      </c>
      <c r="C1056" t="s">
        <v>19</v>
      </c>
      <c r="D1056">
        <v>0.85400000000000009</v>
      </c>
      <c r="E1056">
        <v>22.297940000000001</v>
      </c>
      <c r="F1056" t="s">
        <v>18</v>
      </c>
      <c r="G1056">
        <v>0.91500000000000004</v>
      </c>
      <c r="H1056">
        <v>20.402615100000002</v>
      </c>
      <c r="I1056" t="s">
        <v>10</v>
      </c>
      <c r="J1056">
        <v>2.5000000000000001E-2</v>
      </c>
      <c r="K1056">
        <v>0.51006537750000003</v>
      </c>
      <c r="L1056" t="s">
        <v>36</v>
      </c>
      <c r="M1056">
        <v>0.182</v>
      </c>
      <c r="N1056">
        <v>3.7132759482000002</v>
      </c>
    </row>
    <row r="1057" spans="1:14" x14ac:dyDescent="0.25">
      <c r="A1057" s="23">
        <v>44154</v>
      </c>
      <c r="B1057">
        <v>26.11</v>
      </c>
      <c r="C1057" t="s">
        <v>19</v>
      </c>
      <c r="D1057">
        <v>0.85400000000000009</v>
      </c>
      <c r="E1057">
        <v>22.297940000000001</v>
      </c>
      <c r="F1057" t="s">
        <v>18</v>
      </c>
      <c r="G1057">
        <v>0.91500000000000004</v>
      </c>
      <c r="H1057">
        <v>20.402615100000002</v>
      </c>
      <c r="I1057" t="s">
        <v>9</v>
      </c>
      <c r="J1057">
        <v>8.8000000000000009E-2</v>
      </c>
      <c r="K1057">
        <v>1.7954301288000003</v>
      </c>
      <c r="L1057" t="s">
        <v>37</v>
      </c>
      <c r="M1057">
        <v>0.13900000000000001</v>
      </c>
      <c r="N1057">
        <v>2.8359634989000004</v>
      </c>
    </row>
    <row r="1058" spans="1:14" x14ac:dyDescent="0.25">
      <c r="A1058" s="23">
        <v>44155</v>
      </c>
      <c r="B1058">
        <v>26.11</v>
      </c>
      <c r="C1058" t="s">
        <v>19</v>
      </c>
      <c r="D1058">
        <v>0.85400000000000009</v>
      </c>
      <c r="E1058">
        <v>22.297940000000001</v>
      </c>
      <c r="F1058" t="s">
        <v>18</v>
      </c>
      <c r="G1058">
        <v>0.91500000000000004</v>
      </c>
      <c r="H1058">
        <v>20.402615100000002</v>
      </c>
      <c r="I1058" t="s">
        <v>55</v>
      </c>
      <c r="J1058">
        <v>2.5000000000000001E-2</v>
      </c>
      <c r="K1058">
        <v>0.51006537750000003</v>
      </c>
      <c r="L1058" t="s">
        <v>38</v>
      </c>
      <c r="M1058">
        <v>2.7000000000000003E-2</v>
      </c>
      <c r="N1058">
        <v>0.55087060770000007</v>
      </c>
    </row>
    <row r="1059" spans="1:14" x14ac:dyDescent="0.25">
      <c r="A1059" s="23">
        <v>44156</v>
      </c>
      <c r="B1059">
        <v>26.11</v>
      </c>
      <c r="C1059" t="s">
        <v>19</v>
      </c>
      <c r="D1059">
        <v>0.85400000000000009</v>
      </c>
      <c r="E1059">
        <v>22.297940000000001</v>
      </c>
      <c r="F1059" t="s">
        <v>18</v>
      </c>
      <c r="G1059">
        <v>0.91500000000000004</v>
      </c>
      <c r="H1059">
        <v>20.402615100000002</v>
      </c>
      <c r="L1059" t="s">
        <v>39</v>
      </c>
      <c r="M1059">
        <v>1.8000000000000002E-2</v>
      </c>
      <c r="N1059">
        <v>0.3672470718000001</v>
      </c>
    </row>
    <row r="1060" spans="1:14" x14ac:dyDescent="0.25">
      <c r="A1060" s="23">
        <v>44157</v>
      </c>
      <c r="B1060">
        <v>27.798999999999999</v>
      </c>
      <c r="C1060" t="s">
        <v>2</v>
      </c>
      <c r="D1060">
        <v>0.161</v>
      </c>
      <c r="E1060">
        <v>4.4756390000000001</v>
      </c>
      <c r="F1060" t="s">
        <v>14</v>
      </c>
      <c r="G1060">
        <v>0.18600000000000003</v>
      </c>
      <c r="H1060">
        <v>0.83246885400000015</v>
      </c>
      <c r="I1060" t="s">
        <v>11</v>
      </c>
      <c r="J1060">
        <v>0.11199999999999999</v>
      </c>
      <c r="K1060">
        <v>9.3236511648000009E-2</v>
      </c>
      <c r="L1060" t="s">
        <v>32</v>
      </c>
      <c r="M1060">
        <v>3.5000000000000003E-2</v>
      </c>
      <c r="N1060">
        <v>2.9136409890000006E-2</v>
      </c>
    </row>
    <row r="1061" spans="1:14" x14ac:dyDescent="0.25">
      <c r="A1061" s="23">
        <v>44158</v>
      </c>
      <c r="B1061">
        <v>27.798999999999999</v>
      </c>
      <c r="C1061" t="s">
        <v>2</v>
      </c>
      <c r="D1061">
        <v>0.161</v>
      </c>
      <c r="E1061">
        <v>4.4756390000000001</v>
      </c>
      <c r="F1061" t="s">
        <v>43</v>
      </c>
      <c r="G1061">
        <v>0.18600000000000003</v>
      </c>
      <c r="H1061">
        <v>0.83246885400000015</v>
      </c>
      <c r="I1061" t="s">
        <v>12</v>
      </c>
      <c r="J1061">
        <v>2.5000000000000001E-2</v>
      </c>
      <c r="K1061">
        <v>2.0811721350000006E-2</v>
      </c>
      <c r="L1061" t="s">
        <v>33</v>
      </c>
      <c r="M1061">
        <v>8.3000000000000004E-2</v>
      </c>
      <c r="N1061">
        <v>6.9094914882000022E-2</v>
      </c>
    </row>
    <row r="1062" spans="1:14" x14ac:dyDescent="0.25">
      <c r="A1062" s="23">
        <v>44159</v>
      </c>
      <c r="B1062">
        <v>27.798999999999999</v>
      </c>
      <c r="C1062" t="s">
        <v>2</v>
      </c>
      <c r="D1062">
        <v>0.161</v>
      </c>
      <c r="E1062">
        <v>4.4756390000000001</v>
      </c>
      <c r="F1062" t="s">
        <v>14</v>
      </c>
      <c r="G1062">
        <v>0.18600000000000003</v>
      </c>
      <c r="H1062">
        <v>0.83246885400000015</v>
      </c>
      <c r="I1062" t="s">
        <v>7</v>
      </c>
      <c r="J1062">
        <v>7.2999999999999995E-2</v>
      </c>
      <c r="K1062">
        <v>6.0770226342000008E-2</v>
      </c>
      <c r="L1062" t="s">
        <v>34</v>
      </c>
      <c r="M1062">
        <v>0.151</v>
      </c>
      <c r="N1062">
        <v>0.12570279695400002</v>
      </c>
    </row>
    <row r="1063" spans="1:14" x14ac:dyDescent="0.25">
      <c r="A1063" s="23">
        <v>44160</v>
      </c>
      <c r="B1063">
        <v>27.798999999999999</v>
      </c>
      <c r="C1063" t="s">
        <v>2</v>
      </c>
      <c r="D1063">
        <v>0.161</v>
      </c>
      <c r="E1063">
        <v>4.4756390000000001</v>
      </c>
      <c r="F1063" t="s">
        <v>14</v>
      </c>
      <c r="G1063">
        <v>0.18600000000000003</v>
      </c>
      <c r="H1063">
        <v>0.83246885400000015</v>
      </c>
      <c r="I1063" t="s">
        <v>8</v>
      </c>
      <c r="J1063">
        <v>0.29299999999999998</v>
      </c>
      <c r="K1063">
        <v>0.24391337422200002</v>
      </c>
      <c r="L1063" t="s">
        <v>35</v>
      </c>
      <c r="M1063">
        <v>0.22500000000000001</v>
      </c>
      <c r="N1063">
        <v>0.18730549215000003</v>
      </c>
    </row>
    <row r="1064" spans="1:14" x14ac:dyDescent="0.25">
      <c r="A1064" s="23">
        <v>44161</v>
      </c>
      <c r="B1064">
        <v>27.798999999999999</v>
      </c>
      <c r="C1064" t="s">
        <v>2</v>
      </c>
      <c r="D1064">
        <v>0.161</v>
      </c>
      <c r="E1064">
        <v>4.4756390000000001</v>
      </c>
      <c r="F1064" t="s">
        <v>14</v>
      </c>
      <c r="G1064">
        <v>0.18600000000000003</v>
      </c>
      <c r="H1064">
        <v>0.83246885400000015</v>
      </c>
      <c r="I1064" t="s">
        <v>10</v>
      </c>
      <c r="J1064">
        <v>8.900000000000001E-2</v>
      </c>
      <c r="K1064">
        <v>7.4089728006000027E-2</v>
      </c>
      <c r="L1064" t="s">
        <v>36</v>
      </c>
      <c r="M1064">
        <v>0.26600000000000001</v>
      </c>
      <c r="N1064">
        <v>0.22143671516400004</v>
      </c>
    </row>
    <row r="1065" spans="1:14" x14ac:dyDescent="0.25">
      <c r="A1065" s="23">
        <v>44162</v>
      </c>
      <c r="B1065">
        <v>27.798999999999999</v>
      </c>
      <c r="C1065" t="s">
        <v>2</v>
      </c>
      <c r="D1065">
        <v>0.161</v>
      </c>
      <c r="E1065">
        <v>4.4756390000000001</v>
      </c>
      <c r="F1065" t="s">
        <v>14</v>
      </c>
      <c r="G1065">
        <v>0.18600000000000003</v>
      </c>
      <c r="H1065">
        <v>0.83246885400000015</v>
      </c>
      <c r="I1065" t="s">
        <v>9</v>
      </c>
      <c r="J1065">
        <v>0.39600000000000002</v>
      </c>
      <c r="K1065">
        <v>0.32965766618400005</v>
      </c>
      <c r="L1065" t="s">
        <v>37</v>
      </c>
      <c r="M1065">
        <v>0.222</v>
      </c>
      <c r="N1065">
        <v>0.18480808558800005</v>
      </c>
    </row>
    <row r="1066" spans="1:14" x14ac:dyDescent="0.25">
      <c r="A1066" s="23">
        <v>44163</v>
      </c>
      <c r="B1066">
        <v>27.798999999999999</v>
      </c>
      <c r="C1066" t="s">
        <v>2</v>
      </c>
      <c r="D1066">
        <v>0.161</v>
      </c>
      <c r="E1066">
        <v>4.4756390000000001</v>
      </c>
      <c r="F1066" t="s">
        <v>14</v>
      </c>
      <c r="G1066">
        <v>0.18600000000000003</v>
      </c>
      <c r="H1066">
        <v>0.83246885400000015</v>
      </c>
      <c r="I1066" t="s">
        <v>55</v>
      </c>
      <c r="J1066">
        <v>1.2E-2</v>
      </c>
      <c r="K1066">
        <v>9.9896262480000022E-3</v>
      </c>
      <c r="L1066" t="s">
        <v>38</v>
      </c>
      <c r="M1066">
        <v>1.3000000000000001E-2</v>
      </c>
      <c r="N1066">
        <v>1.0822095102000003E-2</v>
      </c>
    </row>
    <row r="1067" spans="1:14" x14ac:dyDescent="0.25">
      <c r="A1067" s="23">
        <v>44164</v>
      </c>
      <c r="B1067">
        <v>27.798999999999999</v>
      </c>
      <c r="C1067" t="s">
        <v>2</v>
      </c>
      <c r="D1067">
        <v>0.161</v>
      </c>
      <c r="E1067">
        <v>4.4756390000000001</v>
      </c>
      <c r="F1067" t="s">
        <v>14</v>
      </c>
      <c r="G1067">
        <v>0.18600000000000003</v>
      </c>
      <c r="H1067">
        <v>0.83246885400000015</v>
      </c>
      <c r="L1067" t="s">
        <v>39</v>
      </c>
      <c r="M1067">
        <v>5.0000000000000001E-3</v>
      </c>
      <c r="N1067">
        <v>4.1623442700000008E-3</v>
      </c>
    </row>
    <row r="1068" spans="1:14" x14ac:dyDescent="0.25">
      <c r="A1068" s="23">
        <v>44165</v>
      </c>
      <c r="B1068">
        <v>27.798999999999999</v>
      </c>
      <c r="C1068" t="s">
        <v>2</v>
      </c>
      <c r="D1068">
        <v>0.161</v>
      </c>
      <c r="E1068">
        <v>4.4756390000000001</v>
      </c>
      <c r="F1068" t="s">
        <v>44</v>
      </c>
      <c r="G1068">
        <v>0.14400000000000002</v>
      </c>
      <c r="H1068">
        <v>0.64449201600000006</v>
      </c>
      <c r="I1068" t="s">
        <v>11</v>
      </c>
      <c r="J1068">
        <v>0</v>
      </c>
      <c r="K1068">
        <v>0</v>
      </c>
      <c r="L1068" t="s">
        <v>32</v>
      </c>
      <c r="M1068">
        <v>1.7000000000000001E-2</v>
      </c>
      <c r="N1068">
        <v>1.0956364272000002E-2</v>
      </c>
    </row>
    <row r="1069" spans="1:14" x14ac:dyDescent="0.25">
      <c r="A1069" s="23">
        <v>44166</v>
      </c>
      <c r="B1069">
        <v>27.798999999999999</v>
      </c>
      <c r="C1069" t="s">
        <v>2</v>
      </c>
      <c r="D1069">
        <v>0.161</v>
      </c>
      <c r="E1069">
        <v>4.4756390000000001</v>
      </c>
      <c r="F1069" t="s">
        <v>15</v>
      </c>
      <c r="G1069">
        <v>0.14400000000000002</v>
      </c>
      <c r="H1069">
        <v>0.64449201600000006</v>
      </c>
      <c r="I1069" t="s">
        <v>12</v>
      </c>
      <c r="J1069">
        <v>2.7999999999999997E-2</v>
      </c>
      <c r="K1069">
        <v>1.8045776448000001E-2</v>
      </c>
      <c r="L1069" t="s">
        <v>33</v>
      </c>
      <c r="M1069">
        <v>0.12</v>
      </c>
      <c r="N1069">
        <v>7.7339041920000004E-2</v>
      </c>
    </row>
    <row r="1070" spans="1:14" x14ac:dyDescent="0.25">
      <c r="A1070" s="23">
        <v>44167</v>
      </c>
      <c r="B1070">
        <v>27.798999999999999</v>
      </c>
      <c r="C1070" t="s">
        <v>2</v>
      </c>
      <c r="D1070">
        <v>0.161</v>
      </c>
      <c r="E1070">
        <v>4.4756390000000001</v>
      </c>
      <c r="F1070" t="s">
        <v>15</v>
      </c>
      <c r="G1070">
        <v>0.14400000000000002</v>
      </c>
      <c r="H1070">
        <v>0.64449201600000006</v>
      </c>
      <c r="I1070" t="s">
        <v>7</v>
      </c>
      <c r="J1070">
        <v>2.3E-2</v>
      </c>
      <c r="K1070">
        <v>1.4823316368000002E-2</v>
      </c>
      <c r="L1070" t="s">
        <v>34</v>
      </c>
      <c r="M1070">
        <v>0.13</v>
      </c>
      <c r="N1070">
        <v>8.378396208000001E-2</v>
      </c>
    </row>
    <row r="1071" spans="1:14" x14ac:dyDescent="0.25">
      <c r="A1071" s="23">
        <v>44168</v>
      </c>
      <c r="B1071">
        <v>27.798999999999999</v>
      </c>
      <c r="C1071" t="s">
        <v>2</v>
      </c>
      <c r="D1071">
        <v>0.161</v>
      </c>
      <c r="E1071">
        <v>4.4756390000000001</v>
      </c>
      <c r="F1071" t="s">
        <v>15</v>
      </c>
      <c r="G1071">
        <v>0.14400000000000002</v>
      </c>
      <c r="H1071">
        <v>0.64449201600000006</v>
      </c>
      <c r="I1071" t="s">
        <v>8</v>
      </c>
      <c r="J1071">
        <v>0.222</v>
      </c>
      <c r="K1071">
        <v>0.143077227552</v>
      </c>
      <c r="L1071" t="s">
        <v>35</v>
      </c>
      <c r="M1071">
        <v>0.29699999999999999</v>
      </c>
      <c r="N1071">
        <v>0.19141412875200001</v>
      </c>
    </row>
    <row r="1072" spans="1:14" x14ac:dyDescent="0.25">
      <c r="A1072" s="23">
        <v>44169</v>
      </c>
      <c r="B1072">
        <v>27.798999999999999</v>
      </c>
      <c r="C1072" t="s">
        <v>2</v>
      </c>
      <c r="D1072">
        <v>0.161</v>
      </c>
      <c r="E1072">
        <v>4.4756390000000001</v>
      </c>
      <c r="F1072" t="s">
        <v>15</v>
      </c>
      <c r="G1072">
        <v>0.14400000000000002</v>
      </c>
      <c r="H1072">
        <v>0.64449201600000006</v>
      </c>
      <c r="I1072" t="s">
        <v>10</v>
      </c>
      <c r="J1072">
        <v>0.114</v>
      </c>
      <c r="K1072">
        <v>7.3472089824000011E-2</v>
      </c>
      <c r="L1072" t="s">
        <v>36</v>
      </c>
      <c r="M1072">
        <v>0.28699999999999998</v>
      </c>
      <c r="N1072">
        <v>0.184969208592</v>
      </c>
    </row>
    <row r="1073" spans="1:14" x14ac:dyDescent="0.25">
      <c r="A1073" s="23">
        <v>44170</v>
      </c>
      <c r="B1073">
        <v>27.798999999999999</v>
      </c>
      <c r="C1073" t="s">
        <v>2</v>
      </c>
      <c r="D1073">
        <v>0.161</v>
      </c>
      <c r="E1073">
        <v>4.4756390000000001</v>
      </c>
      <c r="F1073" t="s">
        <v>15</v>
      </c>
      <c r="G1073">
        <v>0.14400000000000002</v>
      </c>
      <c r="H1073">
        <v>0.64449201600000006</v>
      </c>
      <c r="I1073" t="s">
        <v>9</v>
      </c>
      <c r="J1073">
        <v>0.58499999999999996</v>
      </c>
      <c r="K1073">
        <v>0.37702782936000001</v>
      </c>
      <c r="L1073" t="s">
        <v>37</v>
      </c>
      <c r="M1073">
        <v>0.14899999999999999</v>
      </c>
      <c r="N1073">
        <v>9.6029310384000005E-2</v>
      </c>
    </row>
    <row r="1074" spans="1:14" x14ac:dyDescent="0.25">
      <c r="A1074" s="23">
        <v>44171</v>
      </c>
      <c r="B1074">
        <v>27.798999999999999</v>
      </c>
      <c r="C1074" t="s">
        <v>2</v>
      </c>
      <c r="D1074">
        <v>0.161</v>
      </c>
      <c r="E1074">
        <v>4.4756390000000001</v>
      </c>
      <c r="F1074" t="s">
        <v>15</v>
      </c>
      <c r="G1074">
        <v>0.14400000000000002</v>
      </c>
      <c r="H1074">
        <v>0.64449201600000006</v>
      </c>
      <c r="I1074" t="s">
        <v>55</v>
      </c>
      <c r="J1074">
        <v>2.7999999999999997E-2</v>
      </c>
      <c r="K1074">
        <v>1.8045776448000001E-2</v>
      </c>
      <c r="L1074" t="s">
        <v>38</v>
      </c>
      <c r="M1074">
        <v>0</v>
      </c>
      <c r="N1074">
        <v>0</v>
      </c>
    </row>
    <row r="1075" spans="1:14" x14ac:dyDescent="0.25">
      <c r="A1075" s="23">
        <v>44172</v>
      </c>
      <c r="B1075">
        <v>27.798999999999999</v>
      </c>
      <c r="C1075" t="s">
        <v>2</v>
      </c>
      <c r="D1075">
        <v>0.161</v>
      </c>
      <c r="E1075">
        <v>4.4756390000000001</v>
      </c>
      <c r="F1075" t="s">
        <v>15</v>
      </c>
      <c r="G1075">
        <v>0.14400000000000002</v>
      </c>
      <c r="H1075">
        <v>0.64449201600000006</v>
      </c>
      <c r="J1075" t="s">
        <v>56</v>
      </c>
      <c r="L1075" t="s">
        <v>39</v>
      </c>
      <c r="M1075">
        <v>0</v>
      </c>
      <c r="N1075">
        <v>0</v>
      </c>
    </row>
    <row r="1076" spans="1:14" x14ac:dyDescent="0.25">
      <c r="A1076" s="23">
        <v>44173</v>
      </c>
      <c r="B1076">
        <v>27.798999999999999</v>
      </c>
      <c r="C1076" t="s">
        <v>2</v>
      </c>
      <c r="D1076">
        <v>0.161</v>
      </c>
      <c r="E1076">
        <v>4.4756390000000001</v>
      </c>
      <c r="F1076" t="s">
        <v>45</v>
      </c>
      <c r="G1076">
        <v>0.159</v>
      </c>
      <c r="H1076">
        <v>0.71162660100000008</v>
      </c>
      <c r="I1076" t="s">
        <v>11</v>
      </c>
      <c r="J1076">
        <v>0.107</v>
      </c>
      <c r="K1076">
        <v>7.6144046307000002E-2</v>
      </c>
      <c r="L1076" t="s">
        <v>32</v>
      </c>
      <c r="M1076">
        <v>2.2000000000000002E-2</v>
      </c>
      <c r="N1076">
        <v>1.5655785222000004E-2</v>
      </c>
    </row>
    <row r="1077" spans="1:14" x14ac:dyDescent="0.25">
      <c r="A1077" s="23">
        <v>44174</v>
      </c>
      <c r="B1077">
        <v>27.798999999999999</v>
      </c>
      <c r="C1077" t="s">
        <v>2</v>
      </c>
      <c r="D1077">
        <v>0.161</v>
      </c>
      <c r="E1077">
        <v>4.4756390000000001</v>
      </c>
      <c r="F1077" t="s">
        <v>16</v>
      </c>
      <c r="G1077">
        <v>0.159</v>
      </c>
      <c r="H1077">
        <v>0.71162660100000008</v>
      </c>
      <c r="I1077" t="s">
        <v>12</v>
      </c>
      <c r="J1077">
        <v>1.6E-2</v>
      </c>
      <c r="K1077">
        <v>1.1386025616000002E-2</v>
      </c>
      <c r="L1077" t="s">
        <v>33</v>
      </c>
      <c r="M1077">
        <v>0.11199999999999999</v>
      </c>
      <c r="N1077">
        <v>7.9702179312000007E-2</v>
      </c>
    </row>
    <row r="1078" spans="1:14" x14ac:dyDescent="0.25">
      <c r="A1078" s="23">
        <v>44175</v>
      </c>
      <c r="B1078">
        <v>27.798999999999999</v>
      </c>
      <c r="C1078" t="s">
        <v>2</v>
      </c>
      <c r="D1078">
        <v>0.161</v>
      </c>
      <c r="E1078">
        <v>4.4756390000000001</v>
      </c>
      <c r="F1078" t="s">
        <v>16</v>
      </c>
      <c r="G1078">
        <v>0.159</v>
      </c>
      <c r="H1078">
        <v>0.71162660100000008</v>
      </c>
      <c r="I1078" t="s">
        <v>7</v>
      </c>
      <c r="J1078">
        <v>6.2E-2</v>
      </c>
      <c r="K1078">
        <v>4.4120849262000002E-2</v>
      </c>
      <c r="L1078" t="s">
        <v>34</v>
      </c>
      <c r="M1078">
        <v>0.14499999999999999</v>
      </c>
      <c r="N1078">
        <v>0.103185857145</v>
      </c>
    </row>
    <row r="1079" spans="1:14" x14ac:dyDescent="0.25">
      <c r="A1079" s="23">
        <v>44176</v>
      </c>
      <c r="B1079">
        <v>27.798999999999999</v>
      </c>
      <c r="C1079" t="s">
        <v>2</v>
      </c>
      <c r="D1079">
        <v>0.161</v>
      </c>
      <c r="E1079">
        <v>4.4756390000000001</v>
      </c>
      <c r="F1079" t="s">
        <v>16</v>
      </c>
      <c r="G1079">
        <v>0.159</v>
      </c>
      <c r="H1079">
        <v>0.71162660100000008</v>
      </c>
      <c r="I1079" t="s">
        <v>8</v>
      </c>
      <c r="J1079">
        <v>0.25800000000000001</v>
      </c>
      <c r="K1079">
        <v>0.18359966305800002</v>
      </c>
      <c r="L1079" t="s">
        <v>35</v>
      </c>
      <c r="M1079">
        <v>0.27100000000000002</v>
      </c>
      <c r="N1079">
        <v>0.19285080887100003</v>
      </c>
    </row>
    <row r="1080" spans="1:14" x14ac:dyDescent="0.25">
      <c r="A1080" s="23">
        <v>44177</v>
      </c>
      <c r="B1080">
        <v>27.798999999999999</v>
      </c>
      <c r="C1080" t="s">
        <v>2</v>
      </c>
      <c r="D1080">
        <v>0.161</v>
      </c>
      <c r="E1080">
        <v>4.4756390000000001</v>
      </c>
      <c r="F1080" t="s">
        <v>16</v>
      </c>
      <c r="G1080">
        <v>0.159</v>
      </c>
      <c r="H1080">
        <v>0.71162660100000008</v>
      </c>
      <c r="I1080" t="s">
        <v>10</v>
      </c>
      <c r="J1080">
        <v>8.5999999999999993E-2</v>
      </c>
      <c r="K1080">
        <v>6.1199887686000001E-2</v>
      </c>
      <c r="L1080" t="s">
        <v>36</v>
      </c>
      <c r="M1080">
        <v>0.23699999999999999</v>
      </c>
      <c r="N1080">
        <v>0.168655504437</v>
      </c>
    </row>
    <row r="1081" spans="1:14" x14ac:dyDescent="0.25">
      <c r="A1081" s="23">
        <v>44178</v>
      </c>
      <c r="B1081">
        <v>27.798999999999999</v>
      </c>
      <c r="C1081" t="s">
        <v>2</v>
      </c>
      <c r="D1081">
        <v>0.161</v>
      </c>
      <c r="E1081">
        <v>4.4756390000000001</v>
      </c>
      <c r="F1081" t="s">
        <v>16</v>
      </c>
      <c r="G1081">
        <v>0.159</v>
      </c>
      <c r="H1081">
        <v>0.71162660100000008</v>
      </c>
      <c r="I1081" t="s">
        <v>9</v>
      </c>
      <c r="J1081">
        <v>0.45100000000000001</v>
      </c>
      <c r="K1081">
        <v>0.32094359705100006</v>
      </c>
      <c r="L1081" t="s">
        <v>37</v>
      </c>
      <c r="M1081">
        <v>0.192</v>
      </c>
      <c r="N1081">
        <v>0.13663230739200002</v>
      </c>
    </row>
    <row r="1082" spans="1:14" x14ac:dyDescent="0.25">
      <c r="A1082" s="23">
        <v>44179</v>
      </c>
      <c r="B1082">
        <v>27.798999999999999</v>
      </c>
      <c r="C1082" t="s">
        <v>2</v>
      </c>
      <c r="D1082">
        <v>0.161</v>
      </c>
      <c r="E1082">
        <v>4.4756390000000001</v>
      </c>
      <c r="F1082" t="s">
        <v>16</v>
      </c>
      <c r="G1082">
        <v>0.159</v>
      </c>
      <c r="H1082">
        <v>0.71162660100000008</v>
      </c>
      <c r="I1082" t="s">
        <v>55</v>
      </c>
      <c r="J1082">
        <v>2.1000000000000001E-2</v>
      </c>
      <c r="K1082">
        <v>1.4944158621000002E-2</v>
      </c>
      <c r="L1082" t="s">
        <v>38</v>
      </c>
      <c r="M1082">
        <v>1.1000000000000001E-2</v>
      </c>
      <c r="N1082">
        <v>7.8278926110000018E-3</v>
      </c>
    </row>
    <row r="1083" spans="1:14" x14ac:dyDescent="0.25">
      <c r="A1083" s="23">
        <v>44180</v>
      </c>
      <c r="B1083">
        <v>27.798999999999999</v>
      </c>
      <c r="C1083" t="s">
        <v>2</v>
      </c>
      <c r="D1083">
        <v>0.161</v>
      </c>
      <c r="E1083">
        <v>4.4756390000000001</v>
      </c>
      <c r="F1083" t="s">
        <v>16</v>
      </c>
      <c r="G1083">
        <v>0.159</v>
      </c>
      <c r="H1083">
        <v>0.71162660100000008</v>
      </c>
      <c r="L1083" t="s">
        <v>39</v>
      </c>
      <c r="M1083">
        <v>9.0000000000000011E-3</v>
      </c>
      <c r="N1083">
        <v>6.4046394090000016E-3</v>
      </c>
    </row>
    <row r="1084" spans="1:14" x14ac:dyDescent="0.25">
      <c r="A1084" s="23">
        <v>44181</v>
      </c>
      <c r="B1084">
        <v>27.798999999999999</v>
      </c>
      <c r="C1084" t="s">
        <v>2</v>
      </c>
      <c r="D1084">
        <v>0.161</v>
      </c>
      <c r="E1084">
        <v>4.4756390000000001</v>
      </c>
      <c r="F1084" t="s">
        <v>46</v>
      </c>
      <c r="G1084">
        <v>0.185</v>
      </c>
      <c r="H1084">
        <v>0.827993215</v>
      </c>
      <c r="I1084" t="s">
        <v>11</v>
      </c>
      <c r="J1084">
        <v>0.26200000000000001</v>
      </c>
      <c r="K1084">
        <v>0.21693422233000001</v>
      </c>
      <c r="L1084" t="s">
        <v>32</v>
      </c>
      <c r="M1084">
        <v>3.2000000000000001E-2</v>
      </c>
      <c r="N1084">
        <v>2.6495782880000002E-2</v>
      </c>
    </row>
    <row r="1085" spans="1:14" x14ac:dyDescent="0.25">
      <c r="A1085" s="23">
        <v>44182</v>
      </c>
      <c r="B1085">
        <v>27.798999999999999</v>
      </c>
      <c r="C1085" t="s">
        <v>2</v>
      </c>
      <c r="D1085">
        <v>0.161</v>
      </c>
      <c r="E1085">
        <v>4.4756390000000001</v>
      </c>
      <c r="F1085" t="s">
        <v>13</v>
      </c>
      <c r="G1085">
        <v>0.185</v>
      </c>
      <c r="H1085">
        <v>0.827993215</v>
      </c>
      <c r="I1085" t="s">
        <v>12</v>
      </c>
      <c r="J1085">
        <v>0.06</v>
      </c>
      <c r="K1085">
        <v>4.96795929E-2</v>
      </c>
      <c r="L1085" t="s">
        <v>33</v>
      </c>
      <c r="M1085">
        <v>0.09</v>
      </c>
      <c r="N1085">
        <v>7.4519389349999993E-2</v>
      </c>
    </row>
    <row r="1086" spans="1:14" x14ac:dyDescent="0.25">
      <c r="A1086" s="23">
        <v>44183</v>
      </c>
      <c r="B1086">
        <v>27.798999999999999</v>
      </c>
      <c r="C1086" t="s">
        <v>2</v>
      </c>
      <c r="D1086">
        <v>0.161</v>
      </c>
      <c r="E1086">
        <v>4.4756390000000001</v>
      </c>
      <c r="F1086" t="s">
        <v>13</v>
      </c>
      <c r="G1086">
        <v>0.185</v>
      </c>
      <c r="H1086">
        <v>0.827993215</v>
      </c>
      <c r="I1086" t="s">
        <v>7</v>
      </c>
      <c r="J1086">
        <v>9.5000000000000001E-2</v>
      </c>
      <c r="K1086">
        <v>7.8659355425000008E-2</v>
      </c>
      <c r="L1086" t="s">
        <v>34</v>
      </c>
      <c r="M1086">
        <v>0.13400000000000001</v>
      </c>
      <c r="N1086">
        <v>0.11095109081000001</v>
      </c>
    </row>
    <row r="1087" spans="1:14" x14ac:dyDescent="0.25">
      <c r="A1087" s="23">
        <v>44184</v>
      </c>
      <c r="B1087">
        <v>27.798999999999999</v>
      </c>
      <c r="C1087" t="s">
        <v>2</v>
      </c>
      <c r="D1087">
        <v>0.161</v>
      </c>
      <c r="E1087">
        <v>4.4756390000000001</v>
      </c>
      <c r="F1087" t="s">
        <v>13</v>
      </c>
      <c r="G1087">
        <v>0.185</v>
      </c>
      <c r="H1087">
        <v>0.827993215</v>
      </c>
      <c r="I1087" t="s">
        <v>8</v>
      </c>
      <c r="J1087">
        <v>0.30299999999999999</v>
      </c>
      <c r="K1087">
        <v>0.25088194414499998</v>
      </c>
      <c r="L1087" t="s">
        <v>35</v>
      </c>
      <c r="M1087">
        <v>0.251</v>
      </c>
      <c r="N1087">
        <v>0.20782629696499999</v>
      </c>
    </row>
    <row r="1088" spans="1:14" x14ac:dyDescent="0.25">
      <c r="A1088" s="23">
        <v>44185</v>
      </c>
      <c r="B1088">
        <v>27.798999999999999</v>
      </c>
      <c r="C1088" t="s">
        <v>2</v>
      </c>
      <c r="D1088">
        <v>0.161</v>
      </c>
      <c r="E1088">
        <v>4.4756390000000001</v>
      </c>
      <c r="F1088" t="s">
        <v>13</v>
      </c>
      <c r="G1088">
        <v>0.185</v>
      </c>
      <c r="H1088">
        <v>0.827993215</v>
      </c>
      <c r="I1088" t="s">
        <v>10</v>
      </c>
      <c r="J1088">
        <v>0.05</v>
      </c>
      <c r="K1088">
        <v>4.1399660750000004E-2</v>
      </c>
      <c r="L1088" t="s">
        <v>36</v>
      </c>
      <c r="M1088">
        <v>0.25800000000000001</v>
      </c>
      <c r="N1088" t="e">
        <v>#REF!</v>
      </c>
    </row>
    <row r="1089" spans="1:14" x14ac:dyDescent="0.25">
      <c r="A1089" s="23">
        <v>44186</v>
      </c>
      <c r="B1089">
        <v>27.798999999999999</v>
      </c>
      <c r="C1089" t="s">
        <v>2</v>
      </c>
      <c r="D1089">
        <v>0.161</v>
      </c>
      <c r="E1089">
        <v>4.4756390000000001</v>
      </c>
      <c r="F1089" t="s">
        <v>13</v>
      </c>
      <c r="G1089">
        <v>0.185</v>
      </c>
      <c r="H1089">
        <v>0.827993215</v>
      </c>
      <c r="I1089" t="s">
        <v>9</v>
      </c>
      <c r="J1089">
        <v>0.21600000000000003</v>
      </c>
      <c r="K1089">
        <v>0.17884653444000001</v>
      </c>
      <c r="L1089" t="s">
        <v>37</v>
      </c>
      <c r="M1089">
        <v>0.19800000000000001</v>
      </c>
      <c r="N1089">
        <v>0.21362224947</v>
      </c>
    </row>
    <row r="1090" spans="1:14" x14ac:dyDescent="0.25">
      <c r="A1090" s="23">
        <v>44187</v>
      </c>
      <c r="B1090">
        <v>27.798999999999999</v>
      </c>
      <c r="C1090" t="s">
        <v>2</v>
      </c>
      <c r="D1090">
        <v>0.161</v>
      </c>
      <c r="E1090">
        <v>4.4756390000000001</v>
      </c>
      <c r="F1090" t="s">
        <v>13</v>
      </c>
      <c r="G1090">
        <v>0.185</v>
      </c>
      <c r="H1090">
        <v>0.827993215</v>
      </c>
      <c r="I1090" t="s">
        <v>55</v>
      </c>
      <c r="J1090">
        <v>0.01</v>
      </c>
      <c r="K1090">
        <v>8.2799321500000005E-3</v>
      </c>
      <c r="L1090" t="s">
        <v>38</v>
      </c>
      <c r="M1090">
        <v>2.3E-2</v>
      </c>
      <c r="N1090">
        <v>0.16394265657000001</v>
      </c>
    </row>
    <row r="1091" spans="1:14" x14ac:dyDescent="0.25">
      <c r="A1091" s="23">
        <v>44188</v>
      </c>
      <c r="B1091">
        <v>27.798999999999999</v>
      </c>
      <c r="C1091" t="s">
        <v>2</v>
      </c>
      <c r="D1091">
        <v>0.161</v>
      </c>
      <c r="E1091">
        <v>4.4756390000000001</v>
      </c>
      <c r="F1091" t="s">
        <v>13</v>
      </c>
      <c r="G1091">
        <v>0.185</v>
      </c>
      <c r="H1091">
        <v>0.827993215</v>
      </c>
      <c r="L1091" t="s">
        <v>39</v>
      </c>
      <c r="M1091">
        <v>1.3000000000000001E-2</v>
      </c>
      <c r="N1091">
        <v>1.9043843945E-2</v>
      </c>
    </row>
    <row r="1092" spans="1:14" x14ac:dyDescent="0.25">
      <c r="A1092" s="23">
        <v>44189</v>
      </c>
      <c r="B1092">
        <v>27.798999999999999</v>
      </c>
      <c r="C1092" t="s">
        <v>2</v>
      </c>
      <c r="D1092">
        <v>0.161</v>
      </c>
      <c r="E1092">
        <v>4.4756390000000001</v>
      </c>
      <c r="F1092" t="s">
        <v>47</v>
      </c>
      <c r="G1092">
        <v>9.3000000000000013E-2</v>
      </c>
      <c r="H1092">
        <v>0.41623442700000007</v>
      </c>
      <c r="I1092" t="s">
        <v>11</v>
      </c>
      <c r="J1092">
        <v>0</v>
      </c>
      <c r="K1092">
        <v>0</v>
      </c>
      <c r="L1092" t="s">
        <v>32</v>
      </c>
      <c r="M1092">
        <v>0</v>
      </c>
      <c r="N1092">
        <v>0</v>
      </c>
    </row>
    <row r="1093" spans="1:14" x14ac:dyDescent="0.25">
      <c r="A1093" s="23">
        <v>44190</v>
      </c>
      <c r="B1093">
        <v>27.798999999999999</v>
      </c>
      <c r="C1093" t="s">
        <v>2</v>
      </c>
      <c r="D1093">
        <v>0.161</v>
      </c>
      <c r="E1093">
        <v>4.4756390000000001</v>
      </c>
      <c r="F1093" t="s">
        <v>17</v>
      </c>
      <c r="G1093">
        <v>9.3000000000000013E-2</v>
      </c>
      <c r="H1093">
        <v>0.41623442700000007</v>
      </c>
      <c r="I1093" t="s">
        <v>12</v>
      </c>
      <c r="J1093">
        <v>0</v>
      </c>
      <c r="K1093">
        <v>0</v>
      </c>
      <c r="L1093" t="s">
        <v>33</v>
      </c>
      <c r="M1093">
        <v>7.0999999999999994E-2</v>
      </c>
      <c r="N1093">
        <v>2.9552644317000002E-2</v>
      </c>
    </row>
    <row r="1094" spans="1:14" x14ac:dyDescent="0.25">
      <c r="A1094" s="23">
        <v>44191</v>
      </c>
      <c r="B1094">
        <v>27.798999999999999</v>
      </c>
      <c r="C1094" t="s">
        <v>2</v>
      </c>
      <c r="D1094">
        <v>0.161</v>
      </c>
      <c r="E1094">
        <v>4.4756390000000001</v>
      </c>
      <c r="F1094" t="s">
        <v>17</v>
      </c>
      <c r="G1094">
        <v>9.3000000000000013E-2</v>
      </c>
      <c r="H1094">
        <v>0.41623442700000007</v>
      </c>
      <c r="I1094" t="s">
        <v>7</v>
      </c>
      <c r="J1094">
        <v>0</v>
      </c>
      <c r="K1094">
        <v>0</v>
      </c>
      <c r="L1094" t="s">
        <v>34</v>
      </c>
      <c r="M1094">
        <v>0</v>
      </c>
      <c r="N1094">
        <v>0</v>
      </c>
    </row>
    <row r="1095" spans="1:14" x14ac:dyDescent="0.25">
      <c r="A1095" s="23">
        <v>44192</v>
      </c>
      <c r="B1095">
        <v>27.798999999999999</v>
      </c>
      <c r="C1095" t="s">
        <v>2</v>
      </c>
      <c r="D1095">
        <v>0.161</v>
      </c>
      <c r="E1095">
        <v>4.4756390000000001</v>
      </c>
      <c r="F1095" t="s">
        <v>17</v>
      </c>
      <c r="G1095">
        <v>9.3000000000000013E-2</v>
      </c>
      <c r="H1095">
        <v>0.41623442700000007</v>
      </c>
      <c r="I1095" t="s">
        <v>8</v>
      </c>
      <c r="J1095">
        <v>0.29399999999999998</v>
      </c>
      <c r="K1095">
        <v>0.12237292153800002</v>
      </c>
      <c r="L1095" t="s">
        <v>35</v>
      </c>
      <c r="M1095">
        <v>0.57399999999999995</v>
      </c>
      <c r="N1095">
        <v>0.23891856109800003</v>
      </c>
    </row>
    <row r="1096" spans="1:14" x14ac:dyDescent="0.25">
      <c r="A1096" s="23">
        <v>44193</v>
      </c>
      <c r="B1096">
        <v>27.798999999999999</v>
      </c>
      <c r="C1096" t="s">
        <v>2</v>
      </c>
      <c r="D1096">
        <v>0.161</v>
      </c>
      <c r="E1096">
        <v>4.4756390000000001</v>
      </c>
      <c r="F1096" t="s">
        <v>17</v>
      </c>
      <c r="G1096">
        <v>9.3000000000000013E-2</v>
      </c>
      <c r="H1096">
        <v>0.41623442700000007</v>
      </c>
      <c r="I1096" t="s">
        <v>10</v>
      </c>
      <c r="J1096">
        <v>0.13200000000000001</v>
      </c>
      <c r="K1096">
        <v>5.4942944364000011E-2</v>
      </c>
      <c r="L1096" t="s">
        <v>36</v>
      </c>
      <c r="M1096">
        <v>0</v>
      </c>
      <c r="N1096">
        <v>0</v>
      </c>
    </row>
    <row r="1097" spans="1:14" x14ac:dyDescent="0.25">
      <c r="A1097" s="23">
        <v>44194</v>
      </c>
      <c r="B1097">
        <v>27.798999999999999</v>
      </c>
      <c r="C1097" t="s">
        <v>2</v>
      </c>
      <c r="D1097">
        <v>0.161</v>
      </c>
      <c r="E1097">
        <v>4.4756390000000001</v>
      </c>
      <c r="F1097" t="s">
        <v>17</v>
      </c>
      <c r="G1097">
        <v>9.3000000000000013E-2</v>
      </c>
      <c r="H1097">
        <v>0.41623442700000007</v>
      </c>
      <c r="I1097" t="s">
        <v>9</v>
      </c>
      <c r="J1097">
        <v>0.57399999999999995</v>
      </c>
      <c r="K1097">
        <v>0.23891856109800003</v>
      </c>
      <c r="L1097" t="s">
        <v>37</v>
      </c>
      <c r="M1097">
        <v>0.35600000000000004</v>
      </c>
      <c r="N1097">
        <v>0.14817945601200005</v>
      </c>
    </row>
    <row r="1098" spans="1:14" x14ac:dyDescent="0.25">
      <c r="A1098" s="23">
        <v>44195</v>
      </c>
      <c r="B1098">
        <v>27.798999999999999</v>
      </c>
      <c r="C1098" t="s">
        <v>2</v>
      </c>
      <c r="D1098">
        <v>0.161</v>
      </c>
      <c r="E1098">
        <v>4.4756390000000001</v>
      </c>
      <c r="F1098" t="s">
        <v>17</v>
      </c>
      <c r="G1098">
        <v>9.3000000000000013E-2</v>
      </c>
      <c r="H1098">
        <v>0.41623442700000007</v>
      </c>
      <c r="I1098" t="s">
        <v>55</v>
      </c>
      <c r="J1098">
        <v>0</v>
      </c>
      <c r="K1098">
        <v>0</v>
      </c>
      <c r="L1098" t="s">
        <v>38</v>
      </c>
      <c r="M1098">
        <v>0</v>
      </c>
      <c r="N1098">
        <v>0</v>
      </c>
    </row>
    <row r="1099" spans="1:14" x14ac:dyDescent="0.25">
      <c r="A1099" s="23">
        <v>44196</v>
      </c>
      <c r="B1099">
        <v>27.798999999999999</v>
      </c>
      <c r="C1099" t="s">
        <v>2</v>
      </c>
      <c r="D1099">
        <v>0.161</v>
      </c>
      <c r="E1099">
        <v>4.4756390000000001</v>
      </c>
      <c r="F1099" t="s">
        <v>17</v>
      </c>
      <c r="G1099">
        <v>9.3000000000000013E-2</v>
      </c>
      <c r="H1099">
        <v>0.41623442700000007</v>
      </c>
      <c r="L1099" t="s">
        <v>39</v>
      </c>
      <c r="M1099">
        <v>0</v>
      </c>
      <c r="N1099">
        <v>0</v>
      </c>
    </row>
    <row r="1100" spans="1:14" x14ac:dyDescent="0.25">
      <c r="A1100" s="23">
        <v>44197</v>
      </c>
      <c r="B1100">
        <v>27.798999999999999</v>
      </c>
      <c r="C1100" t="s">
        <v>2</v>
      </c>
      <c r="D1100">
        <v>0.161</v>
      </c>
      <c r="E1100">
        <v>4.4756390000000001</v>
      </c>
      <c r="F1100" t="s">
        <v>18</v>
      </c>
      <c r="G1100">
        <v>0.109</v>
      </c>
      <c r="H1100">
        <v>0.48784465100000002</v>
      </c>
      <c r="I1100" t="s">
        <v>11</v>
      </c>
      <c r="J1100">
        <v>0.43</v>
      </c>
      <c r="K1100">
        <v>0.20977319993000001</v>
      </c>
      <c r="L1100" t="s">
        <v>32</v>
      </c>
      <c r="M1100">
        <v>3.9E-2</v>
      </c>
      <c r="N1100">
        <v>1.9025941389E-2</v>
      </c>
    </row>
    <row r="1101" spans="1:14" x14ac:dyDescent="0.25">
      <c r="A1101" s="23">
        <v>44198</v>
      </c>
      <c r="B1101">
        <v>27.798999999999999</v>
      </c>
      <c r="C1101" t="s">
        <v>2</v>
      </c>
      <c r="D1101">
        <v>0.161</v>
      </c>
      <c r="E1101">
        <v>4.4756390000000001</v>
      </c>
      <c r="F1101" t="s">
        <v>18</v>
      </c>
      <c r="G1101">
        <v>0.109</v>
      </c>
      <c r="H1101">
        <v>0.48784465100000002</v>
      </c>
      <c r="I1101" t="s">
        <v>12</v>
      </c>
      <c r="J1101">
        <v>5.4000000000000006E-2</v>
      </c>
      <c r="K1101">
        <v>2.6343611154000003E-2</v>
      </c>
      <c r="L1101" t="s">
        <v>33</v>
      </c>
      <c r="M1101">
        <v>0.109</v>
      </c>
      <c r="N1101">
        <v>5.3175066959000004E-2</v>
      </c>
    </row>
    <row r="1102" spans="1:14" x14ac:dyDescent="0.25">
      <c r="A1102" s="23">
        <v>44199</v>
      </c>
      <c r="B1102">
        <v>27.798999999999999</v>
      </c>
      <c r="C1102" t="s">
        <v>2</v>
      </c>
      <c r="D1102">
        <v>0.161</v>
      </c>
      <c r="E1102">
        <v>4.4756390000000001</v>
      </c>
      <c r="F1102" t="s">
        <v>18</v>
      </c>
      <c r="G1102">
        <v>0.109</v>
      </c>
      <c r="H1102">
        <v>0.48784465100000002</v>
      </c>
      <c r="I1102" t="s">
        <v>7</v>
      </c>
      <c r="J1102">
        <v>0.106</v>
      </c>
      <c r="K1102">
        <v>5.1711533006000003E-2</v>
      </c>
      <c r="L1102" t="s">
        <v>34</v>
      </c>
      <c r="M1102">
        <v>0.122</v>
      </c>
      <c r="N1102">
        <v>5.9517047422000001E-2</v>
      </c>
    </row>
    <row r="1103" spans="1:14" x14ac:dyDescent="0.25">
      <c r="A1103" s="23">
        <v>44200</v>
      </c>
      <c r="B1103">
        <v>27.798999999999999</v>
      </c>
      <c r="C1103" t="s">
        <v>2</v>
      </c>
      <c r="D1103">
        <v>0.161</v>
      </c>
      <c r="E1103">
        <v>4.4756390000000001</v>
      </c>
      <c r="F1103" t="s">
        <v>18</v>
      </c>
      <c r="G1103">
        <v>0.109</v>
      </c>
      <c r="H1103">
        <v>0.48784465100000002</v>
      </c>
      <c r="I1103" t="s">
        <v>8</v>
      </c>
      <c r="J1103">
        <v>0.20199999999999999</v>
      </c>
      <c r="K1103">
        <v>7.3176697649999997E-3</v>
      </c>
      <c r="L1103" t="s">
        <v>35</v>
      </c>
      <c r="M1103">
        <v>0.27699999999999997</v>
      </c>
      <c r="N1103">
        <v>0.135132968327</v>
      </c>
    </row>
    <row r="1104" spans="1:14" x14ac:dyDescent="0.25">
      <c r="A1104" s="23">
        <v>44201</v>
      </c>
      <c r="B1104">
        <v>27.798999999999999</v>
      </c>
      <c r="C1104" t="s">
        <v>2</v>
      </c>
      <c r="D1104">
        <v>0.161</v>
      </c>
      <c r="E1104">
        <v>4.4756390000000001</v>
      </c>
      <c r="F1104" t="s">
        <v>18</v>
      </c>
      <c r="G1104">
        <v>0.109</v>
      </c>
      <c r="H1104">
        <v>0.48784465100000002</v>
      </c>
      <c r="I1104" t="s">
        <v>10</v>
      </c>
      <c r="J1104">
        <v>3.5000000000000003E-2</v>
      </c>
      <c r="K1104">
        <v>9.8544619501999997E-2</v>
      </c>
      <c r="L1104" t="s">
        <v>36</v>
      </c>
      <c r="M1104">
        <v>0.26400000000000001</v>
      </c>
      <c r="N1104">
        <v>0.12879098786400001</v>
      </c>
    </row>
    <row r="1105" spans="1:14" x14ac:dyDescent="0.25">
      <c r="A1105" s="23">
        <v>44202</v>
      </c>
      <c r="B1105">
        <v>27.798999999999999</v>
      </c>
      <c r="C1105" t="s">
        <v>2</v>
      </c>
      <c r="D1105">
        <v>0.161</v>
      </c>
      <c r="E1105">
        <v>4.4756390000000001</v>
      </c>
      <c r="F1105" t="s">
        <v>48</v>
      </c>
      <c r="G1105">
        <v>0.109</v>
      </c>
      <c r="H1105">
        <v>0.48784465100000002</v>
      </c>
      <c r="I1105" t="s">
        <v>9</v>
      </c>
      <c r="J1105">
        <v>0.158</v>
      </c>
      <c r="K1105">
        <v>7.707945485800001E-2</v>
      </c>
      <c r="L1105" t="s">
        <v>37</v>
      </c>
      <c r="M1105">
        <v>0.154</v>
      </c>
      <c r="N1105">
        <v>7.5128076254000004E-2</v>
      </c>
    </row>
    <row r="1106" spans="1:14" x14ac:dyDescent="0.25">
      <c r="A1106" s="23">
        <v>44203</v>
      </c>
      <c r="B1106">
        <v>27.798999999999999</v>
      </c>
      <c r="C1106" t="s">
        <v>2</v>
      </c>
      <c r="D1106">
        <v>0.161</v>
      </c>
      <c r="E1106">
        <v>4.4756390000000001</v>
      </c>
      <c r="F1106" t="s">
        <v>18</v>
      </c>
      <c r="G1106">
        <v>0.109</v>
      </c>
      <c r="H1106">
        <v>0.48784465100000002</v>
      </c>
      <c r="I1106" t="s">
        <v>55</v>
      </c>
      <c r="J1106">
        <v>1.4999999999999999E-2</v>
      </c>
      <c r="K1106">
        <v>7.3176697649999997E-3</v>
      </c>
      <c r="L1106" t="s">
        <v>38</v>
      </c>
      <c r="M1106">
        <v>2.4E-2</v>
      </c>
      <c r="N1106">
        <v>1.1708271624E-2</v>
      </c>
    </row>
    <row r="1107" spans="1:14" x14ac:dyDescent="0.25">
      <c r="A1107" s="23">
        <v>44204</v>
      </c>
      <c r="B1107">
        <v>27.798999999999999</v>
      </c>
      <c r="C1107" t="s">
        <v>2</v>
      </c>
      <c r="D1107">
        <v>0.161</v>
      </c>
      <c r="E1107">
        <v>4.4756390000000001</v>
      </c>
      <c r="F1107" t="s">
        <v>18</v>
      </c>
      <c r="G1107">
        <v>0.109</v>
      </c>
      <c r="H1107">
        <v>0.48784465100000002</v>
      </c>
      <c r="L1107" t="s">
        <v>39</v>
      </c>
      <c r="M1107">
        <v>1.2E-2</v>
      </c>
      <c r="N1107">
        <v>5.8541358120000001E-3</v>
      </c>
    </row>
    <row r="1108" spans="1:14" x14ac:dyDescent="0.25">
      <c r="A1108" s="23">
        <v>44205</v>
      </c>
      <c r="B1108">
        <v>27.798999999999999</v>
      </c>
      <c r="C1108" t="s">
        <v>19</v>
      </c>
      <c r="D1108">
        <v>0.83900000000000008</v>
      </c>
      <c r="E1108">
        <v>23.323361000000002</v>
      </c>
      <c r="F1108" t="s">
        <v>54</v>
      </c>
      <c r="G1108">
        <v>0.81400000000000006</v>
      </c>
      <c r="H1108">
        <v>18.985215854000003</v>
      </c>
      <c r="I1108" t="s">
        <v>11</v>
      </c>
      <c r="J1108">
        <v>0.124</v>
      </c>
      <c r="K1108">
        <v>2.3541667658960006</v>
      </c>
      <c r="L1108" t="s">
        <v>32</v>
      </c>
      <c r="M1108">
        <v>4.5999999999999999E-2</v>
      </c>
      <c r="N1108">
        <v>0.87331992928400015</v>
      </c>
    </row>
    <row r="1109" spans="1:14" x14ac:dyDescent="0.25">
      <c r="A1109" s="23">
        <v>44206</v>
      </c>
      <c r="B1109">
        <v>27.798999999999999</v>
      </c>
      <c r="C1109" t="s">
        <v>19</v>
      </c>
      <c r="D1109">
        <v>0.83900000000000008</v>
      </c>
      <c r="E1109">
        <v>23.323361000000002</v>
      </c>
      <c r="F1109" t="s">
        <v>14</v>
      </c>
      <c r="G1109">
        <v>0.81400000000000006</v>
      </c>
      <c r="H1109">
        <v>18.985215854000003</v>
      </c>
      <c r="I1109" t="s">
        <v>12</v>
      </c>
      <c r="J1109">
        <v>7.0000000000000007E-2</v>
      </c>
      <c r="K1109">
        <v>1.3289651097800004</v>
      </c>
      <c r="L1109" t="s">
        <v>33</v>
      </c>
      <c r="M1109">
        <v>0.115</v>
      </c>
      <c r="N1109">
        <v>2.1832998232100005</v>
      </c>
    </row>
    <row r="1110" spans="1:14" x14ac:dyDescent="0.25">
      <c r="A1110" s="23">
        <v>44207</v>
      </c>
      <c r="B1110">
        <v>27.798999999999999</v>
      </c>
      <c r="C1110" t="s">
        <v>19</v>
      </c>
      <c r="D1110">
        <v>0.83900000000000008</v>
      </c>
      <c r="E1110">
        <v>23.323361000000002</v>
      </c>
      <c r="F1110" t="s">
        <v>14</v>
      </c>
      <c r="G1110">
        <v>0.81400000000000006</v>
      </c>
      <c r="H1110">
        <v>18.985215854000003</v>
      </c>
      <c r="I1110" t="s">
        <v>7</v>
      </c>
      <c r="J1110">
        <v>0.158</v>
      </c>
      <c r="K1110">
        <v>2.9996641049320005</v>
      </c>
      <c r="L1110" t="s">
        <v>34</v>
      </c>
      <c r="M1110">
        <v>0.16300000000000001</v>
      </c>
      <c r="N1110">
        <v>3.0945901842020005</v>
      </c>
    </row>
    <row r="1111" spans="1:14" x14ac:dyDescent="0.25">
      <c r="A1111" s="23">
        <v>44208</v>
      </c>
      <c r="B1111">
        <v>27.798999999999999</v>
      </c>
      <c r="C1111" t="s">
        <v>19</v>
      </c>
      <c r="D1111">
        <v>0.83900000000000008</v>
      </c>
      <c r="E1111">
        <v>23.323361000000002</v>
      </c>
      <c r="F1111" t="s">
        <v>14</v>
      </c>
      <c r="G1111">
        <v>0.81400000000000006</v>
      </c>
      <c r="H1111">
        <v>18.985215854000003</v>
      </c>
      <c r="I1111" t="s">
        <v>8</v>
      </c>
      <c r="J1111">
        <v>0.34799999999999998</v>
      </c>
      <c r="K1111">
        <v>6.6068551171920005</v>
      </c>
      <c r="L1111" t="s">
        <v>35</v>
      </c>
      <c r="M1111">
        <v>0.27699999999999997</v>
      </c>
      <c r="N1111">
        <v>5.2589047915580007</v>
      </c>
    </row>
    <row r="1112" spans="1:14" x14ac:dyDescent="0.25">
      <c r="A1112" s="23">
        <v>44209</v>
      </c>
      <c r="B1112">
        <v>27.798999999999999</v>
      </c>
      <c r="C1112" t="s">
        <v>19</v>
      </c>
      <c r="D1112">
        <v>0.83900000000000008</v>
      </c>
      <c r="E1112">
        <v>23.323361000000002</v>
      </c>
      <c r="F1112" t="s">
        <v>14</v>
      </c>
      <c r="G1112">
        <v>0.81400000000000006</v>
      </c>
      <c r="H1112">
        <v>18.985215854000003</v>
      </c>
      <c r="I1112" t="s">
        <v>10</v>
      </c>
      <c r="J1112">
        <v>4.0999999999999995E-2</v>
      </c>
      <c r="K1112">
        <v>0.77839385001400008</v>
      </c>
      <c r="L1112" t="s">
        <v>36</v>
      </c>
      <c r="M1112">
        <v>0.19800000000000001</v>
      </c>
      <c r="N1112">
        <v>3.7590727390920007</v>
      </c>
    </row>
    <row r="1113" spans="1:14" x14ac:dyDescent="0.25">
      <c r="A1113" s="23">
        <v>44210</v>
      </c>
      <c r="B1113">
        <v>27.798999999999999</v>
      </c>
      <c r="C1113" t="s">
        <v>19</v>
      </c>
      <c r="D1113">
        <v>0.83900000000000008</v>
      </c>
      <c r="E1113">
        <v>23.323361000000002</v>
      </c>
      <c r="F1113" t="s">
        <v>14</v>
      </c>
      <c r="G1113">
        <v>0.81400000000000006</v>
      </c>
      <c r="H1113">
        <v>18.985215854000003</v>
      </c>
      <c r="I1113" t="s">
        <v>9</v>
      </c>
      <c r="J1113">
        <v>0.23399999999999999</v>
      </c>
      <c r="K1113">
        <v>0.47463039635000009</v>
      </c>
      <c r="L1113" t="s">
        <v>37</v>
      </c>
      <c r="M1113">
        <v>0.16200000000000001</v>
      </c>
      <c r="N1113">
        <v>3.0756049683480007</v>
      </c>
    </row>
    <row r="1114" spans="1:14" x14ac:dyDescent="0.25">
      <c r="A1114" s="23">
        <v>44211</v>
      </c>
      <c r="B1114">
        <v>27.798999999999999</v>
      </c>
      <c r="C1114" t="s">
        <v>19</v>
      </c>
      <c r="D1114">
        <v>0.83900000000000008</v>
      </c>
      <c r="E1114">
        <v>23.323361000000002</v>
      </c>
      <c r="F1114" t="s">
        <v>14</v>
      </c>
      <c r="G1114">
        <v>0.81400000000000006</v>
      </c>
      <c r="H1114">
        <v>18.985215854000003</v>
      </c>
      <c r="I1114" t="s">
        <v>55</v>
      </c>
      <c r="J1114">
        <v>2.5000000000000001E-2</v>
      </c>
      <c r="K1114">
        <v>0.47463039635000009</v>
      </c>
      <c r="L1114" t="s">
        <v>38</v>
      </c>
      <c r="M1114">
        <v>2.6000000000000002E-2</v>
      </c>
      <c r="N1114">
        <v>0.49361561220400013</v>
      </c>
    </row>
    <row r="1115" spans="1:14" x14ac:dyDescent="0.25">
      <c r="A1115" s="23">
        <v>44212</v>
      </c>
      <c r="B1115">
        <v>27.798999999999999</v>
      </c>
      <c r="C1115" t="s">
        <v>19</v>
      </c>
      <c r="D1115">
        <v>0.83900000000000008</v>
      </c>
      <c r="E1115">
        <v>23.323361000000002</v>
      </c>
      <c r="F1115" t="s">
        <v>14</v>
      </c>
      <c r="G1115">
        <v>0.81400000000000006</v>
      </c>
      <c r="H1115">
        <v>18.985215854000003</v>
      </c>
      <c r="L1115" t="s">
        <v>39</v>
      </c>
      <c r="M1115">
        <v>1.3000000000000001E-2</v>
      </c>
      <c r="N1115">
        <v>0.24680780610200007</v>
      </c>
    </row>
    <row r="1116" spans="1:14" x14ac:dyDescent="0.25">
      <c r="A1116" s="23">
        <v>44213</v>
      </c>
      <c r="B1116">
        <v>27.798999999999999</v>
      </c>
      <c r="C1116" t="s">
        <v>19</v>
      </c>
      <c r="D1116">
        <v>0.83900000000000008</v>
      </c>
      <c r="E1116">
        <v>23.323361000000002</v>
      </c>
      <c r="F1116" t="s">
        <v>52</v>
      </c>
      <c r="G1116">
        <v>0.85599999999999998</v>
      </c>
      <c r="H1116">
        <v>19.964797016000002</v>
      </c>
      <c r="I1116" t="s">
        <v>11</v>
      </c>
      <c r="J1116">
        <v>6.3E-2</v>
      </c>
      <c r="K1116">
        <v>1.2577822120080002</v>
      </c>
      <c r="L1116" t="s">
        <v>32</v>
      </c>
      <c r="M1116">
        <v>1.4999999999999999E-2</v>
      </c>
      <c r="N1116">
        <v>0.29947195524000003</v>
      </c>
    </row>
    <row r="1117" spans="1:14" x14ac:dyDescent="0.25">
      <c r="A1117" s="23">
        <v>44214</v>
      </c>
      <c r="B1117">
        <v>27.798999999999999</v>
      </c>
      <c r="C1117" t="s">
        <v>19</v>
      </c>
      <c r="D1117">
        <v>0.83900000000000008</v>
      </c>
      <c r="E1117">
        <v>23.323361000000002</v>
      </c>
      <c r="F1117" t="s">
        <v>15</v>
      </c>
      <c r="G1117">
        <v>0.85599999999999998</v>
      </c>
      <c r="H1117">
        <v>19.964797016000002</v>
      </c>
      <c r="I1117" t="s">
        <v>12</v>
      </c>
      <c r="J1117">
        <v>4.4000000000000004E-2</v>
      </c>
      <c r="K1117">
        <v>0.87845106870400014</v>
      </c>
      <c r="L1117" t="s">
        <v>33</v>
      </c>
      <c r="M1117">
        <v>0.105</v>
      </c>
      <c r="N1117">
        <v>2.0963036866800002</v>
      </c>
    </row>
    <row r="1118" spans="1:14" x14ac:dyDescent="0.25">
      <c r="A1118" s="23">
        <v>44215</v>
      </c>
      <c r="B1118">
        <v>27.798999999999999</v>
      </c>
      <c r="C1118" t="s">
        <v>19</v>
      </c>
      <c r="D1118">
        <v>0.83900000000000008</v>
      </c>
      <c r="E1118">
        <v>23.323361000000002</v>
      </c>
      <c r="F1118" t="s">
        <v>15</v>
      </c>
      <c r="G1118">
        <v>0.85599999999999998</v>
      </c>
      <c r="H1118">
        <v>19.964797016000002</v>
      </c>
      <c r="I1118" t="s">
        <v>7</v>
      </c>
      <c r="J1118">
        <v>0.154</v>
      </c>
      <c r="K1118">
        <v>3.0745787404640001</v>
      </c>
      <c r="L1118" t="s">
        <v>34</v>
      </c>
      <c r="M1118">
        <v>0.21899999999999997</v>
      </c>
      <c r="N1118">
        <v>4.3722905465039998</v>
      </c>
    </row>
    <row r="1119" spans="1:14" x14ac:dyDescent="0.25">
      <c r="A1119" s="23">
        <v>44216</v>
      </c>
      <c r="B1119">
        <v>27.798999999999999</v>
      </c>
      <c r="C1119" t="s">
        <v>19</v>
      </c>
      <c r="D1119">
        <v>0.83900000000000008</v>
      </c>
      <c r="E1119">
        <v>23.323361000000002</v>
      </c>
      <c r="F1119" t="s">
        <v>15</v>
      </c>
      <c r="G1119">
        <v>0.85599999999999998</v>
      </c>
      <c r="H1119">
        <v>19.964797016000002</v>
      </c>
      <c r="I1119" t="s">
        <v>8</v>
      </c>
      <c r="J1119">
        <v>0.439</v>
      </c>
      <c r="K1119">
        <v>8.7645458900240012</v>
      </c>
      <c r="L1119" t="s">
        <v>35</v>
      </c>
      <c r="M1119">
        <v>0.32400000000000001</v>
      </c>
      <c r="N1119">
        <v>6.4685942331840005</v>
      </c>
    </row>
    <row r="1120" spans="1:14" x14ac:dyDescent="0.25">
      <c r="A1120" s="23">
        <v>44217</v>
      </c>
      <c r="B1120">
        <v>27.798999999999999</v>
      </c>
      <c r="C1120" t="s">
        <v>19</v>
      </c>
      <c r="D1120">
        <v>0.83900000000000008</v>
      </c>
      <c r="E1120">
        <v>23.323361000000002</v>
      </c>
      <c r="F1120" t="s">
        <v>15</v>
      </c>
      <c r="G1120">
        <v>0.85599999999999998</v>
      </c>
      <c r="H1120">
        <v>19.964797016000002</v>
      </c>
      <c r="I1120" t="s">
        <v>10</v>
      </c>
      <c r="J1120">
        <v>5.7000000000000002E-2</v>
      </c>
      <c r="K1120">
        <v>1.1379934299120003</v>
      </c>
      <c r="L1120" t="s">
        <v>36</v>
      </c>
      <c r="M1120">
        <v>0.214</v>
      </c>
      <c r="N1120">
        <v>4.2724665614240003</v>
      </c>
    </row>
    <row r="1121" spans="1:14" x14ac:dyDescent="0.25">
      <c r="A1121" s="23">
        <v>44218</v>
      </c>
      <c r="B1121">
        <v>27.798999999999999</v>
      </c>
      <c r="C1121" t="s">
        <v>19</v>
      </c>
      <c r="D1121">
        <v>0.83900000000000008</v>
      </c>
      <c r="E1121">
        <v>23.323361000000002</v>
      </c>
      <c r="F1121" t="s">
        <v>15</v>
      </c>
      <c r="G1121">
        <v>0.85599999999999998</v>
      </c>
      <c r="H1121">
        <v>19.964797016000002</v>
      </c>
      <c r="I1121" t="s">
        <v>9</v>
      </c>
      <c r="J1121">
        <v>0.221</v>
      </c>
      <c r="K1121">
        <v>4.4122201405360002</v>
      </c>
      <c r="L1121" t="s">
        <v>37</v>
      </c>
      <c r="M1121">
        <v>0.12</v>
      </c>
      <c r="N1121">
        <v>2.3957756419200003</v>
      </c>
    </row>
    <row r="1122" spans="1:14" x14ac:dyDescent="0.25">
      <c r="A1122" s="23">
        <v>44219</v>
      </c>
      <c r="B1122">
        <v>27.798999999999999</v>
      </c>
      <c r="C1122" t="s">
        <v>19</v>
      </c>
      <c r="D1122">
        <v>0.83900000000000008</v>
      </c>
      <c r="E1122">
        <v>23.323361000000002</v>
      </c>
      <c r="F1122" t="s">
        <v>15</v>
      </c>
      <c r="G1122">
        <v>0.85599999999999998</v>
      </c>
      <c r="H1122">
        <v>19.964797016000002</v>
      </c>
      <c r="I1122" t="s">
        <v>55</v>
      </c>
      <c r="J1122">
        <v>2.3E-2</v>
      </c>
      <c r="K1122">
        <v>0.45919033136800003</v>
      </c>
      <c r="L1122" t="s">
        <v>38</v>
      </c>
      <c r="M1122">
        <v>0</v>
      </c>
      <c r="N1122">
        <v>0</v>
      </c>
    </row>
    <row r="1123" spans="1:14" x14ac:dyDescent="0.25">
      <c r="A1123" s="23">
        <v>44220</v>
      </c>
      <c r="B1123">
        <v>27.798999999999999</v>
      </c>
      <c r="C1123" t="s">
        <v>19</v>
      </c>
      <c r="D1123">
        <v>0.83900000000000008</v>
      </c>
      <c r="E1123">
        <v>23.323361000000002</v>
      </c>
      <c r="F1123" t="s">
        <v>15</v>
      </c>
      <c r="G1123">
        <v>0.85599999999999998</v>
      </c>
      <c r="H1123">
        <v>19.964797016000002</v>
      </c>
      <c r="L1123" t="s">
        <v>39</v>
      </c>
      <c r="M1123">
        <v>3.0000000000000001E-3</v>
      </c>
      <c r="N1123">
        <v>5.9894391048000005E-2</v>
      </c>
    </row>
    <row r="1124" spans="1:14" x14ac:dyDescent="0.25">
      <c r="A1124" s="23">
        <v>44221</v>
      </c>
      <c r="B1124">
        <v>27.798999999999999</v>
      </c>
      <c r="C1124" t="s">
        <v>19</v>
      </c>
      <c r="D1124">
        <v>0.83900000000000008</v>
      </c>
      <c r="E1124">
        <v>23.323361000000002</v>
      </c>
      <c r="F1124" t="s">
        <v>53</v>
      </c>
      <c r="G1124">
        <v>0.84099999999999997</v>
      </c>
      <c r="H1124">
        <v>19.614946601</v>
      </c>
      <c r="I1124" t="s">
        <v>11</v>
      </c>
      <c r="J1124">
        <v>0.13200000000000001</v>
      </c>
      <c r="K1124">
        <v>2.5891729513319999</v>
      </c>
      <c r="L1124" t="s">
        <v>32</v>
      </c>
      <c r="M1124">
        <v>5.7999999999999996E-2</v>
      </c>
      <c r="N1124">
        <v>1.137666902858</v>
      </c>
    </row>
    <row r="1125" spans="1:14" x14ac:dyDescent="0.25">
      <c r="A1125" s="23">
        <v>44222</v>
      </c>
      <c r="B1125">
        <v>27.798999999999999</v>
      </c>
      <c r="C1125" t="s">
        <v>19</v>
      </c>
      <c r="D1125">
        <v>0.83900000000000008</v>
      </c>
      <c r="E1125">
        <v>23.323361000000002</v>
      </c>
      <c r="F1125" t="s">
        <v>16</v>
      </c>
      <c r="G1125">
        <v>0.84099999999999997</v>
      </c>
      <c r="H1125">
        <v>19.614946601</v>
      </c>
      <c r="I1125" t="s">
        <v>12</v>
      </c>
      <c r="J1125">
        <v>6.2E-2</v>
      </c>
      <c r="K1125">
        <v>1.216126689262</v>
      </c>
      <c r="L1125" t="s">
        <v>33</v>
      </c>
      <c r="M1125">
        <v>0.125</v>
      </c>
      <c r="N1125">
        <v>2.451868325125</v>
      </c>
    </row>
    <row r="1126" spans="1:14" x14ac:dyDescent="0.25">
      <c r="A1126" s="23">
        <v>44223</v>
      </c>
      <c r="B1126">
        <v>27.798999999999999</v>
      </c>
      <c r="C1126" t="s">
        <v>19</v>
      </c>
      <c r="D1126">
        <v>0.83900000000000008</v>
      </c>
      <c r="E1126">
        <v>23.323361000000002</v>
      </c>
      <c r="F1126" t="s">
        <v>16</v>
      </c>
      <c r="G1126">
        <v>0.84099999999999997</v>
      </c>
      <c r="H1126">
        <v>19.614946601</v>
      </c>
      <c r="I1126" t="s">
        <v>7</v>
      </c>
      <c r="J1126">
        <v>0.16200000000000001</v>
      </c>
      <c r="K1126">
        <v>3.177621349362</v>
      </c>
      <c r="L1126" t="s">
        <v>34</v>
      </c>
      <c r="M1126">
        <v>0.16399999999999998</v>
      </c>
      <c r="N1126">
        <v>3.2168512425639997</v>
      </c>
    </row>
    <row r="1127" spans="1:14" x14ac:dyDescent="0.25">
      <c r="A1127" s="23">
        <v>44224</v>
      </c>
      <c r="B1127">
        <v>27.798999999999999</v>
      </c>
      <c r="C1127" t="s">
        <v>19</v>
      </c>
      <c r="D1127">
        <v>0.83900000000000008</v>
      </c>
      <c r="E1127">
        <v>23.323361000000002</v>
      </c>
      <c r="F1127" t="s">
        <v>16</v>
      </c>
      <c r="G1127">
        <v>0.84099999999999997</v>
      </c>
      <c r="H1127">
        <v>19.614946601</v>
      </c>
      <c r="I1127" t="s">
        <v>8</v>
      </c>
      <c r="J1127">
        <v>0.36599999999999999</v>
      </c>
      <c r="K1127">
        <v>7.1790704559659995</v>
      </c>
      <c r="L1127" t="s">
        <v>35</v>
      </c>
      <c r="M1127">
        <v>0.25700000000000001</v>
      </c>
      <c r="N1127">
        <v>5.0410412764570003</v>
      </c>
    </row>
    <row r="1128" spans="1:14" x14ac:dyDescent="0.25">
      <c r="A1128" s="23">
        <v>44225</v>
      </c>
      <c r="B1128">
        <v>27.798999999999999</v>
      </c>
      <c r="C1128" t="s">
        <v>19</v>
      </c>
      <c r="D1128">
        <v>0.83900000000000008</v>
      </c>
      <c r="E1128">
        <v>23.323361000000002</v>
      </c>
      <c r="F1128" t="s">
        <v>16</v>
      </c>
      <c r="G1128">
        <v>0.84099999999999997</v>
      </c>
      <c r="H1128">
        <v>19.614946601</v>
      </c>
      <c r="I1128" t="s">
        <v>10</v>
      </c>
      <c r="J1128">
        <v>4.4000000000000004E-2</v>
      </c>
      <c r="K1128">
        <v>0.86305765044400007</v>
      </c>
      <c r="L1128" t="s">
        <v>36</v>
      </c>
      <c r="M1128">
        <v>0.215</v>
      </c>
      <c r="N1128">
        <v>4.217213519215</v>
      </c>
    </row>
    <row r="1129" spans="1:14" x14ac:dyDescent="0.25">
      <c r="A1129" s="23">
        <v>44226</v>
      </c>
      <c r="B1129">
        <v>27.798999999999999</v>
      </c>
      <c r="C1129" t="s">
        <v>19</v>
      </c>
      <c r="D1129">
        <v>0.83900000000000008</v>
      </c>
      <c r="E1129">
        <v>23.323361000000002</v>
      </c>
      <c r="F1129" t="s">
        <v>16</v>
      </c>
      <c r="G1129">
        <v>0.84099999999999997</v>
      </c>
      <c r="H1129">
        <v>19.614946601</v>
      </c>
      <c r="I1129" t="s">
        <v>9</v>
      </c>
      <c r="J1129">
        <v>0.20100000000000001</v>
      </c>
      <c r="K1129">
        <v>3.9426042668010002</v>
      </c>
      <c r="L1129" t="s">
        <v>37</v>
      </c>
      <c r="M1129">
        <v>0.153</v>
      </c>
      <c r="N1129">
        <v>3.001086829953</v>
      </c>
    </row>
    <row r="1130" spans="1:14" x14ac:dyDescent="0.25">
      <c r="A1130" s="23">
        <v>44227</v>
      </c>
      <c r="B1130">
        <v>27.798999999999999</v>
      </c>
      <c r="C1130" t="s">
        <v>19</v>
      </c>
      <c r="D1130">
        <v>0.83900000000000008</v>
      </c>
      <c r="E1130">
        <v>23.323361000000002</v>
      </c>
      <c r="F1130" t="s">
        <v>16</v>
      </c>
      <c r="G1130">
        <v>0.84099999999999997</v>
      </c>
      <c r="H1130">
        <v>19.614946601</v>
      </c>
      <c r="I1130" t="s">
        <v>55</v>
      </c>
      <c r="J1130">
        <v>3.2000000000000001E-2</v>
      </c>
      <c r="K1130">
        <v>0.62767829123200003</v>
      </c>
      <c r="L1130" t="s">
        <v>38</v>
      </c>
      <c r="M1130">
        <v>1.6E-2</v>
      </c>
      <c r="N1130">
        <v>0.31383914561600001</v>
      </c>
    </row>
    <row r="1131" spans="1:14" x14ac:dyDescent="0.25">
      <c r="A1131" s="23">
        <v>44228</v>
      </c>
      <c r="B1131">
        <v>27.798999999999999</v>
      </c>
      <c r="C1131" t="s">
        <v>19</v>
      </c>
      <c r="D1131">
        <v>0.83900000000000008</v>
      </c>
      <c r="E1131">
        <v>23.323361000000002</v>
      </c>
      <c r="F1131" t="s">
        <v>16</v>
      </c>
      <c r="G1131">
        <v>0.84099999999999997</v>
      </c>
      <c r="H1131">
        <v>19.614946601</v>
      </c>
      <c r="L1131" t="s">
        <v>39</v>
      </c>
      <c r="M1131">
        <v>1.2E-2</v>
      </c>
      <c r="N1131">
        <v>0.23537935921200001</v>
      </c>
    </row>
    <row r="1132" spans="1:14" x14ac:dyDescent="0.25">
      <c r="A1132" s="23">
        <v>44229</v>
      </c>
      <c r="B1132">
        <v>27.798999999999999</v>
      </c>
      <c r="C1132" t="s">
        <v>19</v>
      </c>
      <c r="D1132">
        <v>0.83900000000000008</v>
      </c>
      <c r="E1132">
        <v>23.323361000000002</v>
      </c>
      <c r="F1132" t="s">
        <v>51</v>
      </c>
      <c r="G1132">
        <v>0.81499999999999995</v>
      </c>
      <c r="H1132">
        <v>19.008539214999999</v>
      </c>
      <c r="I1132" t="s">
        <v>11</v>
      </c>
      <c r="J1132">
        <v>0.16699999999999998</v>
      </c>
      <c r="K1132">
        <v>3.1744260489049996</v>
      </c>
      <c r="L1132" t="s">
        <v>32</v>
      </c>
      <c r="M1132">
        <v>5.7000000000000002E-2</v>
      </c>
      <c r="N1132">
        <v>1.0834867352549999</v>
      </c>
    </row>
    <row r="1133" spans="1:14" x14ac:dyDescent="0.25">
      <c r="A1133" s="23">
        <v>44230</v>
      </c>
      <c r="B1133">
        <v>27.798999999999999</v>
      </c>
      <c r="C1133" t="s">
        <v>19</v>
      </c>
      <c r="D1133">
        <v>0.83900000000000008</v>
      </c>
      <c r="E1133">
        <v>23.323361000000002</v>
      </c>
      <c r="F1133" t="s">
        <v>13</v>
      </c>
      <c r="G1133">
        <v>0.81499999999999995</v>
      </c>
      <c r="H1133">
        <v>19.008539214999999</v>
      </c>
      <c r="I1133" t="s">
        <v>12</v>
      </c>
      <c r="J1133">
        <v>8.900000000000001E-2</v>
      </c>
      <c r="K1133">
        <v>1.691759990135</v>
      </c>
      <c r="L1133" t="s">
        <v>33</v>
      </c>
      <c r="M1133">
        <v>0.127</v>
      </c>
      <c r="N1133">
        <v>2.4140844803050001</v>
      </c>
    </row>
    <row r="1134" spans="1:14" x14ac:dyDescent="0.25">
      <c r="A1134" s="23">
        <v>44231</v>
      </c>
      <c r="B1134">
        <v>27.798999999999999</v>
      </c>
      <c r="C1134" t="s">
        <v>19</v>
      </c>
      <c r="D1134">
        <v>0.83900000000000008</v>
      </c>
      <c r="E1134">
        <v>23.323361000000002</v>
      </c>
      <c r="F1134" t="s">
        <v>13</v>
      </c>
      <c r="G1134">
        <v>0.81499999999999995</v>
      </c>
      <c r="H1134">
        <v>19.008539214999999</v>
      </c>
      <c r="I1134" t="s">
        <v>7</v>
      </c>
      <c r="J1134">
        <v>0.16899999999999998</v>
      </c>
      <c r="K1134">
        <v>3.2124431273349994</v>
      </c>
      <c r="L1134" t="s">
        <v>34</v>
      </c>
      <c r="M1134">
        <v>0.161</v>
      </c>
      <c r="N1134">
        <v>3.0603748136149997</v>
      </c>
    </row>
    <row r="1135" spans="1:14" x14ac:dyDescent="0.25">
      <c r="A1135" s="23">
        <v>44232</v>
      </c>
      <c r="B1135">
        <v>27.798999999999999</v>
      </c>
      <c r="C1135" t="s">
        <v>19</v>
      </c>
      <c r="D1135">
        <v>0.83900000000000008</v>
      </c>
      <c r="E1135">
        <v>23.323361000000002</v>
      </c>
      <c r="F1135" t="s">
        <v>13</v>
      </c>
      <c r="G1135">
        <v>0.81499999999999995</v>
      </c>
      <c r="H1135">
        <v>19.008539214999999</v>
      </c>
      <c r="I1135" t="s">
        <v>8</v>
      </c>
      <c r="J1135">
        <v>0.37799999999999995</v>
      </c>
      <c r="K1135">
        <v>7.1852278232699982</v>
      </c>
      <c r="L1135" t="s">
        <v>35</v>
      </c>
      <c r="M1135">
        <v>0.25800000000000001</v>
      </c>
      <c r="N1135">
        <v>4.9042031174699998</v>
      </c>
    </row>
    <row r="1136" spans="1:14" x14ac:dyDescent="0.25">
      <c r="A1136" s="23">
        <v>44233</v>
      </c>
      <c r="B1136">
        <v>27.798999999999999</v>
      </c>
      <c r="C1136" t="s">
        <v>19</v>
      </c>
      <c r="D1136">
        <v>0.83900000000000008</v>
      </c>
      <c r="E1136">
        <v>23.323361000000002</v>
      </c>
      <c r="F1136" t="s">
        <v>13</v>
      </c>
      <c r="G1136">
        <v>0.81499999999999995</v>
      </c>
      <c r="H1136">
        <v>19.008539214999999</v>
      </c>
      <c r="I1136" t="s">
        <v>10</v>
      </c>
      <c r="J1136">
        <v>0.03</v>
      </c>
      <c r="K1136">
        <v>0.57025617644999993</v>
      </c>
      <c r="L1136" t="s">
        <v>36</v>
      </c>
      <c r="M1136">
        <v>0.20499999999999999</v>
      </c>
      <c r="N1136">
        <v>3.8967505390749997</v>
      </c>
    </row>
    <row r="1137" spans="1:14" x14ac:dyDescent="0.25">
      <c r="A1137" s="23">
        <v>44234</v>
      </c>
      <c r="B1137">
        <v>27.798999999999999</v>
      </c>
      <c r="C1137" t="s">
        <v>19</v>
      </c>
      <c r="D1137">
        <v>0.83900000000000008</v>
      </c>
      <c r="E1137">
        <v>23.323361000000002</v>
      </c>
      <c r="F1137" t="s">
        <v>13</v>
      </c>
      <c r="G1137">
        <v>0.81499999999999995</v>
      </c>
      <c r="H1137">
        <v>19.008539214999999</v>
      </c>
      <c r="I1137" t="s">
        <v>9</v>
      </c>
      <c r="J1137">
        <v>0.14000000000000001</v>
      </c>
      <c r="K1137">
        <v>2.6611954900999999</v>
      </c>
      <c r="L1137" t="s">
        <v>37</v>
      </c>
      <c r="M1137">
        <v>0.14199999999999999</v>
      </c>
      <c r="N1137">
        <v>2.6992125685299997</v>
      </c>
    </row>
    <row r="1138" spans="1:14" x14ac:dyDescent="0.25">
      <c r="A1138" s="23">
        <v>44235</v>
      </c>
      <c r="B1138">
        <v>27.798999999999999</v>
      </c>
      <c r="C1138" t="s">
        <v>19</v>
      </c>
      <c r="D1138">
        <v>0.83900000000000008</v>
      </c>
      <c r="E1138">
        <v>23.323361000000002</v>
      </c>
      <c r="F1138" t="s">
        <v>13</v>
      </c>
      <c r="G1138">
        <v>0.81499999999999995</v>
      </c>
      <c r="H1138">
        <v>19.008539214999999</v>
      </c>
      <c r="I1138" t="s">
        <v>55</v>
      </c>
      <c r="J1138">
        <v>2.7999999999999997E-2</v>
      </c>
      <c r="K1138">
        <v>0.53223909801999991</v>
      </c>
      <c r="L1138" t="s">
        <v>38</v>
      </c>
      <c r="M1138">
        <v>2.7999999999999997E-2</v>
      </c>
      <c r="N1138">
        <v>0.53223909801999991</v>
      </c>
    </row>
    <row r="1139" spans="1:14" x14ac:dyDescent="0.25">
      <c r="A1139" s="23">
        <v>44236</v>
      </c>
      <c r="B1139">
        <v>27.798999999999999</v>
      </c>
      <c r="C1139" t="s">
        <v>19</v>
      </c>
      <c r="D1139">
        <v>0.83900000000000008</v>
      </c>
      <c r="E1139">
        <v>23.323361000000002</v>
      </c>
      <c r="F1139" t="s">
        <v>13</v>
      </c>
      <c r="G1139">
        <v>0.81499999999999995</v>
      </c>
      <c r="H1139">
        <v>19.008539214999999</v>
      </c>
      <c r="L1139" t="s">
        <v>39</v>
      </c>
      <c r="M1139">
        <v>2.2000000000000002E-2</v>
      </c>
      <c r="N1139">
        <v>0.41818786273000003</v>
      </c>
    </row>
    <row r="1140" spans="1:14" x14ac:dyDescent="0.25">
      <c r="A1140" s="23">
        <v>44237</v>
      </c>
      <c r="B1140">
        <v>27.798999999999999</v>
      </c>
      <c r="C1140" t="s">
        <v>19</v>
      </c>
      <c r="D1140">
        <v>0.83900000000000008</v>
      </c>
      <c r="E1140">
        <v>23.323361000000002</v>
      </c>
      <c r="F1140" t="s">
        <v>50</v>
      </c>
      <c r="G1140">
        <v>0.90700000000000003</v>
      </c>
      <c r="H1140">
        <v>21.154288427000001</v>
      </c>
      <c r="I1140" t="s">
        <v>11</v>
      </c>
      <c r="J1140">
        <v>9.6999999999999989E-2</v>
      </c>
      <c r="K1140">
        <v>2.051965977419</v>
      </c>
      <c r="L1140" t="s">
        <v>32</v>
      </c>
      <c r="M1140">
        <v>1.2E-2</v>
      </c>
      <c r="N1140">
        <v>0.25385146112400003</v>
      </c>
    </row>
    <row r="1141" spans="1:14" x14ac:dyDescent="0.25">
      <c r="A1141" s="23">
        <v>44238</v>
      </c>
      <c r="B1141">
        <v>27.798999999999999</v>
      </c>
      <c r="C1141" t="s">
        <v>19</v>
      </c>
      <c r="D1141">
        <v>0.83900000000000008</v>
      </c>
      <c r="E1141">
        <v>23.323361000000002</v>
      </c>
      <c r="F1141" t="s">
        <v>17</v>
      </c>
      <c r="G1141">
        <v>0.90700000000000003</v>
      </c>
      <c r="H1141">
        <v>21.154288427000001</v>
      </c>
      <c r="I1141" t="s">
        <v>12</v>
      </c>
      <c r="J1141">
        <v>9.0999999999999998E-2</v>
      </c>
      <c r="K1141">
        <v>1.925040246857</v>
      </c>
      <c r="L1141" t="s">
        <v>33</v>
      </c>
      <c r="M1141">
        <v>0.13500000000000001</v>
      </c>
      <c r="N1141">
        <v>2.8558289376450001</v>
      </c>
    </row>
    <row r="1142" spans="1:14" x14ac:dyDescent="0.25">
      <c r="A1142" s="23">
        <v>44239</v>
      </c>
      <c r="B1142">
        <v>27.798999999999999</v>
      </c>
      <c r="C1142" t="s">
        <v>19</v>
      </c>
      <c r="D1142">
        <v>0.83900000000000008</v>
      </c>
      <c r="E1142">
        <v>23.323361000000002</v>
      </c>
      <c r="F1142" t="s">
        <v>17</v>
      </c>
      <c r="G1142">
        <v>0.90700000000000003</v>
      </c>
      <c r="H1142">
        <v>21.154288427000001</v>
      </c>
      <c r="I1142" t="s">
        <v>7</v>
      </c>
      <c r="J1142">
        <v>0.3</v>
      </c>
      <c r="K1142">
        <v>6.3462865281000003</v>
      </c>
      <c r="L1142" t="s">
        <v>34</v>
      </c>
      <c r="M1142">
        <v>0.17899999999999999</v>
      </c>
      <c r="N1142">
        <v>3.786617628433</v>
      </c>
    </row>
    <row r="1143" spans="1:14" x14ac:dyDescent="0.25">
      <c r="A1143" s="23">
        <v>44240</v>
      </c>
      <c r="B1143">
        <v>27.798999999999999</v>
      </c>
      <c r="C1143" t="s">
        <v>19</v>
      </c>
      <c r="D1143">
        <v>0.83900000000000008</v>
      </c>
      <c r="E1143">
        <v>23.323361000000002</v>
      </c>
      <c r="F1143" t="s">
        <v>17</v>
      </c>
      <c r="G1143">
        <v>0.90700000000000003</v>
      </c>
      <c r="H1143">
        <v>21.154288427000001</v>
      </c>
      <c r="I1143" t="s">
        <v>8</v>
      </c>
      <c r="J1143">
        <v>0.29399999999999998</v>
      </c>
      <c r="K1143">
        <v>6.2193607975380001</v>
      </c>
      <c r="L1143" t="s">
        <v>35</v>
      </c>
      <c r="M1143">
        <v>0.39899999999999997</v>
      </c>
      <c r="N1143">
        <v>8.4405610823729997</v>
      </c>
    </row>
    <row r="1144" spans="1:14" x14ac:dyDescent="0.25">
      <c r="A1144" s="23">
        <v>44241</v>
      </c>
      <c r="B1144">
        <v>27.798999999999999</v>
      </c>
      <c r="C1144" t="s">
        <v>19</v>
      </c>
      <c r="D1144">
        <v>0.83900000000000008</v>
      </c>
      <c r="E1144">
        <v>23.323361000000002</v>
      </c>
      <c r="F1144" t="s">
        <v>17</v>
      </c>
      <c r="G1144">
        <v>0.90700000000000003</v>
      </c>
      <c r="H1144">
        <v>21.154288427000001</v>
      </c>
      <c r="I1144" t="s">
        <v>10</v>
      </c>
      <c r="J1144">
        <v>3.9E-2</v>
      </c>
      <c r="K1144">
        <v>0.82501724865300008</v>
      </c>
      <c r="L1144" t="s">
        <v>36</v>
      </c>
      <c r="M1144">
        <v>0.14300000000000002</v>
      </c>
      <c r="N1144">
        <v>8.4405610823729997</v>
      </c>
    </row>
    <row r="1145" spans="1:14" x14ac:dyDescent="0.25">
      <c r="A1145" s="23">
        <v>44242</v>
      </c>
      <c r="B1145">
        <v>27.798999999999999</v>
      </c>
      <c r="C1145" t="s">
        <v>19</v>
      </c>
      <c r="D1145">
        <v>0.83900000000000008</v>
      </c>
      <c r="E1145">
        <v>23.323361000000002</v>
      </c>
      <c r="F1145" t="s">
        <v>17</v>
      </c>
      <c r="G1145">
        <v>0.90700000000000003</v>
      </c>
      <c r="H1145">
        <v>21.154288427000001</v>
      </c>
      <c r="I1145" t="s">
        <v>9</v>
      </c>
      <c r="J1145">
        <v>0.16200000000000001</v>
      </c>
      <c r="K1145">
        <v>3.4269947251740001</v>
      </c>
      <c r="L1145" t="s">
        <v>37</v>
      </c>
      <c r="M1145">
        <v>0.115</v>
      </c>
      <c r="N1145">
        <v>3.0250632450610007</v>
      </c>
    </row>
    <row r="1146" spans="1:14" x14ac:dyDescent="0.25">
      <c r="A1146" s="23">
        <v>44243</v>
      </c>
      <c r="B1146">
        <v>27.798999999999999</v>
      </c>
      <c r="C1146" t="s">
        <v>19</v>
      </c>
      <c r="D1146">
        <v>0.83900000000000008</v>
      </c>
      <c r="E1146">
        <v>23.323361000000002</v>
      </c>
      <c r="F1146" t="s">
        <v>17</v>
      </c>
      <c r="G1146">
        <v>0.90700000000000003</v>
      </c>
      <c r="H1146">
        <v>21.154288427000001</v>
      </c>
      <c r="I1146" t="s">
        <v>55</v>
      </c>
      <c r="J1146">
        <v>1.7000000000000001E-2</v>
      </c>
      <c r="K1146">
        <v>0.35962290325900004</v>
      </c>
      <c r="L1146" t="s">
        <v>38</v>
      </c>
      <c r="M1146">
        <v>6.9999999999999993E-3</v>
      </c>
      <c r="N1146">
        <v>2.4327431691050001</v>
      </c>
    </row>
    <row r="1147" spans="1:14" x14ac:dyDescent="0.25">
      <c r="A1147" s="23">
        <v>44244</v>
      </c>
      <c r="B1147">
        <v>27.798999999999999</v>
      </c>
      <c r="C1147" t="s">
        <v>19</v>
      </c>
      <c r="D1147">
        <v>0.83900000000000008</v>
      </c>
      <c r="E1147">
        <v>23.323361000000002</v>
      </c>
      <c r="F1147" t="s">
        <v>17</v>
      </c>
      <c r="G1147">
        <v>0.90700000000000003</v>
      </c>
      <c r="H1147">
        <v>21.154288427000001</v>
      </c>
      <c r="L1147" t="s">
        <v>39</v>
      </c>
      <c r="M1147">
        <v>1.1000000000000001E-2</v>
      </c>
      <c r="N1147">
        <v>0.148080018989</v>
      </c>
    </row>
    <row r="1148" spans="1:14" x14ac:dyDescent="0.25">
      <c r="A1148" s="23">
        <v>44245</v>
      </c>
      <c r="B1148">
        <v>27.798999999999999</v>
      </c>
      <c r="C1148" t="s">
        <v>19</v>
      </c>
      <c r="D1148">
        <v>0.83900000000000008</v>
      </c>
      <c r="E1148">
        <v>23.323361000000002</v>
      </c>
      <c r="F1148" t="s">
        <v>49</v>
      </c>
      <c r="G1148">
        <v>0.8909999999999999</v>
      </c>
      <c r="H1148">
        <v>20.781114650999999</v>
      </c>
      <c r="I1148" t="s">
        <v>11</v>
      </c>
      <c r="J1148">
        <v>0.20600000000000002</v>
      </c>
      <c r="K1148">
        <v>4.2809096181060005</v>
      </c>
      <c r="L1148" t="s">
        <v>32</v>
      </c>
      <c r="M1148">
        <v>9.0999999999999998E-2</v>
      </c>
      <c r="N1148">
        <v>1.891081433241</v>
      </c>
    </row>
    <row r="1149" spans="1:14" x14ac:dyDescent="0.25">
      <c r="A1149" s="23">
        <v>44246</v>
      </c>
      <c r="B1149">
        <v>27.798999999999999</v>
      </c>
      <c r="C1149" t="s">
        <v>19</v>
      </c>
      <c r="D1149">
        <v>0.83900000000000008</v>
      </c>
      <c r="E1149">
        <v>23.323361000000002</v>
      </c>
      <c r="F1149" t="s">
        <v>18</v>
      </c>
      <c r="G1149">
        <v>0.8909999999999999</v>
      </c>
      <c r="H1149">
        <v>20.781114650999999</v>
      </c>
      <c r="I1149" t="s">
        <v>12</v>
      </c>
      <c r="J1149">
        <v>9.6999999999999989E-2</v>
      </c>
      <c r="K1149">
        <v>2.0157681211469995</v>
      </c>
      <c r="L1149" t="s">
        <v>33</v>
      </c>
      <c r="M1149">
        <v>0.14400000000000002</v>
      </c>
      <c r="N1149">
        <v>2.9924805097440004</v>
      </c>
    </row>
    <row r="1150" spans="1:14" x14ac:dyDescent="0.25">
      <c r="A1150" s="23">
        <v>44247</v>
      </c>
      <c r="B1150">
        <v>27.798999999999999</v>
      </c>
      <c r="C1150" t="s">
        <v>19</v>
      </c>
      <c r="D1150">
        <v>0.83900000000000008</v>
      </c>
      <c r="E1150">
        <v>23.323361000000002</v>
      </c>
      <c r="F1150" t="s">
        <v>18</v>
      </c>
      <c r="G1150">
        <v>0.8909999999999999</v>
      </c>
      <c r="H1150">
        <v>20.781114650999999</v>
      </c>
      <c r="I1150" t="s">
        <v>7</v>
      </c>
      <c r="J1150">
        <v>0.188</v>
      </c>
      <c r="K1150">
        <v>3.9068495543879997</v>
      </c>
      <c r="L1150" t="s">
        <v>34</v>
      </c>
      <c r="M1150">
        <v>0.157</v>
      </c>
      <c r="N1150">
        <v>3.2626350002069997</v>
      </c>
    </row>
    <row r="1151" spans="1:14" x14ac:dyDescent="0.25">
      <c r="A1151" s="23">
        <v>44248</v>
      </c>
      <c r="B1151">
        <v>27.798999999999999</v>
      </c>
      <c r="C1151" t="s">
        <v>19</v>
      </c>
      <c r="D1151">
        <v>0.83900000000000008</v>
      </c>
      <c r="E1151">
        <v>23.323361000000002</v>
      </c>
      <c r="F1151" t="s">
        <v>18</v>
      </c>
      <c r="G1151">
        <v>0.8909999999999999</v>
      </c>
      <c r="H1151">
        <v>20.781114650999999</v>
      </c>
      <c r="I1151" t="s">
        <v>8</v>
      </c>
      <c r="J1151">
        <v>0.371</v>
      </c>
      <c r="K1151">
        <v>7.7097935355209994</v>
      </c>
      <c r="L1151" t="s">
        <v>35</v>
      </c>
      <c r="M1151">
        <v>0.247</v>
      </c>
      <c r="N1151">
        <v>5.1329353187970002</v>
      </c>
    </row>
    <row r="1152" spans="1:14" x14ac:dyDescent="0.25">
      <c r="A1152" s="23">
        <v>44249</v>
      </c>
      <c r="B1152">
        <v>27.798999999999999</v>
      </c>
      <c r="C1152" t="s">
        <v>19</v>
      </c>
      <c r="D1152">
        <v>0.83900000000000008</v>
      </c>
      <c r="E1152">
        <v>23.323361000000002</v>
      </c>
      <c r="F1152" t="s">
        <v>18</v>
      </c>
      <c r="G1152">
        <v>0.8909999999999999</v>
      </c>
      <c r="H1152">
        <v>20.781114650999999</v>
      </c>
      <c r="I1152" t="s">
        <v>10</v>
      </c>
      <c r="J1152">
        <v>2.7000000000000003E-2</v>
      </c>
      <c r="K1152">
        <v>0.56109009557700007</v>
      </c>
      <c r="L1152" t="s">
        <v>36</v>
      </c>
      <c r="M1152">
        <v>0.17300000000000001</v>
      </c>
      <c r="N1152">
        <v>3.595132834623</v>
      </c>
    </row>
    <row r="1153" spans="1:14" x14ac:dyDescent="0.25">
      <c r="A1153" s="23">
        <v>44250</v>
      </c>
      <c r="B1153">
        <v>27.798999999999999</v>
      </c>
      <c r="C1153" t="s">
        <v>19</v>
      </c>
      <c r="D1153">
        <v>0.83900000000000008</v>
      </c>
      <c r="E1153">
        <v>23.323361000000002</v>
      </c>
      <c r="F1153" t="s">
        <v>18</v>
      </c>
      <c r="G1153">
        <v>0.8909999999999999</v>
      </c>
      <c r="H1153">
        <v>20.781114650999999</v>
      </c>
      <c r="I1153" t="s">
        <v>9</v>
      </c>
      <c r="J1153">
        <v>8.5000000000000006E-2</v>
      </c>
      <c r="K1153">
        <v>1.766394745335</v>
      </c>
      <c r="L1153" t="s">
        <v>37</v>
      </c>
      <c r="M1153">
        <v>0.13300000000000001</v>
      </c>
      <c r="N1153">
        <v>2.7638882485830001</v>
      </c>
    </row>
    <row r="1154" spans="1:14" x14ac:dyDescent="0.25">
      <c r="A1154" s="23">
        <v>44251</v>
      </c>
      <c r="B1154">
        <v>27.798999999999999</v>
      </c>
      <c r="C1154" t="s">
        <v>19</v>
      </c>
      <c r="D1154">
        <v>0.83900000000000008</v>
      </c>
      <c r="E1154">
        <v>23.323361000000002</v>
      </c>
      <c r="F1154" t="s">
        <v>18</v>
      </c>
      <c r="G1154">
        <v>0.8909999999999999</v>
      </c>
      <c r="H1154">
        <v>20.781114650999999</v>
      </c>
      <c r="I1154" t="s">
        <v>55</v>
      </c>
      <c r="J1154">
        <v>2.4E-2</v>
      </c>
      <c r="K1154">
        <v>0.49874675162400001</v>
      </c>
      <c r="L1154" t="s">
        <v>38</v>
      </c>
      <c r="M1154">
        <v>0.03</v>
      </c>
      <c r="N1154">
        <v>0.62343343952999997</v>
      </c>
    </row>
    <row r="1155" spans="1:14" x14ac:dyDescent="0.25">
      <c r="A1155" s="23">
        <v>44252</v>
      </c>
      <c r="B1155">
        <v>27.798999999999999</v>
      </c>
      <c r="C1155" t="s">
        <v>19</v>
      </c>
      <c r="D1155">
        <v>0.83900000000000008</v>
      </c>
      <c r="E1155">
        <v>23.323361000000002</v>
      </c>
      <c r="F1155" t="s">
        <v>18</v>
      </c>
      <c r="G1155">
        <v>0.8909999999999999</v>
      </c>
      <c r="H1155">
        <v>20.781114650999999</v>
      </c>
      <c r="L1155" t="s">
        <v>39</v>
      </c>
      <c r="M1155">
        <v>2.3E-2</v>
      </c>
      <c r="N1155">
        <v>0.47796563697299999</v>
      </c>
    </row>
    <row r="1156" spans="1:14" x14ac:dyDescent="0.25">
      <c r="A1156" s="23">
        <v>44253</v>
      </c>
      <c r="B1156">
        <v>27.129000000000001</v>
      </c>
      <c r="C1156" t="s">
        <v>2</v>
      </c>
      <c r="D1156">
        <v>0.158</v>
      </c>
      <c r="E1156">
        <v>4.2863820000000006</v>
      </c>
      <c r="F1156" t="s">
        <v>14</v>
      </c>
      <c r="G1156">
        <v>0.16699999999999998</v>
      </c>
      <c r="H1156">
        <v>0.71582579400000002</v>
      </c>
      <c r="I1156" t="s">
        <v>11</v>
      </c>
      <c r="J1156">
        <v>9.1999999999999998E-2</v>
      </c>
      <c r="K1156">
        <v>6.5855973048000005E-2</v>
      </c>
      <c r="L1156" t="s">
        <v>32</v>
      </c>
      <c r="M1156">
        <v>1.2E-2</v>
      </c>
      <c r="N1156">
        <v>8.5899095280000011E-3</v>
      </c>
    </row>
    <row r="1157" spans="1:14" x14ac:dyDescent="0.25">
      <c r="A1157" s="23">
        <v>44254</v>
      </c>
      <c r="B1157">
        <v>27.129000000000001</v>
      </c>
      <c r="C1157" t="s">
        <v>2</v>
      </c>
      <c r="D1157">
        <v>0.158</v>
      </c>
      <c r="E1157">
        <v>4.2863820000000006</v>
      </c>
      <c r="F1157" t="s">
        <v>43</v>
      </c>
      <c r="G1157">
        <v>0.16699999999999998</v>
      </c>
      <c r="H1157">
        <v>0.71582579400000002</v>
      </c>
      <c r="I1157" t="s">
        <v>12</v>
      </c>
      <c r="J1157">
        <v>3.1E-2</v>
      </c>
      <c r="K1157">
        <v>2.2190599614000002E-2</v>
      </c>
      <c r="L1157" t="s">
        <v>33</v>
      </c>
      <c r="M1157">
        <v>8.6999999999999994E-2</v>
      </c>
      <c r="N1157">
        <v>6.2276844078E-2</v>
      </c>
    </row>
    <row r="1158" spans="1:14" x14ac:dyDescent="0.25">
      <c r="A1158" s="23">
        <v>44255</v>
      </c>
      <c r="B1158">
        <v>27.129000000000001</v>
      </c>
      <c r="C1158" t="s">
        <v>2</v>
      </c>
      <c r="D1158">
        <v>0.158</v>
      </c>
      <c r="E1158">
        <v>4.2863820000000006</v>
      </c>
      <c r="F1158" t="s">
        <v>14</v>
      </c>
      <c r="G1158">
        <v>0.16699999999999998</v>
      </c>
      <c r="H1158">
        <v>0.71582579400000002</v>
      </c>
      <c r="I1158" t="s">
        <v>7</v>
      </c>
      <c r="J1158">
        <v>5.0999999999999997E-2</v>
      </c>
      <c r="K1158">
        <v>3.6507115494E-2</v>
      </c>
      <c r="L1158" t="s">
        <v>34</v>
      </c>
      <c r="M1158">
        <v>0.16500000000000001</v>
      </c>
      <c r="N1158">
        <v>0.11811125601000001</v>
      </c>
    </row>
    <row r="1159" spans="1:14" x14ac:dyDescent="0.25">
      <c r="A1159" s="23">
        <v>44256</v>
      </c>
      <c r="B1159">
        <v>27.129000000000001</v>
      </c>
      <c r="C1159" t="s">
        <v>2</v>
      </c>
      <c r="D1159">
        <v>0.158</v>
      </c>
      <c r="E1159">
        <v>4.2863820000000006</v>
      </c>
      <c r="F1159" t="s">
        <v>14</v>
      </c>
      <c r="G1159">
        <v>0.16699999999999998</v>
      </c>
      <c r="H1159">
        <v>0.71582579400000002</v>
      </c>
      <c r="I1159" t="s">
        <v>8</v>
      </c>
      <c r="J1159">
        <v>0.29600000000000004</v>
      </c>
      <c r="K1159">
        <v>0.21188443502400003</v>
      </c>
      <c r="L1159" t="s">
        <v>35</v>
      </c>
      <c r="M1159">
        <v>0.22800000000000001</v>
      </c>
      <c r="N1159">
        <v>0.163208281032</v>
      </c>
    </row>
    <row r="1160" spans="1:14" x14ac:dyDescent="0.25">
      <c r="A1160" s="23">
        <v>44257</v>
      </c>
      <c r="B1160">
        <v>27.129000000000001</v>
      </c>
      <c r="C1160" t="s">
        <v>2</v>
      </c>
      <c r="D1160">
        <v>0.158</v>
      </c>
      <c r="E1160">
        <v>4.2863820000000006</v>
      </c>
      <c r="F1160" t="s">
        <v>14</v>
      </c>
      <c r="G1160">
        <v>0.16699999999999998</v>
      </c>
      <c r="H1160">
        <v>0.71582579400000002</v>
      </c>
      <c r="I1160" t="s">
        <v>10</v>
      </c>
      <c r="J1160">
        <v>0.08</v>
      </c>
      <c r="K1160">
        <v>5.726606352E-2</v>
      </c>
      <c r="L1160" t="s">
        <v>36</v>
      </c>
      <c r="M1160">
        <v>0.26500000000000001</v>
      </c>
      <c r="N1160">
        <v>0.18969383541000001</v>
      </c>
    </row>
    <row r="1161" spans="1:14" x14ac:dyDescent="0.25">
      <c r="A1161" s="23">
        <v>44258</v>
      </c>
      <c r="B1161">
        <v>27.129000000000001</v>
      </c>
      <c r="C1161" t="s">
        <v>2</v>
      </c>
      <c r="D1161">
        <v>0.158</v>
      </c>
      <c r="E1161">
        <v>4.2863820000000006</v>
      </c>
      <c r="F1161" t="s">
        <v>14</v>
      </c>
      <c r="G1161">
        <v>0.16699999999999998</v>
      </c>
      <c r="H1161">
        <v>0.71582579400000002</v>
      </c>
      <c r="I1161" t="s">
        <v>9</v>
      </c>
      <c r="J1161">
        <v>0.44700000000000001</v>
      </c>
      <c r="K1161">
        <v>0.31997412991800001</v>
      </c>
      <c r="L1161" t="s">
        <v>37</v>
      </c>
      <c r="M1161">
        <v>0.23100000000000001</v>
      </c>
      <c r="N1161">
        <v>0.16535575841400002</v>
      </c>
    </row>
    <row r="1162" spans="1:14" x14ac:dyDescent="0.25">
      <c r="A1162" s="23">
        <v>44259</v>
      </c>
      <c r="B1162">
        <v>27.129000000000001</v>
      </c>
      <c r="C1162" t="s">
        <v>2</v>
      </c>
      <c r="D1162">
        <v>0.158</v>
      </c>
      <c r="E1162">
        <v>4.2863820000000006</v>
      </c>
      <c r="F1162" t="s">
        <v>14</v>
      </c>
      <c r="G1162">
        <v>0.16699999999999998</v>
      </c>
      <c r="H1162">
        <v>0.71582579400000002</v>
      </c>
      <c r="I1162" t="s">
        <v>55</v>
      </c>
      <c r="J1162">
        <v>4.0000000000000001E-3</v>
      </c>
      <c r="K1162">
        <v>2.8633031759999999E-3</v>
      </c>
      <c r="L1162" t="s">
        <v>38</v>
      </c>
      <c r="M1162">
        <v>6.9999999999999993E-3</v>
      </c>
      <c r="N1162">
        <v>5.0107805579999998E-3</v>
      </c>
    </row>
    <row r="1163" spans="1:14" x14ac:dyDescent="0.25">
      <c r="A1163" s="23">
        <v>44260</v>
      </c>
      <c r="B1163">
        <v>27.129000000000001</v>
      </c>
      <c r="C1163" t="s">
        <v>2</v>
      </c>
      <c r="D1163">
        <v>0.158</v>
      </c>
      <c r="E1163">
        <v>4.2863820000000006</v>
      </c>
      <c r="F1163" t="s">
        <v>14</v>
      </c>
      <c r="G1163">
        <v>0.16699999999999998</v>
      </c>
      <c r="H1163">
        <v>0.71582579400000002</v>
      </c>
      <c r="L1163" t="s">
        <v>39</v>
      </c>
      <c r="M1163">
        <v>5.0000000000000001E-3</v>
      </c>
      <c r="N1163">
        <v>3.57912897E-3</v>
      </c>
    </row>
    <row r="1164" spans="1:14" x14ac:dyDescent="0.25">
      <c r="A1164" s="23">
        <v>44261</v>
      </c>
      <c r="B1164">
        <v>27.129000000000001</v>
      </c>
      <c r="C1164" t="s">
        <v>2</v>
      </c>
      <c r="D1164">
        <v>0.158</v>
      </c>
      <c r="E1164">
        <v>4.2863820000000006</v>
      </c>
      <c r="F1164" t="s">
        <v>44</v>
      </c>
      <c r="G1164">
        <v>0.17300000000000001</v>
      </c>
      <c r="H1164">
        <v>0.74154408600000021</v>
      </c>
      <c r="I1164" t="s">
        <v>11</v>
      </c>
      <c r="J1164">
        <v>0.03</v>
      </c>
      <c r="K1164">
        <v>2.2246322580000005E-2</v>
      </c>
      <c r="L1164" t="s">
        <v>32</v>
      </c>
      <c r="M1164">
        <v>0</v>
      </c>
      <c r="N1164">
        <v>0</v>
      </c>
    </row>
    <row r="1165" spans="1:14" x14ac:dyDescent="0.25">
      <c r="A1165" s="23">
        <v>44262</v>
      </c>
      <c r="B1165">
        <v>27.129000000000001</v>
      </c>
      <c r="C1165" t="s">
        <v>2</v>
      </c>
      <c r="D1165">
        <v>0.158</v>
      </c>
      <c r="E1165">
        <v>4.2863820000000006</v>
      </c>
      <c r="F1165" t="s">
        <v>15</v>
      </c>
      <c r="G1165">
        <v>0.17300000000000001</v>
      </c>
      <c r="H1165">
        <v>0.74154408600000021</v>
      </c>
      <c r="I1165" t="s">
        <v>12</v>
      </c>
      <c r="J1165">
        <v>0</v>
      </c>
      <c r="K1165">
        <v>0</v>
      </c>
      <c r="L1165" t="s">
        <v>33</v>
      </c>
      <c r="M1165">
        <v>2.8999999999999998E-2</v>
      </c>
      <c r="N1165">
        <v>2.1504778494000006E-2</v>
      </c>
    </row>
    <row r="1166" spans="1:14" x14ac:dyDescent="0.25">
      <c r="A1166" s="23">
        <v>44263</v>
      </c>
      <c r="B1166">
        <v>27.129000000000001</v>
      </c>
      <c r="C1166" t="s">
        <v>2</v>
      </c>
      <c r="D1166">
        <v>0.158</v>
      </c>
      <c r="E1166">
        <v>4.2863820000000006</v>
      </c>
      <c r="F1166" t="s">
        <v>15</v>
      </c>
      <c r="G1166">
        <v>0.17300000000000001</v>
      </c>
      <c r="H1166">
        <v>0.74154408600000021</v>
      </c>
      <c r="I1166" t="s">
        <v>7</v>
      </c>
      <c r="J1166">
        <v>0</v>
      </c>
      <c r="K1166">
        <v>0</v>
      </c>
      <c r="L1166" t="s">
        <v>34</v>
      </c>
      <c r="M1166">
        <v>0.18600000000000003</v>
      </c>
      <c r="N1166">
        <v>0.13792719999600006</v>
      </c>
    </row>
    <row r="1167" spans="1:14" x14ac:dyDescent="0.25">
      <c r="A1167" s="23">
        <v>44264</v>
      </c>
      <c r="B1167">
        <v>27.129000000000001</v>
      </c>
      <c r="C1167" t="s">
        <v>2</v>
      </c>
      <c r="D1167">
        <v>0.158</v>
      </c>
      <c r="E1167">
        <v>4.2863820000000006</v>
      </c>
      <c r="F1167" t="s">
        <v>15</v>
      </c>
      <c r="G1167">
        <v>0.17300000000000001</v>
      </c>
      <c r="H1167">
        <v>0.74154408600000021</v>
      </c>
      <c r="I1167" t="s">
        <v>8</v>
      </c>
      <c r="J1167">
        <v>0.182</v>
      </c>
      <c r="K1167">
        <v>0.13496102365200002</v>
      </c>
      <c r="L1167" t="s">
        <v>35</v>
      </c>
      <c r="M1167">
        <v>0.34499999999999997</v>
      </c>
      <c r="N1167">
        <v>0.25583270967000005</v>
      </c>
    </row>
    <row r="1168" spans="1:14" x14ac:dyDescent="0.25">
      <c r="A1168" s="23">
        <v>44265</v>
      </c>
      <c r="B1168">
        <v>27.129000000000001</v>
      </c>
      <c r="C1168" t="s">
        <v>2</v>
      </c>
      <c r="D1168">
        <v>0.158</v>
      </c>
      <c r="E1168">
        <v>4.2863820000000006</v>
      </c>
      <c r="F1168" t="s">
        <v>15</v>
      </c>
      <c r="G1168">
        <v>0.17300000000000001</v>
      </c>
      <c r="H1168">
        <v>0.74154408600000021</v>
      </c>
      <c r="I1168" t="s">
        <v>10</v>
      </c>
      <c r="J1168">
        <v>7.0000000000000007E-2</v>
      </c>
      <c r="K1168">
        <v>5.1908086020000022E-2</v>
      </c>
      <c r="L1168" t="s">
        <v>36</v>
      </c>
      <c r="M1168">
        <v>0.26200000000000001</v>
      </c>
      <c r="N1168">
        <v>0.19428455053200006</v>
      </c>
    </row>
    <row r="1169" spans="1:14" x14ac:dyDescent="0.25">
      <c r="A1169" s="23">
        <v>44266</v>
      </c>
      <c r="B1169">
        <v>27.129000000000001</v>
      </c>
      <c r="C1169" t="s">
        <v>2</v>
      </c>
      <c r="D1169">
        <v>0.158</v>
      </c>
      <c r="E1169">
        <v>4.2863820000000006</v>
      </c>
      <c r="F1169" t="s">
        <v>15</v>
      </c>
      <c r="G1169">
        <v>0.17300000000000001</v>
      </c>
      <c r="H1169">
        <v>0.74154408600000021</v>
      </c>
      <c r="I1169" t="s">
        <v>9</v>
      </c>
      <c r="J1169">
        <v>0.71700000000000008</v>
      </c>
      <c r="K1169">
        <v>0.53168710966200017</v>
      </c>
      <c r="L1169" t="s">
        <v>37</v>
      </c>
      <c r="M1169">
        <v>0.17800000000000002</v>
      </c>
      <c r="N1169">
        <v>0.13199484730800004</v>
      </c>
    </row>
    <row r="1170" spans="1:14" x14ac:dyDescent="0.25">
      <c r="A1170" s="23">
        <v>44267</v>
      </c>
      <c r="B1170">
        <v>27.129000000000001</v>
      </c>
      <c r="C1170" t="s">
        <v>2</v>
      </c>
      <c r="D1170">
        <v>0.158</v>
      </c>
      <c r="E1170">
        <v>4.2863820000000006</v>
      </c>
      <c r="F1170" t="s">
        <v>15</v>
      </c>
      <c r="G1170">
        <v>0.17300000000000001</v>
      </c>
      <c r="H1170">
        <v>0.74154408600000021</v>
      </c>
      <c r="I1170" t="s">
        <v>55</v>
      </c>
      <c r="J1170">
        <v>0</v>
      </c>
      <c r="K1170">
        <v>0</v>
      </c>
      <c r="L1170" t="s">
        <v>38</v>
      </c>
      <c r="M1170">
        <v>0</v>
      </c>
      <c r="N1170">
        <v>0</v>
      </c>
    </row>
    <row r="1171" spans="1:14" x14ac:dyDescent="0.25">
      <c r="A1171" s="23">
        <v>44268</v>
      </c>
      <c r="B1171">
        <v>27.129000000000001</v>
      </c>
      <c r="C1171" t="s">
        <v>2</v>
      </c>
      <c r="D1171">
        <v>0.158</v>
      </c>
      <c r="E1171">
        <v>4.2863820000000006</v>
      </c>
      <c r="F1171" t="s">
        <v>15</v>
      </c>
      <c r="G1171">
        <v>0.17300000000000001</v>
      </c>
      <c r="H1171">
        <v>0.74154408600000021</v>
      </c>
      <c r="J1171" t="s">
        <v>56</v>
      </c>
      <c r="L1171" t="s">
        <v>39</v>
      </c>
      <c r="M1171">
        <v>0</v>
      </c>
      <c r="N1171">
        <v>0</v>
      </c>
    </row>
    <row r="1172" spans="1:14" x14ac:dyDescent="0.25">
      <c r="A1172" s="23">
        <v>44269</v>
      </c>
      <c r="B1172">
        <v>27.129000000000001</v>
      </c>
      <c r="C1172" t="s">
        <v>2</v>
      </c>
      <c r="D1172">
        <v>0.158</v>
      </c>
      <c r="E1172">
        <v>4.2863820000000006</v>
      </c>
      <c r="F1172" t="s">
        <v>45</v>
      </c>
      <c r="G1172">
        <v>0.153</v>
      </c>
      <c r="H1172">
        <v>0.65581644600000011</v>
      </c>
      <c r="I1172" t="s">
        <v>11</v>
      </c>
      <c r="J1172">
        <v>6.7000000000000004E-2</v>
      </c>
      <c r="K1172">
        <v>4.3939701882000012E-2</v>
      </c>
      <c r="L1172" t="s">
        <v>32</v>
      </c>
      <c r="M1172">
        <v>2.4E-2</v>
      </c>
      <c r="N1172">
        <v>1.5739594704000003E-2</v>
      </c>
    </row>
    <row r="1173" spans="1:14" x14ac:dyDescent="0.25">
      <c r="A1173" s="23">
        <v>44270</v>
      </c>
      <c r="B1173">
        <v>27.129000000000001</v>
      </c>
      <c r="C1173" t="s">
        <v>2</v>
      </c>
      <c r="D1173">
        <v>0.158</v>
      </c>
      <c r="E1173">
        <v>4.2863820000000006</v>
      </c>
      <c r="F1173" t="s">
        <v>16</v>
      </c>
      <c r="G1173">
        <v>0.153</v>
      </c>
      <c r="H1173">
        <v>0.65581644600000011</v>
      </c>
      <c r="I1173" t="s">
        <v>12</v>
      </c>
      <c r="J1173">
        <v>3.5000000000000003E-2</v>
      </c>
      <c r="K1173">
        <v>2.2953575610000006E-2</v>
      </c>
      <c r="L1173" t="s">
        <v>33</v>
      </c>
      <c r="M1173">
        <v>0.09</v>
      </c>
      <c r="N1173">
        <v>5.9023480140000008E-2</v>
      </c>
    </row>
    <row r="1174" spans="1:14" x14ac:dyDescent="0.25">
      <c r="A1174" s="23">
        <v>44271</v>
      </c>
      <c r="B1174">
        <v>27.129000000000001</v>
      </c>
      <c r="C1174" t="s">
        <v>2</v>
      </c>
      <c r="D1174">
        <v>0.158</v>
      </c>
      <c r="E1174">
        <v>4.2863820000000006</v>
      </c>
      <c r="F1174" t="s">
        <v>16</v>
      </c>
      <c r="G1174">
        <v>0.153</v>
      </c>
      <c r="H1174">
        <v>0.65581644600000011</v>
      </c>
      <c r="I1174" t="s">
        <v>7</v>
      </c>
      <c r="J1174">
        <v>4.2000000000000003E-2</v>
      </c>
      <c r="K1174">
        <v>2.7544290732000005E-2</v>
      </c>
      <c r="L1174" t="s">
        <v>34</v>
      </c>
      <c r="M1174">
        <v>0.155</v>
      </c>
      <c r="N1174">
        <v>0.10165154913000002</v>
      </c>
    </row>
    <row r="1175" spans="1:14" x14ac:dyDescent="0.25">
      <c r="A1175" s="23">
        <v>44272</v>
      </c>
      <c r="B1175">
        <v>27.129000000000001</v>
      </c>
      <c r="C1175" t="s">
        <v>2</v>
      </c>
      <c r="D1175">
        <v>0.158</v>
      </c>
      <c r="E1175">
        <v>4.2863820000000006</v>
      </c>
      <c r="F1175" t="s">
        <v>16</v>
      </c>
      <c r="G1175">
        <v>0.153</v>
      </c>
      <c r="H1175">
        <v>0.65581644600000011</v>
      </c>
      <c r="I1175" t="s">
        <v>8</v>
      </c>
      <c r="J1175">
        <v>0.26300000000000001</v>
      </c>
      <c r="K1175">
        <v>0.17247972529800004</v>
      </c>
      <c r="L1175" t="s">
        <v>35</v>
      </c>
      <c r="M1175">
        <v>0.26300000000000001</v>
      </c>
      <c r="N1175">
        <v>0.17247972529800004</v>
      </c>
    </row>
    <row r="1176" spans="1:14" x14ac:dyDescent="0.25">
      <c r="A1176" s="23">
        <v>44273</v>
      </c>
      <c r="B1176">
        <v>27.129000000000001</v>
      </c>
      <c r="C1176" t="s">
        <v>2</v>
      </c>
      <c r="D1176">
        <v>0.158</v>
      </c>
      <c r="E1176">
        <v>4.2863820000000006</v>
      </c>
      <c r="F1176" t="s">
        <v>16</v>
      </c>
      <c r="G1176">
        <v>0.153</v>
      </c>
      <c r="H1176">
        <v>0.65581644600000011</v>
      </c>
      <c r="I1176" t="s">
        <v>10</v>
      </c>
      <c r="J1176">
        <v>6.6000000000000003E-2</v>
      </c>
      <c r="K1176">
        <v>4.3283885436000008E-2</v>
      </c>
      <c r="L1176" t="s">
        <v>36</v>
      </c>
      <c r="M1176">
        <v>0.22399999999999998</v>
      </c>
      <c r="N1176">
        <v>0.146902883904</v>
      </c>
    </row>
    <row r="1177" spans="1:14" x14ac:dyDescent="0.25">
      <c r="A1177" s="23">
        <v>44274</v>
      </c>
      <c r="B1177">
        <v>27.129000000000001</v>
      </c>
      <c r="C1177" t="s">
        <v>2</v>
      </c>
      <c r="D1177">
        <v>0.158</v>
      </c>
      <c r="E1177">
        <v>4.2863820000000006</v>
      </c>
      <c r="F1177" t="s">
        <v>16</v>
      </c>
      <c r="G1177">
        <v>0.153</v>
      </c>
      <c r="H1177">
        <v>0.65581644600000011</v>
      </c>
      <c r="I1177" t="s">
        <v>9</v>
      </c>
      <c r="J1177">
        <v>0.503</v>
      </c>
      <c r="K1177">
        <v>0.32987567233800008</v>
      </c>
      <c r="L1177" t="s">
        <v>37</v>
      </c>
      <c r="M1177">
        <v>0.23300000000000001</v>
      </c>
      <c r="N1177">
        <v>0.15280523191800002</v>
      </c>
    </row>
    <row r="1178" spans="1:14" x14ac:dyDescent="0.25">
      <c r="A1178" s="23">
        <v>44275</v>
      </c>
      <c r="B1178">
        <v>27.129000000000001</v>
      </c>
      <c r="C1178" t="s">
        <v>2</v>
      </c>
      <c r="D1178">
        <v>0.158</v>
      </c>
      <c r="E1178">
        <v>4.2863820000000006</v>
      </c>
      <c r="F1178" t="s">
        <v>16</v>
      </c>
      <c r="G1178">
        <v>0.153</v>
      </c>
      <c r="H1178">
        <v>0.65581644600000011</v>
      </c>
      <c r="I1178" t="s">
        <v>55</v>
      </c>
      <c r="J1178">
        <v>1.6E-2</v>
      </c>
      <c r="K1178">
        <v>1.0493063136000002E-2</v>
      </c>
      <c r="L1178" t="s">
        <v>38</v>
      </c>
      <c r="M1178">
        <v>8.0000000000000002E-3</v>
      </c>
      <c r="N1178">
        <v>5.2465315680000008E-3</v>
      </c>
    </row>
    <row r="1179" spans="1:14" x14ac:dyDescent="0.25">
      <c r="A1179" s="23">
        <v>44276</v>
      </c>
      <c r="B1179">
        <v>27.129000000000001</v>
      </c>
      <c r="C1179" t="s">
        <v>2</v>
      </c>
      <c r="D1179">
        <v>0.158</v>
      </c>
      <c r="E1179">
        <v>4.2863820000000006</v>
      </c>
      <c r="F1179" t="s">
        <v>16</v>
      </c>
      <c r="G1179">
        <v>0.153</v>
      </c>
      <c r="H1179">
        <v>0.65581644600000011</v>
      </c>
      <c r="L1179" t="s">
        <v>39</v>
      </c>
      <c r="M1179">
        <v>4.0000000000000001E-3</v>
      </c>
      <c r="N1179">
        <v>2.6232657840000004E-3</v>
      </c>
    </row>
    <row r="1180" spans="1:14" x14ac:dyDescent="0.25">
      <c r="A1180" s="23">
        <v>44277</v>
      </c>
      <c r="B1180">
        <v>27.129000000000001</v>
      </c>
      <c r="C1180" t="s">
        <v>2</v>
      </c>
      <c r="D1180">
        <v>0.158</v>
      </c>
      <c r="E1180">
        <v>4.2863820000000006</v>
      </c>
      <c r="F1180" t="s">
        <v>46</v>
      </c>
      <c r="G1180">
        <v>0.17399999999999999</v>
      </c>
      <c r="H1180">
        <v>0.74583046800000008</v>
      </c>
      <c r="I1180" t="s">
        <v>11</v>
      </c>
      <c r="J1180">
        <v>0.23600000000000002</v>
      </c>
      <c r="K1180">
        <v>0.17601599044800004</v>
      </c>
      <c r="L1180" t="s">
        <v>32</v>
      </c>
      <c r="M1180">
        <v>2.1000000000000001E-2</v>
      </c>
      <c r="N1180">
        <v>1.5662439828000002E-2</v>
      </c>
    </row>
    <row r="1181" spans="1:14" x14ac:dyDescent="0.25">
      <c r="A1181" s="23">
        <v>44278</v>
      </c>
      <c r="B1181">
        <v>27.129000000000001</v>
      </c>
      <c r="C1181" t="s">
        <v>2</v>
      </c>
      <c r="D1181">
        <v>0.158</v>
      </c>
      <c r="E1181">
        <v>4.2863820000000006</v>
      </c>
      <c r="F1181" t="s">
        <v>13</v>
      </c>
      <c r="G1181">
        <v>0.17399999999999999</v>
      </c>
      <c r="H1181">
        <v>0.74583046800000008</v>
      </c>
      <c r="I1181" t="s">
        <v>12</v>
      </c>
      <c r="J1181">
        <v>4.9000000000000002E-2</v>
      </c>
      <c r="K1181">
        <v>3.6545692932000003E-2</v>
      </c>
      <c r="L1181" t="s">
        <v>33</v>
      </c>
      <c r="M1181">
        <v>9.3000000000000013E-2</v>
      </c>
      <c r="N1181">
        <v>6.9362233524000019E-2</v>
      </c>
    </row>
    <row r="1182" spans="1:14" x14ac:dyDescent="0.25">
      <c r="A1182" s="23">
        <v>44279</v>
      </c>
      <c r="B1182">
        <v>27.129000000000001</v>
      </c>
      <c r="C1182" t="s">
        <v>2</v>
      </c>
      <c r="D1182">
        <v>0.158</v>
      </c>
      <c r="E1182">
        <v>4.2863820000000006</v>
      </c>
      <c r="F1182" t="s">
        <v>13</v>
      </c>
      <c r="G1182">
        <v>0.17399999999999999</v>
      </c>
      <c r="H1182">
        <v>0.74583046800000008</v>
      </c>
      <c r="I1182" t="s">
        <v>7</v>
      </c>
      <c r="J1182">
        <v>6.2E-2</v>
      </c>
      <c r="K1182">
        <v>4.6241489016000004E-2</v>
      </c>
      <c r="L1182" t="s">
        <v>34</v>
      </c>
      <c r="M1182">
        <v>0.125</v>
      </c>
      <c r="N1182">
        <v>9.322880850000001E-2</v>
      </c>
    </row>
    <row r="1183" spans="1:14" x14ac:dyDescent="0.25">
      <c r="A1183" s="23">
        <v>44280</v>
      </c>
      <c r="B1183">
        <v>27.129000000000001</v>
      </c>
      <c r="C1183" t="s">
        <v>2</v>
      </c>
      <c r="D1183">
        <v>0.158</v>
      </c>
      <c r="E1183">
        <v>4.2863820000000006</v>
      </c>
      <c r="F1183" t="s">
        <v>13</v>
      </c>
      <c r="G1183">
        <v>0.17399999999999999</v>
      </c>
      <c r="H1183">
        <v>0.74583046800000008</v>
      </c>
      <c r="I1183" t="s">
        <v>8</v>
      </c>
      <c r="J1183">
        <v>0.30199999999999999</v>
      </c>
      <c r="K1183">
        <v>0.22524080133600002</v>
      </c>
      <c r="L1183" t="s">
        <v>35</v>
      </c>
      <c r="M1183">
        <v>0.26600000000000001</v>
      </c>
      <c r="N1183">
        <v>0.19839090448800004</v>
      </c>
    </row>
    <row r="1184" spans="1:14" x14ac:dyDescent="0.25">
      <c r="A1184" s="23">
        <v>44281</v>
      </c>
      <c r="B1184">
        <v>27.129000000000001</v>
      </c>
      <c r="C1184" t="s">
        <v>2</v>
      </c>
      <c r="D1184">
        <v>0.158</v>
      </c>
      <c r="E1184">
        <v>4.2863820000000006</v>
      </c>
      <c r="F1184" t="s">
        <v>13</v>
      </c>
      <c r="G1184">
        <v>0.17399999999999999</v>
      </c>
      <c r="H1184">
        <v>0.74583046800000008</v>
      </c>
      <c r="I1184" t="s">
        <v>10</v>
      </c>
      <c r="J1184">
        <v>5.9000000000000004E-2</v>
      </c>
      <c r="K1184">
        <v>4.4003997612000009E-2</v>
      </c>
      <c r="L1184" t="s">
        <v>36</v>
      </c>
      <c r="M1184">
        <v>0.26800000000000002</v>
      </c>
      <c r="N1184">
        <v>0.19988256542400004</v>
      </c>
    </row>
    <row r="1185" spans="1:14" x14ac:dyDescent="0.25">
      <c r="A1185" s="23">
        <v>44282</v>
      </c>
      <c r="B1185">
        <v>27.129000000000001</v>
      </c>
      <c r="C1185" t="s">
        <v>2</v>
      </c>
      <c r="D1185">
        <v>0.158</v>
      </c>
      <c r="E1185">
        <v>4.2863820000000006</v>
      </c>
      <c r="F1185" t="s">
        <v>13</v>
      </c>
      <c r="G1185">
        <v>0.17399999999999999</v>
      </c>
      <c r="H1185">
        <v>0.74583046800000008</v>
      </c>
      <c r="I1185" t="s">
        <v>9</v>
      </c>
      <c r="J1185">
        <v>0.28100000000000003</v>
      </c>
      <c r="K1185">
        <v>0.20957836150800005</v>
      </c>
      <c r="L1185" t="s">
        <v>37</v>
      </c>
      <c r="M1185">
        <v>0.19699999999999998</v>
      </c>
      <c r="N1185">
        <v>0.19988256542400004</v>
      </c>
    </row>
    <row r="1186" spans="1:14" x14ac:dyDescent="0.25">
      <c r="A1186" s="23">
        <v>44283</v>
      </c>
      <c r="B1186">
        <v>27.129000000000001</v>
      </c>
      <c r="C1186" t="s">
        <v>2</v>
      </c>
      <c r="D1186">
        <v>0.158</v>
      </c>
      <c r="E1186">
        <v>4.2863820000000006</v>
      </c>
      <c r="F1186" t="s">
        <v>13</v>
      </c>
      <c r="G1186">
        <v>0.17399999999999999</v>
      </c>
      <c r="H1186">
        <v>0.74583046800000008</v>
      </c>
      <c r="I1186" t="s">
        <v>55</v>
      </c>
      <c r="J1186">
        <v>1.2E-2</v>
      </c>
      <c r="L1186" t="s">
        <v>38</v>
      </c>
      <c r="M1186">
        <v>2.2000000000000002E-2</v>
      </c>
      <c r="N1186">
        <v>0.14692860219600001</v>
      </c>
    </row>
    <row r="1187" spans="1:14" x14ac:dyDescent="0.25">
      <c r="A1187" s="23">
        <v>44284</v>
      </c>
      <c r="B1187">
        <v>27.129000000000001</v>
      </c>
      <c r="C1187" t="s">
        <v>2</v>
      </c>
      <c r="D1187">
        <v>0.158</v>
      </c>
      <c r="E1187">
        <v>4.2863820000000006</v>
      </c>
      <c r="F1187" t="s">
        <v>13</v>
      </c>
      <c r="G1187">
        <v>0.17399999999999999</v>
      </c>
      <c r="H1187">
        <v>0.74583046800000008</v>
      </c>
      <c r="L1187" t="s">
        <v>39</v>
      </c>
      <c r="M1187">
        <v>8.0000000000000002E-3</v>
      </c>
      <c r="N1187">
        <v>1.6408270296000005E-2</v>
      </c>
    </row>
    <row r="1188" spans="1:14" x14ac:dyDescent="0.25">
      <c r="A1188" s="23">
        <v>44285</v>
      </c>
      <c r="B1188">
        <v>27.129000000000001</v>
      </c>
      <c r="C1188" t="s">
        <v>2</v>
      </c>
      <c r="D1188">
        <v>0.158</v>
      </c>
      <c r="E1188">
        <v>4.2863820000000006</v>
      </c>
      <c r="F1188" t="s">
        <v>47</v>
      </c>
      <c r="G1188">
        <v>9.4E-2</v>
      </c>
      <c r="H1188">
        <v>0.40291990800000005</v>
      </c>
      <c r="I1188" t="s">
        <v>11</v>
      </c>
      <c r="J1188">
        <v>0</v>
      </c>
      <c r="K1188">
        <v>0</v>
      </c>
      <c r="L1188" t="s">
        <v>32</v>
      </c>
      <c r="M1188">
        <v>0</v>
      </c>
      <c r="N1188">
        <v>0</v>
      </c>
    </row>
    <row r="1189" spans="1:14" x14ac:dyDescent="0.25">
      <c r="A1189" s="23">
        <v>44286</v>
      </c>
      <c r="B1189">
        <v>27.129000000000001</v>
      </c>
      <c r="C1189" t="s">
        <v>2</v>
      </c>
      <c r="D1189">
        <v>0.158</v>
      </c>
      <c r="E1189">
        <v>4.2863820000000006</v>
      </c>
      <c r="F1189" t="s">
        <v>17</v>
      </c>
      <c r="G1189">
        <v>9.4E-2</v>
      </c>
      <c r="H1189">
        <v>0.40291990800000005</v>
      </c>
      <c r="I1189" t="s">
        <v>12</v>
      </c>
      <c r="J1189">
        <v>0</v>
      </c>
      <c r="K1189">
        <v>0</v>
      </c>
      <c r="L1189" t="s">
        <v>33</v>
      </c>
      <c r="M1189">
        <v>0</v>
      </c>
      <c r="N1189">
        <v>0</v>
      </c>
    </row>
    <row r="1190" spans="1:14" x14ac:dyDescent="0.25">
      <c r="A1190" s="23">
        <v>44287</v>
      </c>
      <c r="B1190">
        <v>27.129000000000001</v>
      </c>
      <c r="C1190" t="s">
        <v>2</v>
      </c>
      <c r="D1190">
        <v>0.158</v>
      </c>
      <c r="E1190">
        <v>4.2863820000000006</v>
      </c>
      <c r="F1190" t="s">
        <v>17</v>
      </c>
      <c r="G1190">
        <v>9.4E-2</v>
      </c>
      <c r="H1190">
        <v>0.40291990800000005</v>
      </c>
      <c r="I1190" t="s">
        <v>7</v>
      </c>
      <c r="J1190">
        <v>0.113</v>
      </c>
      <c r="K1190">
        <v>4.552994960400001E-2</v>
      </c>
      <c r="L1190" t="s">
        <v>34</v>
      </c>
      <c r="M1190">
        <v>5.2999999999999999E-2</v>
      </c>
      <c r="N1190">
        <v>2.1354755124000001E-2</v>
      </c>
    </row>
    <row r="1191" spans="1:14" x14ac:dyDescent="0.25">
      <c r="A1191" s="23">
        <v>44288</v>
      </c>
      <c r="B1191">
        <v>27.129000000000001</v>
      </c>
      <c r="C1191" t="s">
        <v>2</v>
      </c>
      <c r="D1191">
        <v>0.158</v>
      </c>
      <c r="E1191">
        <v>4.2863820000000006</v>
      </c>
      <c r="F1191" t="s">
        <v>17</v>
      </c>
      <c r="G1191">
        <v>9.4E-2</v>
      </c>
      <c r="H1191">
        <v>0.40291990800000005</v>
      </c>
      <c r="I1191" t="s">
        <v>8</v>
      </c>
      <c r="J1191">
        <v>0.41100000000000003</v>
      </c>
      <c r="K1191">
        <v>0.16560008218800004</v>
      </c>
      <c r="L1191" t="s">
        <v>35</v>
      </c>
      <c r="M1191">
        <v>0.54899999999999993</v>
      </c>
      <c r="N1191">
        <v>0.22120302949199999</v>
      </c>
    </row>
    <row r="1192" spans="1:14" x14ac:dyDescent="0.25">
      <c r="A1192" s="23">
        <v>44289</v>
      </c>
      <c r="B1192">
        <v>27.129000000000001</v>
      </c>
      <c r="C1192" t="s">
        <v>2</v>
      </c>
      <c r="D1192">
        <v>0.158</v>
      </c>
      <c r="E1192">
        <v>4.2863820000000006</v>
      </c>
      <c r="F1192" t="s">
        <v>17</v>
      </c>
      <c r="G1192">
        <v>9.4E-2</v>
      </c>
      <c r="H1192">
        <v>0.40291990800000005</v>
      </c>
      <c r="I1192" t="s">
        <v>10</v>
      </c>
      <c r="J1192">
        <v>0</v>
      </c>
      <c r="K1192">
        <v>0</v>
      </c>
      <c r="L1192" t="s">
        <v>36</v>
      </c>
      <c r="M1192">
        <v>0.27</v>
      </c>
      <c r="N1192">
        <v>0.10878837516000002</v>
      </c>
    </row>
    <row r="1193" spans="1:14" x14ac:dyDescent="0.25">
      <c r="A1193" s="23">
        <v>44290</v>
      </c>
      <c r="B1193">
        <v>27.129000000000001</v>
      </c>
      <c r="C1193" t="s">
        <v>2</v>
      </c>
      <c r="D1193">
        <v>0.158</v>
      </c>
      <c r="E1193">
        <v>4.2863820000000006</v>
      </c>
      <c r="F1193" t="s">
        <v>17</v>
      </c>
      <c r="G1193">
        <v>9.4E-2</v>
      </c>
      <c r="H1193">
        <v>0.40291990800000005</v>
      </c>
      <c r="I1193" t="s">
        <v>9</v>
      </c>
      <c r="J1193">
        <v>0.47600000000000003</v>
      </c>
      <c r="K1193">
        <v>0.19178987620800003</v>
      </c>
      <c r="L1193" t="s">
        <v>37</v>
      </c>
      <c r="M1193">
        <v>0.127</v>
      </c>
      <c r="N1193">
        <v>5.1170828316000005E-2</v>
      </c>
    </row>
    <row r="1194" spans="1:14" x14ac:dyDescent="0.25">
      <c r="A1194" s="23">
        <v>44291</v>
      </c>
      <c r="B1194">
        <v>27.129000000000001</v>
      </c>
      <c r="C1194" t="s">
        <v>2</v>
      </c>
      <c r="D1194">
        <v>0.158</v>
      </c>
      <c r="E1194">
        <v>4.2863820000000006</v>
      </c>
      <c r="F1194" t="s">
        <v>17</v>
      </c>
      <c r="G1194">
        <v>9.4E-2</v>
      </c>
      <c r="H1194">
        <v>0.40291990800000005</v>
      </c>
      <c r="I1194" t="s">
        <v>55</v>
      </c>
      <c r="J1194">
        <v>0</v>
      </c>
      <c r="L1194" t="s">
        <v>38</v>
      </c>
      <c r="M1194">
        <v>0</v>
      </c>
      <c r="N1194">
        <v>0</v>
      </c>
    </row>
    <row r="1195" spans="1:14" x14ac:dyDescent="0.25">
      <c r="A1195" s="23">
        <v>44292</v>
      </c>
      <c r="B1195">
        <v>27.129000000000001</v>
      </c>
      <c r="C1195" t="s">
        <v>2</v>
      </c>
      <c r="D1195">
        <v>0.158</v>
      </c>
      <c r="E1195">
        <v>4.2863820000000006</v>
      </c>
      <c r="F1195" t="s">
        <v>17</v>
      </c>
      <c r="G1195">
        <v>9.4E-2</v>
      </c>
      <c r="H1195">
        <v>0.40291990800000005</v>
      </c>
      <c r="L1195" t="s">
        <v>39</v>
      </c>
      <c r="M1195">
        <v>0</v>
      </c>
      <c r="N1195">
        <v>0</v>
      </c>
    </row>
    <row r="1196" spans="1:14" x14ac:dyDescent="0.25">
      <c r="A1196" s="23">
        <v>44293</v>
      </c>
      <c r="B1196">
        <v>27.129000000000001</v>
      </c>
      <c r="C1196" t="s">
        <v>2</v>
      </c>
      <c r="D1196">
        <v>0.158</v>
      </c>
      <c r="E1196">
        <v>4.2863820000000006</v>
      </c>
      <c r="F1196" t="s">
        <v>18</v>
      </c>
      <c r="G1196">
        <v>0.124</v>
      </c>
      <c r="H1196">
        <v>0.5315113680000001</v>
      </c>
      <c r="I1196" t="s">
        <v>11</v>
      </c>
      <c r="J1196">
        <v>0.38400000000000001</v>
      </c>
      <c r="K1196">
        <v>0.20410036531200004</v>
      </c>
      <c r="L1196" t="s">
        <v>32</v>
      </c>
      <c r="M1196">
        <v>2.6000000000000002E-2</v>
      </c>
      <c r="N1196">
        <v>1.3819295568000003E-2</v>
      </c>
    </row>
    <row r="1197" spans="1:14" x14ac:dyDescent="0.25">
      <c r="A1197" s="23">
        <v>44294</v>
      </c>
      <c r="B1197">
        <v>27.129000000000001</v>
      </c>
      <c r="C1197" t="s">
        <v>2</v>
      </c>
      <c r="D1197">
        <v>0.158</v>
      </c>
      <c r="E1197">
        <v>4.2863820000000006</v>
      </c>
      <c r="F1197" t="s">
        <v>18</v>
      </c>
      <c r="G1197">
        <v>0.124</v>
      </c>
      <c r="H1197">
        <v>0.5315113680000001</v>
      </c>
      <c r="I1197" t="s">
        <v>12</v>
      </c>
      <c r="J1197">
        <v>0.05</v>
      </c>
      <c r="K1197">
        <v>2.6575568400000006E-2</v>
      </c>
      <c r="L1197" t="s">
        <v>33</v>
      </c>
      <c r="M1197">
        <v>0.10400000000000001</v>
      </c>
      <c r="N1197">
        <v>5.5277182272000014E-2</v>
      </c>
    </row>
    <row r="1198" spans="1:14" x14ac:dyDescent="0.25">
      <c r="A1198" s="23">
        <v>44295</v>
      </c>
      <c r="B1198">
        <v>27.129000000000001</v>
      </c>
      <c r="C1198" t="s">
        <v>2</v>
      </c>
      <c r="D1198">
        <v>0.158</v>
      </c>
      <c r="E1198">
        <v>4.2863820000000006</v>
      </c>
      <c r="F1198" t="s">
        <v>18</v>
      </c>
      <c r="G1198">
        <v>0.124</v>
      </c>
      <c r="H1198">
        <v>0.5315113680000001</v>
      </c>
      <c r="I1198" t="s">
        <v>7</v>
      </c>
      <c r="J1198">
        <v>7.8E-2</v>
      </c>
      <c r="K1198">
        <v>4.145788670400001E-2</v>
      </c>
      <c r="L1198" t="s">
        <v>34</v>
      </c>
      <c r="M1198">
        <v>0.13800000000000001</v>
      </c>
      <c r="N1198">
        <v>7.3348568784000021E-2</v>
      </c>
    </row>
    <row r="1199" spans="1:14" x14ac:dyDescent="0.25">
      <c r="A1199" s="23">
        <v>44296</v>
      </c>
      <c r="B1199">
        <v>27.129000000000001</v>
      </c>
      <c r="C1199" t="s">
        <v>2</v>
      </c>
      <c r="D1199">
        <v>0.158</v>
      </c>
      <c r="E1199">
        <v>4.2863820000000006</v>
      </c>
      <c r="F1199" t="s">
        <v>18</v>
      </c>
      <c r="G1199">
        <v>0.124</v>
      </c>
      <c r="H1199">
        <v>0.5315113680000001</v>
      </c>
      <c r="I1199" t="s">
        <v>8</v>
      </c>
      <c r="J1199">
        <v>0.214</v>
      </c>
      <c r="K1199">
        <v>2.6575568400000007E-3</v>
      </c>
      <c r="L1199" t="s">
        <v>35</v>
      </c>
      <c r="M1199">
        <v>0.27200000000000002</v>
      </c>
      <c r="N1199">
        <v>0.14457109209600003</v>
      </c>
    </row>
    <row r="1200" spans="1:14" x14ac:dyDescent="0.25">
      <c r="A1200" s="23">
        <v>44297</v>
      </c>
      <c r="B1200">
        <v>27.129000000000001</v>
      </c>
      <c r="C1200" t="s">
        <v>2</v>
      </c>
      <c r="D1200">
        <v>0.158</v>
      </c>
      <c r="E1200">
        <v>4.2863820000000006</v>
      </c>
      <c r="F1200" t="s">
        <v>18</v>
      </c>
      <c r="G1200">
        <v>0.124</v>
      </c>
      <c r="H1200">
        <v>0.5315113680000001</v>
      </c>
      <c r="I1200" t="s">
        <v>10</v>
      </c>
      <c r="J1200">
        <v>6.5000000000000002E-2</v>
      </c>
      <c r="K1200">
        <v>0.11374343275200002</v>
      </c>
      <c r="L1200" t="s">
        <v>36</v>
      </c>
      <c r="M1200">
        <v>0.26800000000000002</v>
      </c>
      <c r="N1200">
        <v>0.14244504662400004</v>
      </c>
    </row>
    <row r="1201" spans="1:14" x14ac:dyDescent="0.25">
      <c r="A1201" s="23">
        <v>44298</v>
      </c>
      <c r="B1201">
        <v>27.129000000000001</v>
      </c>
      <c r="C1201" t="s">
        <v>2</v>
      </c>
      <c r="D1201">
        <v>0.158</v>
      </c>
      <c r="E1201">
        <v>4.2863820000000006</v>
      </c>
      <c r="F1201" t="s">
        <v>48</v>
      </c>
      <c r="G1201">
        <v>0.124</v>
      </c>
      <c r="H1201">
        <v>0.5315113680000001</v>
      </c>
      <c r="I1201" t="s">
        <v>9</v>
      </c>
      <c r="J1201">
        <v>0.20399999999999999</v>
      </c>
      <c r="K1201">
        <v>0.10842831907200001</v>
      </c>
      <c r="L1201" t="s">
        <v>37</v>
      </c>
      <c r="M1201">
        <v>0.15</v>
      </c>
      <c r="N1201">
        <v>7.9726705200000011E-2</v>
      </c>
    </row>
    <row r="1202" spans="1:14" x14ac:dyDescent="0.25">
      <c r="A1202" s="23">
        <v>44299</v>
      </c>
      <c r="B1202">
        <v>27.129000000000001</v>
      </c>
      <c r="C1202" t="s">
        <v>2</v>
      </c>
      <c r="D1202">
        <v>0.158</v>
      </c>
      <c r="E1202">
        <v>4.2863820000000006</v>
      </c>
      <c r="F1202" t="s">
        <v>18</v>
      </c>
      <c r="G1202">
        <v>0.124</v>
      </c>
      <c r="H1202">
        <v>0.5315113680000001</v>
      </c>
      <c r="I1202" t="s">
        <v>55</v>
      </c>
      <c r="J1202">
        <v>5.0000000000000001E-3</v>
      </c>
      <c r="L1202" t="s">
        <v>38</v>
      </c>
      <c r="M1202">
        <v>2.7000000000000003E-2</v>
      </c>
      <c r="N1202">
        <v>1.4350806936000004E-2</v>
      </c>
    </row>
    <row r="1203" spans="1:14" x14ac:dyDescent="0.25">
      <c r="A1203" s="23">
        <v>44300</v>
      </c>
      <c r="B1203">
        <v>27.129000000000001</v>
      </c>
      <c r="C1203" t="s">
        <v>2</v>
      </c>
      <c r="D1203">
        <v>0.158</v>
      </c>
      <c r="E1203">
        <v>4.2863820000000006</v>
      </c>
      <c r="F1203" t="s">
        <v>18</v>
      </c>
      <c r="G1203">
        <v>0.124</v>
      </c>
      <c r="H1203">
        <v>0.5315113680000001</v>
      </c>
      <c r="L1203" t="s">
        <v>39</v>
      </c>
      <c r="M1203">
        <v>1.6E-2</v>
      </c>
      <c r="N1203">
        <v>8.5041818880000012E-3</v>
      </c>
    </row>
    <row r="1204" spans="1:14" x14ac:dyDescent="0.25">
      <c r="A1204" s="23">
        <v>44301</v>
      </c>
      <c r="B1204">
        <v>27.129000000000001</v>
      </c>
      <c r="C1204" t="s">
        <v>19</v>
      </c>
      <c r="D1204">
        <v>0.84200000000000008</v>
      </c>
      <c r="E1204">
        <v>22.842618000000002</v>
      </c>
      <c r="F1204" t="s">
        <v>54</v>
      </c>
      <c r="G1204">
        <v>0.83299999999999996</v>
      </c>
      <c r="H1204">
        <v>19.027900794000001</v>
      </c>
      <c r="I1204" t="s">
        <v>11</v>
      </c>
      <c r="J1204">
        <v>0.124</v>
      </c>
      <c r="K1204">
        <v>2.3594596984559999</v>
      </c>
      <c r="L1204" t="s">
        <v>32</v>
      </c>
      <c r="M1204">
        <v>4.2000000000000003E-2</v>
      </c>
      <c r="N1204">
        <v>0.79917183334800013</v>
      </c>
    </row>
    <row r="1205" spans="1:14" x14ac:dyDescent="0.25">
      <c r="A1205" s="23">
        <v>44302</v>
      </c>
      <c r="B1205">
        <v>27.129000000000001</v>
      </c>
      <c r="C1205" t="s">
        <v>19</v>
      </c>
      <c r="D1205">
        <v>0.84200000000000008</v>
      </c>
      <c r="E1205">
        <v>22.842618000000002</v>
      </c>
      <c r="F1205" t="s">
        <v>14</v>
      </c>
      <c r="G1205">
        <v>0.83299999999999996</v>
      </c>
      <c r="H1205">
        <v>19.027900794000001</v>
      </c>
      <c r="I1205" t="s">
        <v>12</v>
      </c>
      <c r="J1205">
        <v>0.11599999999999999</v>
      </c>
      <c r="K1205">
        <v>2.2072364921039997</v>
      </c>
      <c r="L1205" t="s">
        <v>33</v>
      </c>
      <c r="M1205">
        <v>9.6999999999999989E-2</v>
      </c>
      <c r="N1205">
        <v>1.8457063770179998</v>
      </c>
    </row>
    <row r="1206" spans="1:14" x14ac:dyDescent="0.25">
      <c r="A1206" s="23">
        <v>44303</v>
      </c>
      <c r="B1206">
        <v>27.129000000000001</v>
      </c>
      <c r="C1206" t="s">
        <v>19</v>
      </c>
      <c r="D1206">
        <v>0.84200000000000008</v>
      </c>
      <c r="E1206">
        <v>22.842618000000002</v>
      </c>
      <c r="F1206" t="s">
        <v>14</v>
      </c>
      <c r="G1206">
        <v>0.83299999999999996</v>
      </c>
      <c r="H1206">
        <v>19.027900794000001</v>
      </c>
      <c r="I1206" t="s">
        <v>7</v>
      </c>
      <c r="J1206">
        <v>0.13300000000000001</v>
      </c>
      <c r="K1206">
        <v>2.5307108056020002</v>
      </c>
      <c r="L1206" t="s">
        <v>34</v>
      </c>
      <c r="M1206">
        <v>0.16800000000000001</v>
      </c>
      <c r="N1206">
        <v>3.1966873333920005</v>
      </c>
    </row>
    <row r="1207" spans="1:14" x14ac:dyDescent="0.25">
      <c r="A1207" s="23">
        <v>44304</v>
      </c>
      <c r="B1207">
        <v>27.129000000000001</v>
      </c>
      <c r="C1207" t="s">
        <v>19</v>
      </c>
      <c r="D1207">
        <v>0.84200000000000008</v>
      </c>
      <c r="E1207">
        <v>22.842618000000002</v>
      </c>
      <c r="F1207" t="s">
        <v>14</v>
      </c>
      <c r="G1207">
        <v>0.83299999999999996</v>
      </c>
      <c r="H1207">
        <v>19.027900794000001</v>
      </c>
      <c r="I1207" t="s">
        <v>8</v>
      </c>
      <c r="J1207">
        <v>0.33</v>
      </c>
      <c r="K1207">
        <v>6.2792072620200008</v>
      </c>
      <c r="L1207" t="s">
        <v>35</v>
      </c>
      <c r="M1207">
        <v>0.28100000000000003</v>
      </c>
      <c r="N1207">
        <v>5.346840123114001</v>
      </c>
    </row>
    <row r="1208" spans="1:14" x14ac:dyDescent="0.25">
      <c r="A1208" s="23">
        <v>44305</v>
      </c>
      <c r="B1208">
        <v>27.129000000000001</v>
      </c>
      <c r="C1208" t="s">
        <v>19</v>
      </c>
      <c r="D1208">
        <v>0.84200000000000008</v>
      </c>
      <c r="E1208">
        <v>22.842618000000002</v>
      </c>
      <c r="F1208" t="s">
        <v>14</v>
      </c>
      <c r="G1208">
        <v>0.83299999999999996</v>
      </c>
      <c r="H1208">
        <v>19.027900794000001</v>
      </c>
      <c r="I1208" t="s">
        <v>10</v>
      </c>
      <c r="J1208">
        <v>4.7E-2</v>
      </c>
      <c r="K1208">
        <v>0.89431133731800005</v>
      </c>
      <c r="L1208" t="s">
        <v>36</v>
      </c>
      <c r="M1208">
        <v>0.20399999999999999</v>
      </c>
      <c r="N1208">
        <v>3.8816917619760001</v>
      </c>
    </row>
    <row r="1209" spans="1:14" x14ac:dyDescent="0.25">
      <c r="A1209" s="23">
        <v>44306</v>
      </c>
      <c r="B1209">
        <v>27.129000000000001</v>
      </c>
      <c r="C1209" t="s">
        <v>19</v>
      </c>
      <c r="D1209">
        <v>0.84200000000000008</v>
      </c>
      <c r="E1209">
        <v>22.842618000000002</v>
      </c>
      <c r="F1209" t="s">
        <v>14</v>
      </c>
      <c r="G1209">
        <v>0.83299999999999996</v>
      </c>
      <c r="H1209">
        <v>19.027900794000001</v>
      </c>
      <c r="I1209" t="s">
        <v>9</v>
      </c>
      <c r="J1209">
        <v>0.23699999999999999</v>
      </c>
      <c r="K1209">
        <v>0.24736271032200002</v>
      </c>
      <c r="L1209" t="s">
        <v>37</v>
      </c>
      <c r="M1209">
        <v>0.17100000000000001</v>
      </c>
      <c r="N1209">
        <v>3.2537710357740002</v>
      </c>
    </row>
    <row r="1210" spans="1:14" x14ac:dyDescent="0.25">
      <c r="A1210" s="23">
        <v>44307</v>
      </c>
      <c r="B1210">
        <v>27.129000000000001</v>
      </c>
      <c r="C1210" t="s">
        <v>19</v>
      </c>
      <c r="D1210">
        <v>0.84200000000000008</v>
      </c>
      <c r="E1210">
        <v>22.842618000000002</v>
      </c>
      <c r="F1210" t="s">
        <v>14</v>
      </c>
      <c r="G1210">
        <v>0.83299999999999996</v>
      </c>
      <c r="H1210">
        <v>19.027900794000001</v>
      </c>
      <c r="I1210" t="s">
        <v>55</v>
      </c>
      <c r="J1210">
        <v>1.3000000000000001E-2</v>
      </c>
      <c r="L1210" t="s">
        <v>38</v>
      </c>
      <c r="M1210">
        <v>2.2000000000000002E-2</v>
      </c>
      <c r="N1210">
        <v>0.41861381746800008</v>
      </c>
    </row>
    <row r="1211" spans="1:14" x14ac:dyDescent="0.25">
      <c r="A1211" s="23">
        <v>44308</v>
      </c>
      <c r="B1211">
        <v>27.129000000000001</v>
      </c>
      <c r="C1211" t="s">
        <v>19</v>
      </c>
      <c r="D1211">
        <v>0.84200000000000008</v>
      </c>
      <c r="E1211">
        <v>22.842618000000002</v>
      </c>
      <c r="F1211" t="s">
        <v>14</v>
      </c>
      <c r="G1211">
        <v>0.83299999999999996</v>
      </c>
      <c r="H1211">
        <v>19.027900794000001</v>
      </c>
      <c r="L1211" t="s">
        <v>39</v>
      </c>
      <c r="M1211">
        <v>1.4999999999999999E-2</v>
      </c>
      <c r="N1211">
        <v>0.28541851191000001</v>
      </c>
    </row>
    <row r="1212" spans="1:14" x14ac:dyDescent="0.25">
      <c r="A1212" s="23">
        <v>44309</v>
      </c>
      <c r="B1212">
        <v>27.129000000000001</v>
      </c>
      <c r="C1212" t="s">
        <v>19</v>
      </c>
      <c r="D1212">
        <v>0.84200000000000008</v>
      </c>
      <c r="E1212">
        <v>22.842618000000002</v>
      </c>
      <c r="F1212" t="s">
        <v>52</v>
      </c>
      <c r="G1212">
        <v>0.82700000000000007</v>
      </c>
      <c r="H1212">
        <v>18.890845086000002</v>
      </c>
      <c r="I1212" t="s">
        <v>11</v>
      </c>
      <c r="J1212">
        <v>9.8000000000000004E-2</v>
      </c>
      <c r="K1212">
        <v>1.8513028184280003</v>
      </c>
      <c r="L1212" t="s">
        <v>32</v>
      </c>
      <c r="M1212">
        <v>1.1000000000000001E-2</v>
      </c>
      <c r="N1212">
        <v>0.20779929594600005</v>
      </c>
    </row>
    <row r="1213" spans="1:14" x14ac:dyDescent="0.25">
      <c r="A1213" s="23">
        <v>44310</v>
      </c>
      <c r="B1213">
        <v>27.129000000000001</v>
      </c>
      <c r="C1213" t="s">
        <v>19</v>
      </c>
      <c r="D1213">
        <v>0.84200000000000008</v>
      </c>
      <c r="E1213">
        <v>22.842618000000002</v>
      </c>
      <c r="F1213" t="s">
        <v>15</v>
      </c>
      <c r="G1213">
        <v>0.82700000000000007</v>
      </c>
      <c r="H1213">
        <v>18.890845086000002</v>
      </c>
      <c r="I1213" t="s">
        <v>12</v>
      </c>
      <c r="J1213">
        <v>6.7000000000000004E-2</v>
      </c>
      <c r="K1213">
        <v>1.2656866207620003</v>
      </c>
      <c r="L1213" t="s">
        <v>33</v>
      </c>
      <c r="M1213">
        <v>5.5999999999999994E-2</v>
      </c>
      <c r="N1213">
        <v>1.0578873248160001</v>
      </c>
    </row>
    <row r="1214" spans="1:14" x14ac:dyDescent="0.25">
      <c r="A1214" s="23">
        <v>44311</v>
      </c>
      <c r="B1214">
        <v>27.129000000000001</v>
      </c>
      <c r="C1214" t="s">
        <v>19</v>
      </c>
      <c r="D1214">
        <v>0.84200000000000008</v>
      </c>
      <c r="E1214">
        <v>22.842618000000002</v>
      </c>
      <c r="F1214" t="s">
        <v>15</v>
      </c>
      <c r="G1214">
        <v>0.82700000000000007</v>
      </c>
      <c r="H1214">
        <v>18.890845086000002</v>
      </c>
      <c r="I1214" t="s">
        <v>7</v>
      </c>
      <c r="J1214">
        <v>7.0999999999999994E-2</v>
      </c>
      <c r="K1214">
        <v>1.341250001106</v>
      </c>
      <c r="L1214" t="s">
        <v>34</v>
      </c>
      <c r="M1214">
        <v>0.128</v>
      </c>
      <c r="N1214">
        <v>2.4180281710080003</v>
      </c>
    </row>
    <row r="1215" spans="1:14" x14ac:dyDescent="0.25">
      <c r="A1215" s="23">
        <v>44312</v>
      </c>
      <c r="B1215">
        <v>27.129000000000001</v>
      </c>
      <c r="C1215" t="s">
        <v>19</v>
      </c>
      <c r="D1215">
        <v>0.84200000000000008</v>
      </c>
      <c r="E1215">
        <v>22.842618000000002</v>
      </c>
      <c r="F1215" t="s">
        <v>15</v>
      </c>
      <c r="G1215">
        <v>0.82700000000000007</v>
      </c>
      <c r="H1215">
        <v>18.890845086000002</v>
      </c>
      <c r="I1215" t="s">
        <v>8</v>
      </c>
      <c r="J1215">
        <v>0.39899999999999997</v>
      </c>
      <c r="K1215">
        <v>7.5374471893140003</v>
      </c>
      <c r="L1215" t="s">
        <v>35</v>
      </c>
      <c r="M1215">
        <v>0.316</v>
      </c>
      <c r="N1215">
        <v>5.969507047176001</v>
      </c>
    </row>
    <row r="1216" spans="1:14" x14ac:dyDescent="0.25">
      <c r="A1216" s="23">
        <v>44313</v>
      </c>
      <c r="B1216">
        <v>27.129000000000001</v>
      </c>
      <c r="C1216" t="s">
        <v>19</v>
      </c>
      <c r="D1216">
        <v>0.84200000000000008</v>
      </c>
      <c r="E1216">
        <v>22.842618000000002</v>
      </c>
      <c r="F1216" t="s">
        <v>15</v>
      </c>
      <c r="G1216">
        <v>0.82700000000000007</v>
      </c>
      <c r="H1216">
        <v>18.890845086000002</v>
      </c>
      <c r="I1216" t="s">
        <v>10</v>
      </c>
      <c r="J1216">
        <v>7.9000000000000001E-2</v>
      </c>
      <c r="K1216">
        <v>1.4923767617940003</v>
      </c>
      <c r="L1216" t="s">
        <v>36</v>
      </c>
      <c r="M1216">
        <v>0.32</v>
      </c>
      <c r="N1216">
        <v>6.0450704275200007</v>
      </c>
    </row>
    <row r="1217" spans="1:14" x14ac:dyDescent="0.25">
      <c r="A1217" s="23">
        <v>44314</v>
      </c>
      <c r="B1217">
        <v>27.129000000000001</v>
      </c>
      <c r="C1217" t="s">
        <v>19</v>
      </c>
      <c r="D1217">
        <v>0.84200000000000008</v>
      </c>
      <c r="E1217">
        <v>22.842618000000002</v>
      </c>
      <c r="F1217" t="s">
        <v>15</v>
      </c>
      <c r="G1217">
        <v>0.82700000000000007</v>
      </c>
      <c r="H1217">
        <v>18.890845086000002</v>
      </c>
      <c r="I1217" t="s">
        <v>9</v>
      </c>
      <c r="J1217">
        <v>0.27200000000000002</v>
      </c>
      <c r="K1217">
        <v>5.138309863392001</v>
      </c>
      <c r="L1217" t="s">
        <v>37</v>
      </c>
      <c r="M1217">
        <v>0.158</v>
      </c>
      <c r="N1217">
        <v>2.9847535235880005</v>
      </c>
    </row>
    <row r="1218" spans="1:14" x14ac:dyDescent="0.25">
      <c r="A1218" s="23">
        <v>44315</v>
      </c>
      <c r="B1218">
        <v>27.129000000000001</v>
      </c>
      <c r="C1218" t="s">
        <v>19</v>
      </c>
      <c r="D1218">
        <v>0.84200000000000008</v>
      </c>
      <c r="E1218">
        <v>22.842618000000002</v>
      </c>
      <c r="F1218" t="s">
        <v>15</v>
      </c>
      <c r="G1218">
        <v>0.82700000000000007</v>
      </c>
      <c r="H1218">
        <v>18.890845086000002</v>
      </c>
      <c r="I1218" t="s">
        <v>55</v>
      </c>
      <c r="J1218">
        <v>1.3999999999999999E-2</v>
      </c>
      <c r="L1218" t="s">
        <v>38</v>
      </c>
      <c r="M1218">
        <v>1.2E-2</v>
      </c>
      <c r="N1218">
        <v>0.22669014103200003</v>
      </c>
    </row>
    <row r="1219" spans="1:14" x14ac:dyDescent="0.25">
      <c r="A1219" s="23">
        <v>44316</v>
      </c>
      <c r="B1219">
        <v>27.129000000000001</v>
      </c>
      <c r="C1219" t="s">
        <v>19</v>
      </c>
      <c r="D1219">
        <v>0.84200000000000008</v>
      </c>
      <c r="E1219">
        <v>22.842618000000002</v>
      </c>
      <c r="F1219" t="s">
        <v>15</v>
      </c>
      <c r="G1219">
        <v>0.82700000000000007</v>
      </c>
      <c r="H1219">
        <v>18.890845086000002</v>
      </c>
      <c r="L1219" t="s">
        <v>39</v>
      </c>
      <c r="M1219">
        <v>0</v>
      </c>
      <c r="N1219">
        <v>0</v>
      </c>
    </row>
    <row r="1220" spans="1:14" x14ac:dyDescent="0.25">
      <c r="A1220" s="23">
        <v>44317</v>
      </c>
      <c r="B1220">
        <v>27.129000000000001</v>
      </c>
      <c r="C1220" t="s">
        <v>19</v>
      </c>
      <c r="D1220">
        <v>0.84200000000000008</v>
      </c>
      <c r="E1220">
        <v>22.842618000000002</v>
      </c>
      <c r="F1220" t="s">
        <v>53</v>
      </c>
      <c r="G1220">
        <v>0.84699999999999998</v>
      </c>
      <c r="H1220">
        <v>19.347697446000002</v>
      </c>
      <c r="I1220" t="s">
        <v>11</v>
      </c>
      <c r="J1220">
        <v>0.11800000000000001</v>
      </c>
      <c r="K1220">
        <v>2.2830282986280004</v>
      </c>
      <c r="L1220" t="s">
        <v>32</v>
      </c>
      <c r="M1220">
        <v>5.4000000000000006E-2</v>
      </c>
      <c r="N1220">
        <v>1.0447756620840003</v>
      </c>
    </row>
    <row r="1221" spans="1:14" x14ac:dyDescent="0.25">
      <c r="A1221" s="23">
        <v>44318</v>
      </c>
      <c r="B1221">
        <v>27.129000000000001</v>
      </c>
      <c r="C1221" t="s">
        <v>19</v>
      </c>
      <c r="D1221">
        <v>0.84200000000000008</v>
      </c>
      <c r="E1221">
        <v>22.842618000000002</v>
      </c>
      <c r="F1221" t="s">
        <v>16</v>
      </c>
      <c r="G1221">
        <v>0.84699999999999998</v>
      </c>
      <c r="H1221">
        <v>19.347697446000002</v>
      </c>
      <c r="I1221" t="s">
        <v>12</v>
      </c>
      <c r="J1221">
        <v>0.11</v>
      </c>
      <c r="K1221">
        <v>2.1282467190600003</v>
      </c>
      <c r="L1221" t="s">
        <v>33</v>
      </c>
      <c r="M1221">
        <v>0.109</v>
      </c>
      <c r="N1221">
        <v>2.108899021614</v>
      </c>
    </row>
    <row r="1222" spans="1:14" x14ac:dyDescent="0.25">
      <c r="A1222" s="23">
        <v>44319</v>
      </c>
      <c r="B1222">
        <v>27.129000000000001</v>
      </c>
      <c r="C1222" t="s">
        <v>19</v>
      </c>
      <c r="D1222">
        <v>0.84200000000000008</v>
      </c>
      <c r="E1222">
        <v>22.842618000000002</v>
      </c>
      <c r="F1222" t="s">
        <v>16</v>
      </c>
      <c r="G1222">
        <v>0.84699999999999998</v>
      </c>
      <c r="H1222">
        <v>19.347697446000002</v>
      </c>
      <c r="I1222" t="s">
        <v>7</v>
      </c>
      <c r="J1222">
        <v>0.12</v>
      </c>
      <c r="K1222">
        <v>2.3217236935200001</v>
      </c>
      <c r="L1222" t="s">
        <v>34</v>
      </c>
      <c r="M1222">
        <v>0.16899999999999998</v>
      </c>
      <c r="N1222">
        <v>3.269760868374</v>
      </c>
    </row>
    <row r="1223" spans="1:14" x14ac:dyDescent="0.25">
      <c r="A1223" s="23">
        <v>44320</v>
      </c>
      <c r="B1223">
        <v>27.129000000000001</v>
      </c>
      <c r="C1223" t="s">
        <v>19</v>
      </c>
      <c r="D1223">
        <v>0.84200000000000008</v>
      </c>
      <c r="E1223">
        <v>22.842618000000002</v>
      </c>
      <c r="F1223" t="s">
        <v>16</v>
      </c>
      <c r="G1223">
        <v>0.84699999999999998</v>
      </c>
      <c r="H1223">
        <v>19.347697446000002</v>
      </c>
      <c r="I1223" t="s">
        <v>8</v>
      </c>
      <c r="J1223">
        <v>0.37200000000000005</v>
      </c>
      <c r="K1223">
        <v>7.1973434499120019</v>
      </c>
      <c r="L1223" t="s">
        <v>35</v>
      </c>
      <c r="M1223">
        <v>0.27600000000000002</v>
      </c>
      <c r="N1223">
        <v>5.3399644950960008</v>
      </c>
    </row>
    <row r="1224" spans="1:14" x14ac:dyDescent="0.25">
      <c r="A1224" s="23">
        <v>44321</v>
      </c>
      <c r="B1224">
        <v>27.129000000000001</v>
      </c>
      <c r="C1224" t="s">
        <v>19</v>
      </c>
      <c r="D1224">
        <v>0.84200000000000008</v>
      </c>
      <c r="E1224">
        <v>22.842618000000002</v>
      </c>
      <c r="F1224" t="s">
        <v>16</v>
      </c>
      <c r="G1224">
        <v>0.84699999999999998</v>
      </c>
      <c r="H1224">
        <v>19.347697446000002</v>
      </c>
      <c r="I1224" t="s">
        <v>10</v>
      </c>
      <c r="J1224">
        <v>4.9000000000000002E-2</v>
      </c>
      <c r="K1224">
        <v>0.94803717485400008</v>
      </c>
      <c r="L1224" t="s">
        <v>36</v>
      </c>
      <c r="M1224">
        <v>0.20499999999999999</v>
      </c>
      <c r="N1224">
        <v>3.9662779764300002</v>
      </c>
    </row>
    <row r="1225" spans="1:14" x14ac:dyDescent="0.25">
      <c r="A1225" s="23">
        <v>44322</v>
      </c>
      <c r="B1225">
        <v>27.129000000000001</v>
      </c>
      <c r="C1225" t="s">
        <v>19</v>
      </c>
      <c r="D1225">
        <v>0.84200000000000008</v>
      </c>
      <c r="E1225">
        <v>22.842618000000002</v>
      </c>
      <c r="F1225" t="s">
        <v>16</v>
      </c>
      <c r="G1225">
        <v>0.84699999999999998</v>
      </c>
      <c r="H1225">
        <v>19.347697446000002</v>
      </c>
      <c r="I1225" t="s">
        <v>9</v>
      </c>
      <c r="J1225">
        <v>0.221</v>
      </c>
      <c r="K1225">
        <v>4.275841135566</v>
      </c>
      <c r="L1225" t="s">
        <v>37</v>
      </c>
      <c r="M1225">
        <v>0.157</v>
      </c>
      <c r="N1225">
        <v>3.0375884990220001</v>
      </c>
    </row>
    <row r="1226" spans="1:14" x14ac:dyDescent="0.25">
      <c r="A1226" s="23">
        <v>44323</v>
      </c>
      <c r="B1226">
        <v>27.129000000000001</v>
      </c>
      <c r="C1226" t="s">
        <v>19</v>
      </c>
      <c r="D1226">
        <v>0.84200000000000008</v>
      </c>
      <c r="E1226">
        <v>22.842618000000002</v>
      </c>
      <c r="F1226" t="s">
        <v>16</v>
      </c>
      <c r="G1226">
        <v>0.84699999999999998</v>
      </c>
      <c r="H1226">
        <v>19.347697446000002</v>
      </c>
      <c r="I1226" t="s">
        <v>55</v>
      </c>
      <c r="J1226">
        <v>1.1000000000000001E-2</v>
      </c>
      <c r="L1226" t="s">
        <v>38</v>
      </c>
      <c r="M1226">
        <v>1.8000000000000002E-2</v>
      </c>
      <c r="N1226">
        <v>0.34825855402800004</v>
      </c>
    </row>
    <row r="1227" spans="1:14" x14ac:dyDescent="0.25">
      <c r="A1227" s="23">
        <v>44324</v>
      </c>
      <c r="B1227">
        <v>27.129000000000001</v>
      </c>
      <c r="C1227" t="s">
        <v>19</v>
      </c>
      <c r="D1227">
        <v>0.84200000000000008</v>
      </c>
      <c r="E1227">
        <v>22.842618000000002</v>
      </c>
      <c r="F1227" t="s">
        <v>16</v>
      </c>
      <c r="G1227">
        <v>0.84699999999999998</v>
      </c>
      <c r="H1227">
        <v>19.347697446000002</v>
      </c>
      <c r="L1227" t="s">
        <v>39</v>
      </c>
      <c r="M1227">
        <v>1.1000000000000001E-2</v>
      </c>
      <c r="N1227">
        <v>0.21282467190600005</v>
      </c>
    </row>
    <row r="1228" spans="1:14" x14ac:dyDescent="0.25">
      <c r="A1228" s="23">
        <v>44325</v>
      </c>
      <c r="B1228">
        <v>27.129000000000001</v>
      </c>
      <c r="C1228" t="s">
        <v>19</v>
      </c>
      <c r="D1228">
        <v>0.84200000000000008</v>
      </c>
      <c r="E1228">
        <v>22.842618000000002</v>
      </c>
      <c r="F1228" t="s">
        <v>51</v>
      </c>
      <c r="G1228">
        <v>0.82599999999999996</v>
      </c>
      <c r="H1228">
        <v>18.868002468</v>
      </c>
      <c r="I1228" t="s">
        <v>11</v>
      </c>
      <c r="J1228">
        <v>0.158</v>
      </c>
      <c r="K1228">
        <v>2.9811443899440002</v>
      </c>
      <c r="L1228" t="s">
        <v>32</v>
      </c>
      <c r="M1228">
        <v>5.2999999999999999E-2</v>
      </c>
      <c r="N1228">
        <v>1.000004130804</v>
      </c>
    </row>
    <row r="1229" spans="1:14" x14ac:dyDescent="0.25">
      <c r="A1229" s="23">
        <v>44326</v>
      </c>
      <c r="B1229">
        <v>27.129000000000001</v>
      </c>
      <c r="C1229" t="s">
        <v>19</v>
      </c>
      <c r="D1229">
        <v>0.84200000000000008</v>
      </c>
      <c r="E1229">
        <v>22.842618000000002</v>
      </c>
      <c r="F1229" t="s">
        <v>13</v>
      </c>
      <c r="G1229">
        <v>0.82599999999999996</v>
      </c>
      <c r="H1229">
        <v>18.868002468</v>
      </c>
      <c r="I1229" t="s">
        <v>12</v>
      </c>
      <c r="J1229">
        <v>0.13600000000000001</v>
      </c>
      <c r="K1229">
        <v>2.5660483356480004</v>
      </c>
      <c r="L1229" t="s">
        <v>33</v>
      </c>
      <c r="M1229">
        <v>0.109</v>
      </c>
      <c r="N1229">
        <v>2.0566122690120001</v>
      </c>
    </row>
    <row r="1230" spans="1:14" x14ac:dyDescent="0.25">
      <c r="A1230" s="23">
        <v>44327</v>
      </c>
      <c r="B1230">
        <v>27.129000000000001</v>
      </c>
      <c r="C1230" t="s">
        <v>19</v>
      </c>
      <c r="D1230">
        <v>0.84200000000000008</v>
      </c>
      <c r="E1230">
        <v>22.842618000000002</v>
      </c>
      <c r="F1230" t="s">
        <v>13</v>
      </c>
      <c r="G1230">
        <v>0.82599999999999996</v>
      </c>
      <c r="H1230">
        <v>18.868002468</v>
      </c>
      <c r="I1230" t="s">
        <v>7</v>
      </c>
      <c r="J1230">
        <v>0.14699999999999999</v>
      </c>
      <c r="K1230">
        <v>2.7735963627959999</v>
      </c>
      <c r="L1230" t="s">
        <v>34</v>
      </c>
      <c r="M1230">
        <v>0.16600000000000001</v>
      </c>
      <c r="N1230">
        <v>3.1320884096880004</v>
      </c>
    </row>
    <row r="1231" spans="1:14" x14ac:dyDescent="0.25">
      <c r="A1231" s="23">
        <v>44328</v>
      </c>
      <c r="B1231">
        <v>27.129000000000001</v>
      </c>
      <c r="C1231" t="s">
        <v>19</v>
      </c>
      <c r="D1231">
        <v>0.84200000000000008</v>
      </c>
      <c r="E1231">
        <v>22.842618000000002</v>
      </c>
      <c r="F1231" t="s">
        <v>13</v>
      </c>
      <c r="G1231">
        <v>0.82599999999999996</v>
      </c>
      <c r="H1231">
        <v>18.868002468</v>
      </c>
      <c r="I1231" t="s">
        <v>8</v>
      </c>
      <c r="J1231">
        <v>0.36700000000000005</v>
      </c>
      <c r="K1231">
        <v>6.9245569057560008</v>
      </c>
      <c r="L1231" t="s">
        <v>35</v>
      </c>
      <c r="M1231">
        <v>0.26700000000000002</v>
      </c>
      <c r="N1231">
        <v>5.0377566589560008</v>
      </c>
    </row>
    <row r="1232" spans="1:14" x14ac:dyDescent="0.25">
      <c r="A1232" s="23">
        <v>44329</v>
      </c>
      <c r="B1232">
        <v>27.129000000000001</v>
      </c>
      <c r="C1232" t="s">
        <v>19</v>
      </c>
      <c r="D1232">
        <v>0.84200000000000008</v>
      </c>
      <c r="E1232">
        <v>22.842618000000002</v>
      </c>
      <c r="F1232" t="s">
        <v>13</v>
      </c>
      <c r="G1232">
        <v>0.82599999999999996</v>
      </c>
      <c r="H1232">
        <v>18.868002468</v>
      </c>
      <c r="I1232" t="s">
        <v>10</v>
      </c>
      <c r="J1232">
        <v>3.2000000000000001E-2</v>
      </c>
      <c r="K1232">
        <v>0.60377607897600005</v>
      </c>
      <c r="L1232" t="s">
        <v>36</v>
      </c>
      <c r="M1232">
        <v>0.2</v>
      </c>
      <c r="N1232">
        <v>3.7736004936</v>
      </c>
    </row>
    <row r="1233" spans="1:14" x14ac:dyDescent="0.25">
      <c r="A1233" s="23">
        <v>44330</v>
      </c>
      <c r="B1233">
        <v>27.129000000000001</v>
      </c>
      <c r="C1233" t="s">
        <v>19</v>
      </c>
      <c r="D1233">
        <v>0.84200000000000008</v>
      </c>
      <c r="E1233">
        <v>22.842618000000002</v>
      </c>
      <c r="F1233" t="s">
        <v>13</v>
      </c>
      <c r="G1233">
        <v>0.82599999999999996</v>
      </c>
      <c r="H1233">
        <v>18.868002468</v>
      </c>
      <c r="I1233" t="s">
        <v>9</v>
      </c>
      <c r="J1233">
        <v>0.13800000000000001</v>
      </c>
      <c r="K1233">
        <v>2.6037843405840002</v>
      </c>
      <c r="L1233" t="s">
        <v>37</v>
      </c>
      <c r="M1233">
        <v>0.16</v>
      </c>
      <c r="N1233">
        <v>3.01888039488</v>
      </c>
    </row>
    <row r="1234" spans="1:14" x14ac:dyDescent="0.25">
      <c r="A1234" s="23">
        <v>44331</v>
      </c>
      <c r="B1234">
        <v>27.129000000000001</v>
      </c>
      <c r="C1234" t="s">
        <v>19</v>
      </c>
      <c r="D1234">
        <v>0.84200000000000008</v>
      </c>
      <c r="E1234">
        <v>22.842618000000002</v>
      </c>
      <c r="F1234" t="s">
        <v>13</v>
      </c>
      <c r="G1234">
        <v>0.82599999999999996</v>
      </c>
      <c r="H1234">
        <v>18.868002468</v>
      </c>
      <c r="I1234" t="s">
        <v>55</v>
      </c>
      <c r="J1234">
        <v>2.2000000000000002E-2</v>
      </c>
      <c r="L1234" t="s">
        <v>38</v>
      </c>
      <c r="M1234">
        <v>2.7999999999999997E-2</v>
      </c>
      <c r="N1234">
        <v>0.52830406910399996</v>
      </c>
    </row>
    <row r="1235" spans="1:14" x14ac:dyDescent="0.25">
      <c r="A1235" s="23">
        <v>44332</v>
      </c>
      <c r="B1235">
        <v>27.129000000000001</v>
      </c>
      <c r="C1235" t="s">
        <v>19</v>
      </c>
      <c r="D1235">
        <v>0.84200000000000008</v>
      </c>
      <c r="E1235">
        <v>22.842618000000002</v>
      </c>
      <c r="F1235" t="s">
        <v>13</v>
      </c>
      <c r="G1235">
        <v>0.82599999999999996</v>
      </c>
      <c r="H1235">
        <v>18.868002468</v>
      </c>
      <c r="L1235" t="s">
        <v>39</v>
      </c>
      <c r="M1235">
        <v>1.4999999999999999E-2</v>
      </c>
      <c r="N1235">
        <v>0.28302003702</v>
      </c>
    </row>
    <row r="1236" spans="1:14" x14ac:dyDescent="0.25">
      <c r="A1236" s="23">
        <v>44333</v>
      </c>
      <c r="B1236">
        <v>27.129000000000001</v>
      </c>
      <c r="C1236" t="s">
        <v>19</v>
      </c>
      <c r="D1236">
        <v>0.84200000000000008</v>
      </c>
      <c r="E1236">
        <v>22.842618000000002</v>
      </c>
      <c r="F1236" t="s">
        <v>50</v>
      </c>
      <c r="G1236">
        <v>0.90599999999999992</v>
      </c>
      <c r="H1236">
        <v>20.695411908000001</v>
      </c>
      <c r="I1236" t="s">
        <v>11</v>
      </c>
      <c r="J1236">
        <v>0.34200000000000003</v>
      </c>
      <c r="K1236">
        <v>7.0778308725360004</v>
      </c>
      <c r="L1236" t="s">
        <v>32</v>
      </c>
      <c r="M1236">
        <v>0</v>
      </c>
      <c r="N1236">
        <v>0</v>
      </c>
    </row>
    <row r="1237" spans="1:14" x14ac:dyDescent="0.25">
      <c r="A1237" s="23">
        <v>44334</v>
      </c>
      <c r="B1237">
        <v>27.129000000000001</v>
      </c>
      <c r="C1237" t="s">
        <v>19</v>
      </c>
      <c r="D1237">
        <v>0.84200000000000008</v>
      </c>
      <c r="E1237">
        <v>22.842618000000002</v>
      </c>
      <c r="F1237" t="s">
        <v>17</v>
      </c>
      <c r="G1237">
        <v>0.90599999999999992</v>
      </c>
      <c r="H1237">
        <v>20.695411908000001</v>
      </c>
      <c r="I1237" t="s">
        <v>12</v>
      </c>
      <c r="J1237">
        <v>0.13400000000000001</v>
      </c>
      <c r="K1237">
        <v>2.7731851956720002</v>
      </c>
      <c r="L1237" t="s">
        <v>33</v>
      </c>
      <c r="M1237">
        <v>4.2000000000000003E-2</v>
      </c>
      <c r="N1237">
        <v>0.86920730013600012</v>
      </c>
    </row>
    <row r="1238" spans="1:14" x14ac:dyDescent="0.25">
      <c r="A1238" s="23">
        <v>44335</v>
      </c>
      <c r="B1238">
        <v>27.129000000000001</v>
      </c>
      <c r="C1238" t="s">
        <v>19</v>
      </c>
      <c r="D1238">
        <v>0.84200000000000008</v>
      </c>
      <c r="E1238">
        <v>22.842618000000002</v>
      </c>
      <c r="F1238" t="s">
        <v>17</v>
      </c>
      <c r="G1238">
        <v>0.90599999999999992</v>
      </c>
      <c r="H1238">
        <v>20.695411908000001</v>
      </c>
      <c r="I1238" t="s">
        <v>7</v>
      </c>
      <c r="J1238">
        <v>9.4E-2</v>
      </c>
      <c r="K1238">
        <v>1.945368719352</v>
      </c>
      <c r="L1238" t="s">
        <v>34</v>
      </c>
      <c r="M1238">
        <v>0.114</v>
      </c>
      <c r="N1238">
        <v>2.3592769575120003</v>
      </c>
    </row>
    <row r="1239" spans="1:14" x14ac:dyDescent="0.25">
      <c r="A1239" s="23">
        <v>44336</v>
      </c>
      <c r="B1239">
        <v>27.129000000000001</v>
      </c>
      <c r="C1239" t="s">
        <v>19</v>
      </c>
      <c r="D1239">
        <v>0.84200000000000008</v>
      </c>
      <c r="E1239">
        <v>22.842618000000002</v>
      </c>
      <c r="F1239" t="s">
        <v>17</v>
      </c>
      <c r="G1239">
        <v>0.90599999999999992</v>
      </c>
      <c r="H1239">
        <v>20.695411908000001</v>
      </c>
      <c r="I1239" t="s">
        <v>8</v>
      </c>
      <c r="J1239">
        <v>0.27600000000000002</v>
      </c>
      <c r="K1239">
        <v>5.7119336866080008</v>
      </c>
      <c r="L1239" t="s">
        <v>35</v>
      </c>
      <c r="M1239">
        <v>0.35600000000000004</v>
      </c>
      <c r="N1239">
        <v>7.3675666392480013</v>
      </c>
    </row>
    <row r="1240" spans="1:14" x14ac:dyDescent="0.25">
      <c r="A1240" s="23">
        <v>44337</v>
      </c>
      <c r="B1240">
        <v>27.129000000000001</v>
      </c>
      <c r="C1240" t="s">
        <v>19</v>
      </c>
      <c r="D1240">
        <v>0.84200000000000008</v>
      </c>
      <c r="E1240">
        <v>22.842618000000002</v>
      </c>
      <c r="F1240" t="s">
        <v>17</v>
      </c>
      <c r="G1240">
        <v>0.90599999999999992</v>
      </c>
      <c r="H1240">
        <v>20.695411908000001</v>
      </c>
      <c r="I1240" t="s">
        <v>10</v>
      </c>
      <c r="J1240">
        <v>2.7000000000000003E-2</v>
      </c>
      <c r="K1240">
        <v>0.55877612151600009</v>
      </c>
      <c r="L1240" t="s">
        <v>36</v>
      </c>
      <c r="M1240">
        <v>0.33100000000000002</v>
      </c>
      <c r="N1240">
        <v>7.3675666392480013</v>
      </c>
    </row>
    <row r="1241" spans="1:14" x14ac:dyDescent="0.25">
      <c r="A1241" s="23">
        <v>44338</v>
      </c>
      <c r="B1241">
        <v>27.129000000000001</v>
      </c>
      <c r="C1241" t="s">
        <v>19</v>
      </c>
      <c r="D1241">
        <v>0.84200000000000008</v>
      </c>
      <c r="E1241">
        <v>22.842618000000002</v>
      </c>
      <c r="F1241" t="s">
        <v>17</v>
      </c>
      <c r="G1241">
        <v>0.90599999999999992</v>
      </c>
      <c r="H1241">
        <v>20.695411908000001</v>
      </c>
      <c r="I1241" t="s">
        <v>9</v>
      </c>
      <c r="J1241">
        <v>0.12300000000000001</v>
      </c>
      <c r="K1241">
        <v>2.5455356646840004</v>
      </c>
      <c r="L1241" t="s">
        <v>37</v>
      </c>
      <c r="M1241">
        <v>0.14699999999999999</v>
      </c>
      <c r="N1241">
        <v>6.8501813415480006</v>
      </c>
    </row>
    <row r="1242" spans="1:14" x14ac:dyDescent="0.25">
      <c r="A1242" s="23">
        <v>44339</v>
      </c>
      <c r="B1242">
        <v>27.129000000000001</v>
      </c>
      <c r="C1242" t="s">
        <v>19</v>
      </c>
      <c r="D1242">
        <v>0.84200000000000008</v>
      </c>
      <c r="E1242">
        <v>22.842618000000002</v>
      </c>
      <c r="F1242" t="s">
        <v>17</v>
      </c>
      <c r="G1242">
        <v>0.90599999999999992</v>
      </c>
      <c r="H1242">
        <v>20.695411908000001</v>
      </c>
      <c r="I1242" t="s">
        <v>55</v>
      </c>
      <c r="J1242">
        <v>4.0000000000000001E-3</v>
      </c>
      <c r="L1242" t="s">
        <v>38</v>
      </c>
      <c r="M1242">
        <v>0</v>
      </c>
      <c r="N1242">
        <v>3.0422255504760001</v>
      </c>
    </row>
    <row r="1243" spans="1:14" x14ac:dyDescent="0.25">
      <c r="A1243" s="23">
        <v>44340</v>
      </c>
      <c r="B1243">
        <v>27.129000000000001</v>
      </c>
      <c r="C1243" t="s">
        <v>19</v>
      </c>
      <c r="D1243">
        <v>0.84200000000000008</v>
      </c>
      <c r="E1243">
        <v>22.842618000000002</v>
      </c>
      <c r="F1243" t="s">
        <v>17</v>
      </c>
      <c r="G1243">
        <v>0.90599999999999992</v>
      </c>
      <c r="H1243">
        <v>20.695411908000001</v>
      </c>
      <c r="L1243" t="s">
        <v>39</v>
      </c>
      <c r="M1243">
        <v>9.0000000000000011E-3</v>
      </c>
      <c r="N1243">
        <v>0</v>
      </c>
    </row>
    <row r="1244" spans="1:14" x14ac:dyDescent="0.25">
      <c r="A1244" s="23">
        <v>44341</v>
      </c>
      <c r="B1244">
        <v>27.129000000000001</v>
      </c>
      <c r="C1244" t="s">
        <v>19</v>
      </c>
      <c r="D1244">
        <v>0.84200000000000008</v>
      </c>
      <c r="E1244">
        <v>22.842618000000002</v>
      </c>
      <c r="F1244" t="s">
        <v>49</v>
      </c>
      <c r="G1244">
        <v>0.87599999999999989</v>
      </c>
      <c r="H1244">
        <v>20.010133367999998</v>
      </c>
      <c r="I1244" t="s">
        <v>11</v>
      </c>
      <c r="J1244">
        <v>0.19</v>
      </c>
      <c r="K1244">
        <v>3.8019253399199995</v>
      </c>
      <c r="L1244" t="s">
        <v>32</v>
      </c>
      <c r="M1244">
        <v>7.400000000000001E-2</v>
      </c>
      <c r="N1244">
        <v>1.480749869232</v>
      </c>
    </row>
    <row r="1245" spans="1:14" x14ac:dyDescent="0.25">
      <c r="A1245" s="23">
        <v>44342</v>
      </c>
      <c r="B1245">
        <v>27.129000000000001</v>
      </c>
      <c r="C1245" t="s">
        <v>19</v>
      </c>
      <c r="D1245">
        <v>0.84200000000000008</v>
      </c>
      <c r="E1245">
        <v>22.842618000000002</v>
      </c>
      <c r="F1245" t="s">
        <v>18</v>
      </c>
      <c r="G1245">
        <v>0.87599999999999989</v>
      </c>
      <c r="H1245">
        <v>20.010133367999998</v>
      </c>
      <c r="I1245" t="s">
        <v>12</v>
      </c>
      <c r="J1245">
        <v>0.124</v>
      </c>
      <c r="K1245">
        <v>2.4812565376319999</v>
      </c>
      <c r="L1245" t="s">
        <v>33</v>
      </c>
      <c r="M1245">
        <v>0.13500000000000001</v>
      </c>
      <c r="N1245">
        <v>2.7013680046799999</v>
      </c>
    </row>
    <row r="1246" spans="1:14" x14ac:dyDescent="0.25">
      <c r="A1246" s="23">
        <v>44343</v>
      </c>
      <c r="B1246">
        <v>27.129000000000001</v>
      </c>
      <c r="C1246" t="s">
        <v>19</v>
      </c>
      <c r="D1246">
        <v>0.84200000000000008</v>
      </c>
      <c r="E1246">
        <v>22.842618000000002</v>
      </c>
      <c r="F1246" t="s">
        <v>18</v>
      </c>
      <c r="G1246">
        <v>0.87599999999999989</v>
      </c>
      <c r="H1246">
        <v>20.010133367999998</v>
      </c>
      <c r="I1246" t="s">
        <v>7</v>
      </c>
      <c r="J1246">
        <v>0.152</v>
      </c>
      <c r="K1246">
        <v>3.0415402719359999</v>
      </c>
      <c r="L1246" t="s">
        <v>34</v>
      </c>
      <c r="M1246">
        <v>0.16500000000000001</v>
      </c>
      <c r="N1246">
        <v>3.30167200572</v>
      </c>
    </row>
    <row r="1247" spans="1:14" x14ac:dyDescent="0.25">
      <c r="A1247" s="23">
        <v>44344</v>
      </c>
      <c r="B1247">
        <v>27.129000000000001</v>
      </c>
      <c r="C1247" t="s">
        <v>19</v>
      </c>
      <c r="D1247">
        <v>0.84200000000000008</v>
      </c>
      <c r="E1247">
        <v>22.842618000000002</v>
      </c>
      <c r="F1247" t="s">
        <v>18</v>
      </c>
      <c r="G1247">
        <v>0.87599999999999989</v>
      </c>
      <c r="H1247">
        <v>20.010133367999998</v>
      </c>
      <c r="I1247" t="s">
        <v>8</v>
      </c>
      <c r="J1247">
        <v>0.40899999999999997</v>
      </c>
      <c r="K1247">
        <v>8.1841445475119983</v>
      </c>
      <c r="L1247" t="s">
        <v>35</v>
      </c>
      <c r="M1247">
        <v>0.25600000000000001</v>
      </c>
      <c r="N1247">
        <v>5.1225941422079995</v>
      </c>
    </row>
    <row r="1248" spans="1:14" x14ac:dyDescent="0.25">
      <c r="A1248" s="23">
        <v>44345</v>
      </c>
      <c r="B1248">
        <v>27.129000000000001</v>
      </c>
      <c r="C1248" t="s">
        <v>19</v>
      </c>
      <c r="D1248">
        <v>0.84200000000000008</v>
      </c>
      <c r="E1248">
        <v>22.842618000000002</v>
      </c>
      <c r="F1248" t="s">
        <v>18</v>
      </c>
      <c r="G1248">
        <v>0.87599999999999989</v>
      </c>
      <c r="H1248">
        <v>20.010133367999998</v>
      </c>
      <c r="I1248" t="s">
        <v>10</v>
      </c>
      <c r="J1248">
        <v>2.1000000000000001E-2</v>
      </c>
      <c r="K1248">
        <v>0.42021280072799999</v>
      </c>
      <c r="L1248" t="s">
        <v>36</v>
      </c>
      <c r="M1248">
        <v>0.193</v>
      </c>
      <c r="N1248">
        <v>3.8619557400239999</v>
      </c>
    </row>
    <row r="1249" spans="1:14" x14ac:dyDescent="0.25">
      <c r="A1249" s="23">
        <v>44346</v>
      </c>
      <c r="B1249">
        <v>27.129000000000001</v>
      </c>
      <c r="C1249" t="s">
        <v>19</v>
      </c>
      <c r="D1249">
        <v>0.84200000000000008</v>
      </c>
      <c r="E1249">
        <v>22.842618000000002</v>
      </c>
      <c r="F1249" t="s">
        <v>18</v>
      </c>
      <c r="G1249">
        <v>0.87599999999999989</v>
      </c>
      <c r="H1249">
        <v>20.010133367999998</v>
      </c>
      <c r="I1249" t="s">
        <v>9</v>
      </c>
      <c r="J1249">
        <v>0.09</v>
      </c>
      <c r="K1249">
        <v>1.8009120031199997</v>
      </c>
      <c r="L1249" t="s">
        <v>37</v>
      </c>
      <c r="M1249">
        <v>0.13100000000000001</v>
      </c>
      <c r="N1249">
        <v>2.6213274712079997</v>
      </c>
    </row>
    <row r="1250" spans="1:14" x14ac:dyDescent="0.25">
      <c r="A1250" s="23">
        <v>44347</v>
      </c>
      <c r="B1250">
        <v>27.129000000000001</v>
      </c>
      <c r="C1250" t="s">
        <v>19</v>
      </c>
      <c r="D1250">
        <v>0.84200000000000008</v>
      </c>
      <c r="E1250">
        <v>22.842618000000002</v>
      </c>
      <c r="F1250" t="s">
        <v>18</v>
      </c>
      <c r="G1250">
        <v>0.87599999999999989</v>
      </c>
      <c r="H1250">
        <v>20.010133367999998</v>
      </c>
      <c r="I1250" t="s">
        <v>55</v>
      </c>
      <c r="J1250">
        <v>1.4999999999999999E-2</v>
      </c>
      <c r="L1250" t="s">
        <v>38</v>
      </c>
      <c r="M1250">
        <v>2.3E-2</v>
      </c>
      <c r="N1250">
        <v>0.46023306746399995</v>
      </c>
    </row>
    <row r="1251" spans="1:14" x14ac:dyDescent="0.25">
      <c r="A1251" s="23">
        <v>44348</v>
      </c>
      <c r="B1251">
        <v>27.129000000000001</v>
      </c>
      <c r="C1251" t="s">
        <v>19</v>
      </c>
      <c r="D1251">
        <v>0.84200000000000008</v>
      </c>
      <c r="E1251">
        <v>22.842618000000002</v>
      </c>
      <c r="F1251" t="s">
        <v>18</v>
      </c>
      <c r="G1251">
        <v>0.87599999999999989</v>
      </c>
      <c r="H1251">
        <v>20.010133367999998</v>
      </c>
      <c r="L1251" t="s">
        <v>39</v>
      </c>
      <c r="M1251">
        <v>2.3E-2</v>
      </c>
      <c r="N1251">
        <v>0.46023306746399995</v>
      </c>
    </row>
    <row r="1252" spans="1:14" x14ac:dyDescent="0.25">
      <c r="A1252" s="23">
        <v>44349</v>
      </c>
      <c r="B1252">
        <v>27</v>
      </c>
      <c r="C1252" t="s">
        <v>2</v>
      </c>
      <c r="D1252">
        <v>0.154</v>
      </c>
      <c r="E1252">
        <v>4.1580000000000004</v>
      </c>
      <c r="F1252" t="s">
        <v>14</v>
      </c>
      <c r="G1252">
        <v>0.18</v>
      </c>
      <c r="H1252">
        <v>0.74843999999999999</v>
      </c>
      <c r="I1252" t="s">
        <v>11</v>
      </c>
      <c r="J1252">
        <v>7.8E-2</v>
      </c>
      <c r="K1252">
        <v>5.8378319999999997E-2</v>
      </c>
      <c r="L1252" t="s">
        <v>32</v>
      </c>
      <c r="M1252">
        <v>0.01</v>
      </c>
      <c r="N1252">
        <v>7.4844000000000004E-3</v>
      </c>
    </row>
    <row r="1253" spans="1:14" x14ac:dyDescent="0.25">
      <c r="A1253" s="23">
        <v>44350</v>
      </c>
      <c r="B1253">
        <v>27</v>
      </c>
      <c r="C1253" t="s">
        <v>2</v>
      </c>
      <c r="D1253">
        <v>0.154</v>
      </c>
      <c r="E1253">
        <v>4.1580000000000004</v>
      </c>
      <c r="F1253" t="s">
        <v>43</v>
      </c>
      <c r="G1253">
        <v>0.18</v>
      </c>
      <c r="H1253">
        <v>0.74843999999999999</v>
      </c>
      <c r="I1253" t="s">
        <v>12</v>
      </c>
      <c r="J1253">
        <v>4.2000000000000003E-2</v>
      </c>
      <c r="K1253">
        <v>3.1434480000000001E-2</v>
      </c>
      <c r="L1253" t="s">
        <v>33</v>
      </c>
      <c r="M1253">
        <v>0.106</v>
      </c>
      <c r="N1253">
        <v>7.9334639999999998E-2</v>
      </c>
    </row>
    <row r="1254" spans="1:14" x14ac:dyDescent="0.25">
      <c r="A1254" s="23">
        <v>44351</v>
      </c>
      <c r="B1254">
        <v>27</v>
      </c>
      <c r="C1254" t="s">
        <v>2</v>
      </c>
      <c r="D1254">
        <v>0.154</v>
      </c>
      <c r="E1254">
        <v>4.1580000000000004</v>
      </c>
      <c r="F1254" t="s">
        <v>14</v>
      </c>
      <c r="G1254">
        <v>0.18</v>
      </c>
      <c r="H1254">
        <v>0.74843999999999999</v>
      </c>
      <c r="I1254" t="s">
        <v>7</v>
      </c>
      <c r="J1254">
        <v>6.6000000000000003E-2</v>
      </c>
      <c r="K1254">
        <v>4.9397040000000003E-2</v>
      </c>
      <c r="L1254" t="s">
        <v>34</v>
      </c>
      <c r="M1254">
        <v>0.13300000000000001</v>
      </c>
      <c r="N1254">
        <v>9.9542520000000009E-2</v>
      </c>
    </row>
    <row r="1255" spans="1:14" x14ac:dyDescent="0.25">
      <c r="A1255" s="23">
        <v>44352</v>
      </c>
      <c r="B1255">
        <v>27</v>
      </c>
      <c r="C1255" t="s">
        <v>2</v>
      </c>
      <c r="D1255">
        <v>0.154</v>
      </c>
      <c r="E1255">
        <v>4.1580000000000004</v>
      </c>
      <c r="F1255" t="s">
        <v>14</v>
      </c>
      <c r="G1255">
        <v>0.18</v>
      </c>
      <c r="H1255">
        <v>0.74843999999999999</v>
      </c>
      <c r="I1255" t="s">
        <v>8</v>
      </c>
      <c r="J1255">
        <v>0.30599999999999999</v>
      </c>
      <c r="K1255">
        <v>0.22902264</v>
      </c>
      <c r="L1255" t="s">
        <v>35</v>
      </c>
      <c r="M1255">
        <v>0.248</v>
      </c>
      <c r="N1255">
        <v>0.18561311999999999</v>
      </c>
    </row>
    <row r="1256" spans="1:14" x14ac:dyDescent="0.25">
      <c r="A1256" s="23">
        <v>44353</v>
      </c>
      <c r="B1256">
        <v>27</v>
      </c>
      <c r="C1256" t="s">
        <v>2</v>
      </c>
      <c r="D1256">
        <v>0.154</v>
      </c>
      <c r="E1256">
        <v>4.1580000000000004</v>
      </c>
      <c r="F1256" t="s">
        <v>14</v>
      </c>
      <c r="G1256">
        <v>0.18</v>
      </c>
      <c r="H1256">
        <v>0.74843999999999999</v>
      </c>
      <c r="I1256" t="s">
        <v>10</v>
      </c>
      <c r="J1256">
        <v>4.7E-2</v>
      </c>
      <c r="K1256">
        <v>3.5176680000000002E-2</v>
      </c>
      <c r="L1256" t="s">
        <v>36</v>
      </c>
      <c r="M1256">
        <v>0.254</v>
      </c>
      <c r="N1256">
        <v>0.19010376000000001</v>
      </c>
    </row>
    <row r="1257" spans="1:14" x14ac:dyDescent="0.25">
      <c r="A1257" s="23">
        <v>44354</v>
      </c>
      <c r="B1257">
        <v>27</v>
      </c>
      <c r="C1257" t="s">
        <v>2</v>
      </c>
      <c r="D1257">
        <v>0.154</v>
      </c>
      <c r="E1257">
        <v>4.1580000000000004</v>
      </c>
      <c r="F1257" t="s">
        <v>14</v>
      </c>
      <c r="G1257">
        <v>0.18</v>
      </c>
      <c r="H1257">
        <v>0.74843999999999999</v>
      </c>
      <c r="I1257" t="s">
        <v>9</v>
      </c>
      <c r="J1257">
        <v>0.45799999999999996</v>
      </c>
      <c r="K1257">
        <v>0.34278551999999995</v>
      </c>
      <c r="L1257" t="s">
        <v>37</v>
      </c>
      <c r="M1257">
        <v>0.23499999999999999</v>
      </c>
      <c r="N1257">
        <v>0.1758834</v>
      </c>
    </row>
    <row r="1258" spans="1:14" x14ac:dyDescent="0.25">
      <c r="A1258" s="23">
        <v>44355</v>
      </c>
      <c r="B1258">
        <v>27</v>
      </c>
      <c r="C1258" t="s">
        <v>2</v>
      </c>
      <c r="D1258">
        <v>0.154</v>
      </c>
      <c r="E1258">
        <v>4.1580000000000004</v>
      </c>
      <c r="F1258" t="s">
        <v>14</v>
      </c>
      <c r="G1258">
        <v>0.18</v>
      </c>
      <c r="H1258">
        <v>0.74843999999999999</v>
      </c>
      <c r="I1258" t="s">
        <v>55</v>
      </c>
      <c r="J1258">
        <v>3.0000000000000001E-3</v>
      </c>
      <c r="K1258">
        <v>2.2453199999999999E-3</v>
      </c>
      <c r="L1258" t="s">
        <v>38</v>
      </c>
      <c r="M1258">
        <v>8.0000000000000002E-3</v>
      </c>
      <c r="N1258">
        <v>5.9875199999999996E-3</v>
      </c>
    </row>
    <row r="1259" spans="1:14" x14ac:dyDescent="0.25">
      <c r="A1259" s="23">
        <v>44356</v>
      </c>
      <c r="B1259">
        <v>27</v>
      </c>
      <c r="C1259" t="s">
        <v>2</v>
      </c>
      <c r="D1259">
        <v>0.154</v>
      </c>
      <c r="E1259">
        <v>4.1580000000000004</v>
      </c>
      <c r="F1259" t="s">
        <v>14</v>
      </c>
      <c r="G1259">
        <v>0.18</v>
      </c>
      <c r="H1259">
        <v>0.74843999999999999</v>
      </c>
      <c r="L1259" t="s">
        <v>39</v>
      </c>
      <c r="M1259">
        <v>4.0000000000000001E-3</v>
      </c>
      <c r="N1259">
        <v>2.9937599999999998E-3</v>
      </c>
    </row>
    <row r="1260" spans="1:14" x14ac:dyDescent="0.25">
      <c r="A1260" s="23">
        <v>44357</v>
      </c>
      <c r="B1260">
        <v>27</v>
      </c>
      <c r="C1260" t="s">
        <v>2</v>
      </c>
      <c r="D1260">
        <v>0.154</v>
      </c>
      <c r="E1260">
        <v>4.1580000000000004</v>
      </c>
      <c r="F1260" t="s">
        <v>44</v>
      </c>
      <c r="G1260">
        <v>0.15</v>
      </c>
      <c r="H1260">
        <v>0.62370000000000003</v>
      </c>
      <c r="I1260" t="s">
        <v>11</v>
      </c>
      <c r="J1260">
        <v>3.9E-2</v>
      </c>
      <c r="K1260">
        <v>2.43243E-2</v>
      </c>
      <c r="L1260" t="s">
        <v>32</v>
      </c>
      <c r="M1260">
        <v>0</v>
      </c>
      <c r="N1260">
        <v>0</v>
      </c>
    </row>
    <row r="1261" spans="1:14" x14ac:dyDescent="0.25">
      <c r="A1261" s="23">
        <v>44358</v>
      </c>
      <c r="B1261">
        <v>27</v>
      </c>
      <c r="C1261" t="s">
        <v>2</v>
      </c>
      <c r="D1261">
        <v>0.154</v>
      </c>
      <c r="E1261">
        <v>4.1580000000000004</v>
      </c>
      <c r="F1261" t="s">
        <v>15</v>
      </c>
      <c r="G1261">
        <v>0.15</v>
      </c>
      <c r="H1261">
        <v>0.62370000000000003</v>
      </c>
      <c r="I1261" t="s">
        <v>12</v>
      </c>
      <c r="J1261">
        <v>2.3E-2</v>
      </c>
      <c r="K1261">
        <v>1.4345100000000001E-2</v>
      </c>
      <c r="L1261" t="s">
        <v>33</v>
      </c>
      <c r="M1261">
        <v>9.9000000000000005E-2</v>
      </c>
      <c r="N1261">
        <v>6.1746300000000004E-2</v>
      </c>
    </row>
    <row r="1262" spans="1:14" x14ac:dyDescent="0.25">
      <c r="A1262" s="23">
        <v>44359</v>
      </c>
      <c r="B1262">
        <v>27</v>
      </c>
      <c r="C1262" t="s">
        <v>2</v>
      </c>
      <c r="D1262">
        <v>0.154</v>
      </c>
      <c r="E1262">
        <v>4.1580000000000004</v>
      </c>
      <c r="F1262" t="s">
        <v>15</v>
      </c>
      <c r="G1262">
        <v>0.15</v>
      </c>
      <c r="H1262">
        <v>0.62370000000000003</v>
      </c>
      <c r="I1262" t="s">
        <v>7</v>
      </c>
      <c r="J1262">
        <v>5.9000000000000004E-2</v>
      </c>
      <c r="K1262">
        <v>3.6798300000000006E-2</v>
      </c>
      <c r="L1262" t="s">
        <v>34</v>
      </c>
      <c r="M1262">
        <v>7.6999999999999999E-2</v>
      </c>
      <c r="N1262">
        <v>4.8024900000000002E-2</v>
      </c>
    </row>
    <row r="1263" spans="1:14" x14ac:dyDescent="0.25">
      <c r="A1263" s="23">
        <v>44360</v>
      </c>
      <c r="B1263">
        <v>27</v>
      </c>
      <c r="C1263" t="s">
        <v>2</v>
      </c>
      <c r="D1263">
        <v>0.154</v>
      </c>
      <c r="E1263">
        <v>4.1580000000000004</v>
      </c>
      <c r="F1263" t="s">
        <v>15</v>
      </c>
      <c r="G1263">
        <v>0.15</v>
      </c>
      <c r="H1263">
        <v>0.62370000000000003</v>
      </c>
      <c r="I1263" t="s">
        <v>8</v>
      </c>
      <c r="J1263">
        <v>0.30499999999999999</v>
      </c>
      <c r="K1263">
        <v>0.19022849999999999</v>
      </c>
      <c r="L1263" t="s">
        <v>35</v>
      </c>
      <c r="M1263">
        <v>0.29100000000000004</v>
      </c>
      <c r="N1263">
        <v>0.18149670000000004</v>
      </c>
    </row>
    <row r="1264" spans="1:14" x14ac:dyDescent="0.25">
      <c r="A1264" s="23">
        <v>44361</v>
      </c>
      <c r="B1264">
        <v>27</v>
      </c>
      <c r="C1264" t="s">
        <v>2</v>
      </c>
      <c r="D1264">
        <v>0.154</v>
      </c>
      <c r="E1264">
        <v>4.1580000000000004</v>
      </c>
      <c r="F1264" t="s">
        <v>15</v>
      </c>
      <c r="G1264">
        <v>0.15</v>
      </c>
      <c r="H1264">
        <v>0.62370000000000003</v>
      </c>
      <c r="I1264" t="s">
        <v>10</v>
      </c>
      <c r="J1264">
        <v>8.5999999999999993E-2</v>
      </c>
      <c r="K1264">
        <v>5.3638199999999997E-2</v>
      </c>
      <c r="L1264" t="s">
        <v>36</v>
      </c>
      <c r="M1264">
        <v>0.25800000000000001</v>
      </c>
      <c r="N1264">
        <v>0.16091460000000002</v>
      </c>
    </row>
    <row r="1265" spans="1:14" x14ac:dyDescent="0.25">
      <c r="A1265" s="23">
        <v>44362</v>
      </c>
      <c r="B1265">
        <v>27</v>
      </c>
      <c r="C1265" t="s">
        <v>2</v>
      </c>
      <c r="D1265">
        <v>0.154</v>
      </c>
      <c r="E1265">
        <v>4.1580000000000004</v>
      </c>
      <c r="F1265" t="s">
        <v>15</v>
      </c>
      <c r="G1265">
        <v>0.15</v>
      </c>
      <c r="H1265">
        <v>0.62370000000000003</v>
      </c>
      <c r="I1265" t="s">
        <v>9</v>
      </c>
      <c r="J1265">
        <v>0.48700000000000004</v>
      </c>
      <c r="K1265">
        <v>0.30374190000000006</v>
      </c>
      <c r="L1265" t="s">
        <v>37</v>
      </c>
      <c r="M1265">
        <v>0.27500000000000002</v>
      </c>
      <c r="N1265">
        <v>0.17151750000000002</v>
      </c>
    </row>
    <row r="1266" spans="1:14" x14ac:dyDescent="0.25">
      <c r="A1266" s="23">
        <v>44363</v>
      </c>
      <c r="B1266">
        <v>27</v>
      </c>
      <c r="C1266" t="s">
        <v>2</v>
      </c>
      <c r="D1266">
        <v>0.154</v>
      </c>
      <c r="E1266">
        <v>4.1580000000000004</v>
      </c>
      <c r="F1266" t="s">
        <v>15</v>
      </c>
      <c r="G1266">
        <v>0.15</v>
      </c>
      <c r="H1266">
        <v>0.62370000000000003</v>
      </c>
      <c r="I1266" t="s">
        <v>55</v>
      </c>
      <c r="J1266">
        <v>0</v>
      </c>
      <c r="K1266">
        <v>0</v>
      </c>
      <c r="L1266" t="s">
        <v>38</v>
      </c>
      <c r="M1266">
        <v>0</v>
      </c>
      <c r="N1266">
        <v>0</v>
      </c>
    </row>
    <row r="1267" spans="1:14" x14ac:dyDescent="0.25">
      <c r="A1267" s="23">
        <v>44364</v>
      </c>
      <c r="B1267">
        <v>27</v>
      </c>
      <c r="C1267" t="s">
        <v>2</v>
      </c>
      <c r="D1267">
        <v>0.154</v>
      </c>
      <c r="E1267">
        <v>4.1580000000000004</v>
      </c>
      <c r="F1267" t="s">
        <v>15</v>
      </c>
      <c r="G1267">
        <v>0.15</v>
      </c>
      <c r="H1267">
        <v>0.62370000000000003</v>
      </c>
      <c r="J1267" t="s">
        <v>56</v>
      </c>
      <c r="L1267" t="s">
        <v>39</v>
      </c>
      <c r="M1267">
        <v>0</v>
      </c>
      <c r="N1267">
        <v>0</v>
      </c>
    </row>
    <row r="1268" spans="1:14" x14ac:dyDescent="0.25">
      <c r="A1268" s="23">
        <v>44365</v>
      </c>
      <c r="B1268">
        <v>27</v>
      </c>
      <c r="C1268" t="s">
        <v>2</v>
      </c>
      <c r="D1268">
        <v>0.154</v>
      </c>
      <c r="E1268">
        <v>4.1580000000000004</v>
      </c>
      <c r="F1268" t="s">
        <v>45</v>
      </c>
      <c r="G1268">
        <v>0.17800000000000002</v>
      </c>
      <c r="H1268">
        <v>0.74012400000000012</v>
      </c>
      <c r="I1268" t="s">
        <v>11</v>
      </c>
      <c r="J1268">
        <v>7.6999999999999999E-2</v>
      </c>
      <c r="K1268">
        <v>5.6989548000000008E-2</v>
      </c>
      <c r="L1268" t="s">
        <v>32</v>
      </c>
      <c r="M1268">
        <v>2.7000000000000003E-2</v>
      </c>
      <c r="N1268">
        <v>1.9983348000000005E-2</v>
      </c>
    </row>
    <row r="1269" spans="1:14" x14ac:dyDescent="0.25">
      <c r="A1269" s="23">
        <v>44366</v>
      </c>
      <c r="B1269">
        <v>27</v>
      </c>
      <c r="C1269" t="s">
        <v>2</v>
      </c>
      <c r="D1269">
        <v>0.154</v>
      </c>
      <c r="E1269">
        <v>4.1580000000000004</v>
      </c>
      <c r="F1269" t="s">
        <v>16</v>
      </c>
      <c r="G1269">
        <v>0.17800000000000002</v>
      </c>
      <c r="H1269">
        <v>0.74012400000000012</v>
      </c>
      <c r="I1269" t="s">
        <v>12</v>
      </c>
      <c r="J1269">
        <v>2.6000000000000002E-2</v>
      </c>
      <c r="K1269">
        <v>1.9243224000000003E-2</v>
      </c>
      <c r="L1269" t="s">
        <v>33</v>
      </c>
      <c r="M1269">
        <v>0.10300000000000001</v>
      </c>
      <c r="N1269">
        <v>7.6232772000000018E-2</v>
      </c>
    </row>
    <row r="1270" spans="1:14" x14ac:dyDescent="0.25">
      <c r="A1270" s="23">
        <v>44367</v>
      </c>
      <c r="B1270">
        <v>27</v>
      </c>
      <c r="C1270" t="s">
        <v>2</v>
      </c>
      <c r="D1270">
        <v>0.154</v>
      </c>
      <c r="E1270">
        <v>4.1580000000000004</v>
      </c>
      <c r="F1270" t="s">
        <v>16</v>
      </c>
      <c r="G1270">
        <v>0.17800000000000002</v>
      </c>
      <c r="H1270">
        <v>0.74012400000000012</v>
      </c>
      <c r="I1270" t="s">
        <v>7</v>
      </c>
      <c r="J1270">
        <v>5.4000000000000006E-2</v>
      </c>
      <c r="K1270">
        <v>3.996669600000001E-2</v>
      </c>
      <c r="L1270" t="s">
        <v>34</v>
      </c>
      <c r="M1270">
        <v>0.183</v>
      </c>
      <c r="N1270">
        <v>0.13544269200000003</v>
      </c>
    </row>
    <row r="1271" spans="1:14" x14ac:dyDescent="0.25">
      <c r="A1271" s="23">
        <v>44368</v>
      </c>
      <c r="B1271">
        <v>27</v>
      </c>
      <c r="C1271" t="s">
        <v>2</v>
      </c>
      <c r="D1271">
        <v>0.154</v>
      </c>
      <c r="E1271">
        <v>4.1580000000000004</v>
      </c>
      <c r="F1271" t="s">
        <v>16</v>
      </c>
      <c r="G1271">
        <v>0.17800000000000002</v>
      </c>
      <c r="H1271">
        <v>0.74012400000000012</v>
      </c>
      <c r="I1271" t="s">
        <v>8</v>
      </c>
      <c r="J1271">
        <v>0.23</v>
      </c>
      <c r="K1271">
        <v>0.17022852000000002</v>
      </c>
      <c r="L1271" t="s">
        <v>35</v>
      </c>
      <c r="M1271">
        <v>0.25900000000000001</v>
      </c>
      <c r="N1271">
        <v>0.19169211600000002</v>
      </c>
    </row>
    <row r="1272" spans="1:14" x14ac:dyDescent="0.25">
      <c r="A1272" s="23">
        <v>44369</v>
      </c>
      <c r="B1272">
        <v>27</v>
      </c>
      <c r="C1272" t="s">
        <v>2</v>
      </c>
      <c r="D1272">
        <v>0.154</v>
      </c>
      <c r="E1272">
        <v>4.1580000000000004</v>
      </c>
      <c r="F1272" t="s">
        <v>16</v>
      </c>
      <c r="G1272">
        <v>0.17800000000000002</v>
      </c>
      <c r="H1272">
        <v>0.74012400000000012</v>
      </c>
      <c r="I1272" t="s">
        <v>10</v>
      </c>
      <c r="J1272">
        <v>7.0999999999999994E-2</v>
      </c>
      <c r="K1272">
        <v>5.2548804000000005E-2</v>
      </c>
      <c r="L1272" t="s">
        <v>36</v>
      </c>
      <c r="M1272">
        <v>0.223</v>
      </c>
      <c r="N1272">
        <v>0.16504765200000002</v>
      </c>
    </row>
    <row r="1273" spans="1:14" x14ac:dyDescent="0.25">
      <c r="A1273" s="23">
        <v>44370</v>
      </c>
      <c r="B1273">
        <v>27</v>
      </c>
      <c r="C1273" t="s">
        <v>2</v>
      </c>
      <c r="D1273">
        <v>0.154</v>
      </c>
      <c r="E1273">
        <v>4.1580000000000004</v>
      </c>
      <c r="F1273" t="s">
        <v>16</v>
      </c>
      <c r="G1273">
        <v>0.17800000000000002</v>
      </c>
      <c r="H1273">
        <v>0.74012400000000012</v>
      </c>
      <c r="I1273" t="s">
        <v>9</v>
      </c>
      <c r="J1273">
        <v>0.53100000000000003</v>
      </c>
      <c r="K1273">
        <v>0.3930058440000001</v>
      </c>
      <c r="L1273" t="s">
        <v>37</v>
      </c>
      <c r="M1273">
        <v>0.182</v>
      </c>
      <c r="N1273">
        <v>0.13470256800000002</v>
      </c>
    </row>
    <row r="1274" spans="1:14" x14ac:dyDescent="0.25">
      <c r="A1274" s="23">
        <v>44371</v>
      </c>
      <c r="B1274">
        <v>27</v>
      </c>
      <c r="C1274" t="s">
        <v>2</v>
      </c>
      <c r="D1274">
        <v>0.154</v>
      </c>
      <c r="E1274">
        <v>4.1580000000000004</v>
      </c>
      <c r="F1274" t="s">
        <v>16</v>
      </c>
      <c r="G1274">
        <v>0.17800000000000002</v>
      </c>
      <c r="H1274">
        <v>0.74012400000000012</v>
      </c>
      <c r="I1274" t="s">
        <v>55</v>
      </c>
      <c r="J1274">
        <v>0.01</v>
      </c>
      <c r="K1274">
        <v>7.4012400000000016E-3</v>
      </c>
      <c r="L1274" t="s">
        <v>38</v>
      </c>
      <c r="M1274">
        <v>1.3000000000000001E-2</v>
      </c>
      <c r="N1274">
        <v>9.6216120000000016E-3</v>
      </c>
    </row>
    <row r="1275" spans="1:14" x14ac:dyDescent="0.25">
      <c r="A1275" s="23">
        <v>44372</v>
      </c>
      <c r="B1275">
        <v>27</v>
      </c>
      <c r="C1275" t="s">
        <v>2</v>
      </c>
      <c r="D1275">
        <v>0.154</v>
      </c>
      <c r="E1275">
        <v>4.1580000000000004</v>
      </c>
      <c r="F1275" t="s">
        <v>16</v>
      </c>
      <c r="G1275">
        <v>0.17800000000000002</v>
      </c>
      <c r="H1275">
        <v>0.74012400000000012</v>
      </c>
      <c r="L1275" t="s">
        <v>39</v>
      </c>
      <c r="M1275">
        <v>9.0000000000000011E-3</v>
      </c>
      <c r="N1275">
        <v>6.6611160000000016E-3</v>
      </c>
    </row>
    <row r="1276" spans="1:14" x14ac:dyDescent="0.25">
      <c r="A1276" s="23">
        <v>44373</v>
      </c>
      <c r="B1276">
        <v>27</v>
      </c>
      <c r="C1276" t="s">
        <v>2</v>
      </c>
      <c r="D1276">
        <v>0.154</v>
      </c>
      <c r="E1276">
        <v>4.1580000000000004</v>
      </c>
      <c r="F1276" t="s">
        <v>46</v>
      </c>
      <c r="G1276">
        <v>0.16899999999999998</v>
      </c>
      <c r="H1276">
        <v>0.70270199999999994</v>
      </c>
      <c r="I1276" t="s">
        <v>11</v>
      </c>
      <c r="J1276">
        <v>0.27</v>
      </c>
      <c r="K1276">
        <v>0.18972954</v>
      </c>
      <c r="L1276" t="s">
        <v>32</v>
      </c>
      <c r="M1276">
        <v>2.6000000000000002E-2</v>
      </c>
      <c r="N1276">
        <v>1.8270252000000001E-2</v>
      </c>
    </row>
    <row r="1277" spans="1:14" x14ac:dyDescent="0.25">
      <c r="A1277" s="23">
        <v>44374</v>
      </c>
      <c r="B1277">
        <v>27</v>
      </c>
      <c r="C1277" t="s">
        <v>2</v>
      </c>
      <c r="D1277">
        <v>0.154</v>
      </c>
      <c r="E1277">
        <v>4.1580000000000004</v>
      </c>
      <c r="F1277" t="s">
        <v>13</v>
      </c>
      <c r="G1277">
        <v>0.16899999999999998</v>
      </c>
      <c r="H1277">
        <v>0.70270199999999994</v>
      </c>
      <c r="I1277" t="s">
        <v>12</v>
      </c>
      <c r="J1277">
        <v>6.0999999999999999E-2</v>
      </c>
      <c r="K1277">
        <v>4.2864821999999997E-2</v>
      </c>
      <c r="L1277" t="s">
        <v>33</v>
      </c>
      <c r="M1277">
        <v>6.3E-2</v>
      </c>
      <c r="N1277">
        <v>4.4270225999999996E-2</v>
      </c>
    </row>
    <row r="1278" spans="1:14" x14ac:dyDescent="0.25">
      <c r="A1278" s="23">
        <v>44375</v>
      </c>
      <c r="B1278">
        <v>27</v>
      </c>
      <c r="C1278" t="s">
        <v>2</v>
      </c>
      <c r="D1278">
        <v>0.154</v>
      </c>
      <c r="E1278">
        <v>4.1580000000000004</v>
      </c>
      <c r="F1278" t="s">
        <v>13</v>
      </c>
      <c r="G1278">
        <v>0.16899999999999998</v>
      </c>
      <c r="H1278">
        <v>0.70270199999999994</v>
      </c>
      <c r="I1278" t="s">
        <v>7</v>
      </c>
      <c r="J1278">
        <v>8.1000000000000003E-2</v>
      </c>
      <c r="K1278">
        <v>5.6918861999999994E-2</v>
      </c>
      <c r="L1278" t="s">
        <v>34</v>
      </c>
      <c r="M1278">
        <v>0.11900000000000001</v>
      </c>
      <c r="N1278">
        <v>8.3621537999999995E-2</v>
      </c>
    </row>
    <row r="1279" spans="1:14" x14ac:dyDescent="0.25">
      <c r="A1279" s="23">
        <v>44376</v>
      </c>
      <c r="B1279">
        <v>27</v>
      </c>
      <c r="C1279" t="s">
        <v>2</v>
      </c>
      <c r="D1279">
        <v>0.154</v>
      </c>
      <c r="E1279">
        <v>4.1580000000000004</v>
      </c>
      <c r="F1279" t="s">
        <v>13</v>
      </c>
      <c r="G1279">
        <v>0.16899999999999998</v>
      </c>
      <c r="H1279">
        <v>0.70270199999999994</v>
      </c>
      <c r="I1279" t="s">
        <v>8</v>
      </c>
      <c r="J1279">
        <v>0.30399999999999999</v>
      </c>
      <c r="K1279">
        <v>0.21362140799999998</v>
      </c>
      <c r="L1279" t="s">
        <v>35</v>
      </c>
      <c r="M1279">
        <v>0.27800000000000002</v>
      </c>
      <c r="N1279">
        <v>0.195351156</v>
      </c>
    </row>
    <row r="1280" spans="1:14" x14ac:dyDescent="0.25">
      <c r="A1280" s="23">
        <v>44377</v>
      </c>
      <c r="B1280">
        <v>27</v>
      </c>
      <c r="C1280" t="s">
        <v>2</v>
      </c>
      <c r="D1280">
        <v>0.154</v>
      </c>
      <c r="E1280">
        <v>4.1580000000000004</v>
      </c>
      <c r="F1280" t="s">
        <v>13</v>
      </c>
      <c r="G1280">
        <v>0.16899999999999998</v>
      </c>
      <c r="H1280">
        <v>0.70270199999999994</v>
      </c>
      <c r="I1280" t="s">
        <v>10</v>
      </c>
      <c r="J1280">
        <v>7.0999999999999994E-2</v>
      </c>
      <c r="K1280">
        <v>4.9891841999999992E-2</v>
      </c>
      <c r="L1280" t="s">
        <v>36</v>
      </c>
      <c r="M1280">
        <v>0.29899999999999999</v>
      </c>
      <c r="N1280" t="e">
        <v>#REF!</v>
      </c>
    </row>
    <row r="1281" spans="1:14" x14ac:dyDescent="0.25">
      <c r="A1281" s="23">
        <v>44378</v>
      </c>
      <c r="B1281">
        <v>27</v>
      </c>
      <c r="C1281" t="s">
        <v>2</v>
      </c>
      <c r="D1281">
        <v>0.154</v>
      </c>
      <c r="E1281">
        <v>4.1580000000000004</v>
      </c>
      <c r="F1281" t="s">
        <v>13</v>
      </c>
      <c r="G1281">
        <v>0.16899999999999998</v>
      </c>
      <c r="H1281">
        <v>0.70270199999999994</v>
      </c>
      <c r="I1281" t="s">
        <v>9</v>
      </c>
      <c r="J1281">
        <v>0.20600000000000002</v>
      </c>
      <c r="K1281">
        <v>0.14475661200000001</v>
      </c>
      <c r="L1281" t="s">
        <v>37</v>
      </c>
      <c r="M1281">
        <v>0.185</v>
      </c>
      <c r="N1281">
        <v>0.21010789799999996</v>
      </c>
    </row>
    <row r="1282" spans="1:14" x14ac:dyDescent="0.25">
      <c r="A1282" s="23">
        <v>44379</v>
      </c>
      <c r="B1282">
        <v>27</v>
      </c>
      <c r="C1282" t="s">
        <v>2</v>
      </c>
      <c r="D1282">
        <v>0.154</v>
      </c>
      <c r="E1282">
        <v>4.1580000000000004</v>
      </c>
      <c r="F1282" t="s">
        <v>13</v>
      </c>
      <c r="G1282">
        <v>0.16899999999999998</v>
      </c>
      <c r="H1282">
        <v>0.70270199999999994</v>
      </c>
      <c r="I1282" t="s">
        <v>55</v>
      </c>
      <c r="J1282">
        <v>8.0000000000000002E-3</v>
      </c>
      <c r="L1282" t="s">
        <v>38</v>
      </c>
      <c r="M1282">
        <v>1.8000000000000002E-2</v>
      </c>
      <c r="N1282">
        <v>0.12999986999999999</v>
      </c>
    </row>
    <row r="1283" spans="1:14" x14ac:dyDescent="0.25">
      <c r="A1283" s="23">
        <v>44380</v>
      </c>
      <c r="B1283">
        <v>27</v>
      </c>
      <c r="C1283" t="s">
        <v>2</v>
      </c>
      <c r="D1283">
        <v>0.154</v>
      </c>
      <c r="E1283">
        <v>4.1580000000000004</v>
      </c>
      <c r="F1283" t="s">
        <v>13</v>
      </c>
      <c r="G1283">
        <v>0.16899999999999998</v>
      </c>
      <c r="H1283">
        <v>0.70270199999999994</v>
      </c>
      <c r="L1283" t="s">
        <v>39</v>
      </c>
      <c r="M1283">
        <v>9.0000000000000011E-3</v>
      </c>
      <c r="N1283">
        <v>1.2648636E-2</v>
      </c>
    </row>
    <row r="1284" spans="1:14" x14ac:dyDescent="0.25">
      <c r="A1284" s="23">
        <v>44381</v>
      </c>
      <c r="B1284">
        <v>27</v>
      </c>
      <c r="C1284" t="s">
        <v>2</v>
      </c>
      <c r="D1284">
        <v>0.154</v>
      </c>
      <c r="E1284">
        <v>4.1580000000000004</v>
      </c>
      <c r="F1284" t="s">
        <v>47</v>
      </c>
      <c r="G1284">
        <v>0.10099999999999999</v>
      </c>
      <c r="H1284">
        <v>0.419958</v>
      </c>
      <c r="I1284" t="s">
        <v>11</v>
      </c>
      <c r="J1284">
        <v>9.5000000000000001E-2</v>
      </c>
      <c r="K1284">
        <v>3.9896010000000003E-2</v>
      </c>
      <c r="L1284" t="s">
        <v>32</v>
      </c>
      <c r="M1284">
        <v>0</v>
      </c>
      <c r="N1284">
        <v>0</v>
      </c>
    </row>
    <row r="1285" spans="1:14" x14ac:dyDescent="0.25">
      <c r="A1285" s="23">
        <v>44382</v>
      </c>
      <c r="B1285">
        <v>27</v>
      </c>
      <c r="C1285" t="s">
        <v>2</v>
      </c>
      <c r="D1285">
        <v>0.154</v>
      </c>
      <c r="E1285">
        <v>4.1580000000000004</v>
      </c>
      <c r="F1285" t="s">
        <v>17</v>
      </c>
      <c r="G1285">
        <v>0.10099999999999999</v>
      </c>
      <c r="H1285">
        <v>0.419958</v>
      </c>
      <c r="I1285" t="s">
        <v>12</v>
      </c>
      <c r="J1285">
        <v>0</v>
      </c>
      <c r="K1285">
        <v>0</v>
      </c>
      <c r="L1285" t="s">
        <v>33</v>
      </c>
      <c r="M1285">
        <v>0.114</v>
      </c>
      <c r="N1285">
        <v>4.7875212E-2</v>
      </c>
    </row>
    <row r="1286" spans="1:14" x14ac:dyDescent="0.25">
      <c r="A1286" s="23">
        <v>44383</v>
      </c>
      <c r="B1286">
        <v>27</v>
      </c>
      <c r="C1286" t="s">
        <v>2</v>
      </c>
      <c r="D1286">
        <v>0.154</v>
      </c>
      <c r="E1286">
        <v>4.1580000000000004</v>
      </c>
      <c r="F1286" t="s">
        <v>17</v>
      </c>
      <c r="G1286">
        <v>0.10099999999999999</v>
      </c>
      <c r="H1286">
        <v>0.419958</v>
      </c>
      <c r="I1286" t="s">
        <v>7</v>
      </c>
      <c r="J1286">
        <v>0</v>
      </c>
      <c r="K1286">
        <v>0</v>
      </c>
      <c r="L1286" t="s">
        <v>34</v>
      </c>
      <c r="M1286">
        <v>0.25900000000000001</v>
      </c>
      <c r="N1286">
        <v>0.10876912200000001</v>
      </c>
    </row>
    <row r="1287" spans="1:14" x14ac:dyDescent="0.25">
      <c r="A1287" s="23">
        <v>44384</v>
      </c>
      <c r="B1287">
        <v>27</v>
      </c>
      <c r="C1287" t="s">
        <v>2</v>
      </c>
      <c r="D1287">
        <v>0.154</v>
      </c>
      <c r="E1287">
        <v>4.1580000000000004</v>
      </c>
      <c r="F1287" t="s">
        <v>17</v>
      </c>
      <c r="G1287">
        <v>0.10099999999999999</v>
      </c>
      <c r="H1287">
        <v>0.419958</v>
      </c>
      <c r="I1287" t="s">
        <v>8</v>
      </c>
      <c r="J1287">
        <v>0.40700000000000003</v>
      </c>
      <c r="K1287">
        <v>0.17092290600000001</v>
      </c>
      <c r="L1287" t="s">
        <v>35</v>
      </c>
      <c r="M1287">
        <v>0.38799999999999996</v>
      </c>
      <c r="N1287">
        <v>0.16294370399999997</v>
      </c>
    </row>
    <row r="1288" spans="1:14" x14ac:dyDescent="0.25">
      <c r="A1288" s="23">
        <v>44385</v>
      </c>
      <c r="B1288">
        <v>27</v>
      </c>
      <c r="C1288" t="s">
        <v>2</v>
      </c>
      <c r="D1288">
        <v>0.154</v>
      </c>
      <c r="E1288">
        <v>4.1580000000000004</v>
      </c>
      <c r="F1288" t="s">
        <v>17</v>
      </c>
      <c r="G1288">
        <v>0.10099999999999999</v>
      </c>
      <c r="H1288">
        <v>0.419958</v>
      </c>
      <c r="I1288" t="s">
        <v>10</v>
      </c>
      <c r="J1288">
        <v>7.9000000000000001E-2</v>
      </c>
      <c r="K1288">
        <v>3.3176681999999999E-2</v>
      </c>
      <c r="L1288" t="s">
        <v>36</v>
      </c>
      <c r="M1288">
        <v>9.5000000000000001E-2</v>
      </c>
      <c r="N1288">
        <v>3.9896010000000003E-2</v>
      </c>
    </row>
    <row r="1289" spans="1:14" x14ac:dyDescent="0.25">
      <c r="A1289" s="23">
        <v>44386</v>
      </c>
      <c r="B1289">
        <v>27</v>
      </c>
      <c r="C1289" t="s">
        <v>2</v>
      </c>
      <c r="D1289">
        <v>0.154</v>
      </c>
      <c r="E1289">
        <v>4.1580000000000004</v>
      </c>
      <c r="F1289" t="s">
        <v>17</v>
      </c>
      <c r="G1289">
        <v>0.10099999999999999</v>
      </c>
      <c r="H1289">
        <v>0.419958</v>
      </c>
      <c r="I1289" t="s">
        <v>9</v>
      </c>
      <c r="J1289">
        <v>0.41899999999999998</v>
      </c>
      <c r="K1289">
        <v>0.17596240199999999</v>
      </c>
      <c r="L1289" t="s">
        <v>37</v>
      </c>
      <c r="M1289">
        <v>0.14400000000000002</v>
      </c>
      <c r="N1289">
        <v>6.0473952000000004E-2</v>
      </c>
    </row>
    <row r="1290" spans="1:14" x14ac:dyDescent="0.25">
      <c r="A1290" s="23">
        <v>44387</v>
      </c>
      <c r="B1290">
        <v>27</v>
      </c>
      <c r="C1290" t="s">
        <v>2</v>
      </c>
      <c r="D1290">
        <v>0.154</v>
      </c>
      <c r="E1290">
        <v>4.1580000000000004</v>
      </c>
      <c r="F1290" t="s">
        <v>17</v>
      </c>
      <c r="G1290">
        <v>0.10099999999999999</v>
      </c>
      <c r="H1290">
        <v>0.419958</v>
      </c>
      <c r="I1290" t="s">
        <v>55</v>
      </c>
      <c r="J1290">
        <v>0</v>
      </c>
      <c r="L1290" t="s">
        <v>38</v>
      </c>
      <c r="M1290">
        <v>0</v>
      </c>
      <c r="N1290">
        <v>0</v>
      </c>
    </row>
    <row r="1291" spans="1:14" x14ac:dyDescent="0.25">
      <c r="A1291" s="23">
        <v>44388</v>
      </c>
      <c r="B1291">
        <v>27</v>
      </c>
      <c r="C1291" t="s">
        <v>2</v>
      </c>
      <c r="D1291">
        <v>0.154</v>
      </c>
      <c r="E1291">
        <v>4.1580000000000004</v>
      </c>
      <c r="F1291" t="s">
        <v>17</v>
      </c>
      <c r="G1291">
        <v>0.10099999999999999</v>
      </c>
      <c r="H1291">
        <v>0.419958</v>
      </c>
      <c r="L1291" t="s">
        <v>39</v>
      </c>
      <c r="M1291">
        <v>0</v>
      </c>
      <c r="N1291">
        <v>0</v>
      </c>
    </row>
    <row r="1292" spans="1:14" x14ac:dyDescent="0.25">
      <c r="A1292" s="23">
        <v>44389</v>
      </c>
      <c r="B1292">
        <v>27</v>
      </c>
      <c r="C1292" t="s">
        <v>2</v>
      </c>
      <c r="D1292">
        <v>0.154</v>
      </c>
      <c r="E1292">
        <v>4.1580000000000004</v>
      </c>
      <c r="F1292" t="s">
        <v>18</v>
      </c>
      <c r="G1292">
        <v>8.900000000000001E-2</v>
      </c>
      <c r="H1292">
        <v>0.37006200000000006</v>
      </c>
      <c r="I1292" t="s">
        <v>11</v>
      </c>
      <c r="J1292">
        <v>0.36</v>
      </c>
      <c r="K1292">
        <v>0.13322232000000001</v>
      </c>
      <c r="L1292" t="s">
        <v>32</v>
      </c>
      <c r="M1292">
        <v>2.8999999999999998E-2</v>
      </c>
      <c r="N1292">
        <v>1.0731798000000001E-2</v>
      </c>
    </row>
    <row r="1293" spans="1:14" x14ac:dyDescent="0.25">
      <c r="A1293" s="23">
        <v>44390</v>
      </c>
      <c r="B1293">
        <v>27</v>
      </c>
      <c r="C1293" t="s">
        <v>2</v>
      </c>
      <c r="D1293">
        <v>0.154</v>
      </c>
      <c r="E1293">
        <v>4.1580000000000004</v>
      </c>
      <c r="F1293" t="s">
        <v>18</v>
      </c>
      <c r="G1293">
        <v>8.900000000000001E-2</v>
      </c>
      <c r="H1293">
        <v>0.37006200000000006</v>
      </c>
      <c r="I1293" t="s">
        <v>12</v>
      </c>
      <c r="J1293">
        <v>0.04</v>
      </c>
      <c r="K1293">
        <v>1.4802480000000003E-2</v>
      </c>
      <c r="L1293" t="s">
        <v>33</v>
      </c>
      <c r="M1293">
        <v>0.106</v>
      </c>
      <c r="N1293">
        <v>3.9226572000000008E-2</v>
      </c>
    </row>
    <row r="1294" spans="1:14" x14ac:dyDescent="0.25">
      <c r="A1294" s="23">
        <v>44391</v>
      </c>
      <c r="B1294">
        <v>27</v>
      </c>
      <c r="C1294" t="s">
        <v>2</v>
      </c>
      <c r="D1294">
        <v>0.154</v>
      </c>
      <c r="E1294">
        <v>4.1580000000000004</v>
      </c>
      <c r="F1294" t="s">
        <v>18</v>
      </c>
      <c r="G1294">
        <v>8.900000000000001E-2</v>
      </c>
      <c r="H1294">
        <v>0.37006200000000006</v>
      </c>
      <c r="I1294" t="s">
        <v>7</v>
      </c>
      <c r="J1294">
        <v>6.2E-2</v>
      </c>
      <c r="K1294">
        <v>2.2943844000000005E-2</v>
      </c>
      <c r="L1294" t="s">
        <v>34</v>
      </c>
      <c r="M1294">
        <v>0.105</v>
      </c>
      <c r="N1294">
        <v>3.8856510000000004E-2</v>
      </c>
    </row>
    <row r="1295" spans="1:14" x14ac:dyDescent="0.25">
      <c r="A1295" s="23">
        <v>44392</v>
      </c>
      <c r="B1295">
        <v>27</v>
      </c>
      <c r="C1295" t="s">
        <v>2</v>
      </c>
      <c r="D1295">
        <v>0.154</v>
      </c>
      <c r="E1295">
        <v>4.1580000000000004</v>
      </c>
      <c r="F1295" t="s">
        <v>18</v>
      </c>
      <c r="G1295">
        <v>8.900000000000001E-2</v>
      </c>
      <c r="H1295">
        <v>0.37006200000000006</v>
      </c>
      <c r="I1295" t="s">
        <v>8</v>
      </c>
      <c r="J1295">
        <v>0.20300000000000001</v>
      </c>
      <c r="K1295">
        <v>7.401240000000001E-4</v>
      </c>
      <c r="L1295" t="s">
        <v>35</v>
      </c>
      <c r="M1295">
        <v>0.28800000000000003</v>
      </c>
      <c r="N1295">
        <v>0.10657785600000003</v>
      </c>
    </row>
    <row r="1296" spans="1:14" x14ac:dyDescent="0.25">
      <c r="A1296" s="23">
        <v>44393</v>
      </c>
      <c r="B1296">
        <v>27</v>
      </c>
      <c r="C1296" t="s">
        <v>2</v>
      </c>
      <c r="D1296">
        <v>0.154</v>
      </c>
      <c r="E1296">
        <v>4.1580000000000004</v>
      </c>
      <c r="F1296" t="s">
        <v>18</v>
      </c>
      <c r="G1296">
        <v>8.900000000000001E-2</v>
      </c>
      <c r="H1296">
        <v>0.37006200000000006</v>
      </c>
      <c r="I1296" t="s">
        <v>10</v>
      </c>
      <c r="J1296">
        <v>9.6000000000000002E-2</v>
      </c>
      <c r="K1296">
        <v>7.5122586000000019E-2</v>
      </c>
      <c r="L1296" t="s">
        <v>36</v>
      </c>
      <c r="M1296">
        <v>0.27500000000000002</v>
      </c>
      <c r="N1296">
        <v>0.10176705000000003</v>
      </c>
    </row>
    <row r="1297" spans="1:14" x14ac:dyDescent="0.25">
      <c r="A1297" s="23">
        <v>44394</v>
      </c>
      <c r="B1297">
        <v>27</v>
      </c>
      <c r="C1297" t="s">
        <v>2</v>
      </c>
      <c r="D1297">
        <v>0.154</v>
      </c>
      <c r="E1297">
        <v>4.1580000000000004</v>
      </c>
      <c r="F1297" t="s">
        <v>48</v>
      </c>
      <c r="G1297">
        <v>8.900000000000001E-2</v>
      </c>
      <c r="H1297">
        <v>0.37006200000000006</v>
      </c>
      <c r="I1297" t="s">
        <v>9</v>
      </c>
      <c r="J1297">
        <v>0.23699999999999999</v>
      </c>
      <c r="K1297">
        <v>8.7704694000000014E-2</v>
      </c>
      <c r="L1297" t="s">
        <v>37</v>
      </c>
      <c r="M1297">
        <v>0.16500000000000001</v>
      </c>
      <c r="N1297">
        <v>6.1060230000000014E-2</v>
      </c>
    </row>
    <row r="1298" spans="1:14" x14ac:dyDescent="0.25">
      <c r="A1298" s="23">
        <v>44395</v>
      </c>
      <c r="B1298">
        <v>27</v>
      </c>
      <c r="C1298" t="s">
        <v>2</v>
      </c>
      <c r="D1298">
        <v>0.154</v>
      </c>
      <c r="E1298">
        <v>4.1580000000000004</v>
      </c>
      <c r="F1298" t="s">
        <v>18</v>
      </c>
      <c r="G1298">
        <v>8.900000000000001E-2</v>
      </c>
      <c r="H1298">
        <v>0.37006200000000006</v>
      </c>
      <c r="I1298" t="s">
        <v>55</v>
      </c>
      <c r="J1298">
        <v>2E-3</v>
      </c>
      <c r="L1298" t="s">
        <v>38</v>
      </c>
      <c r="M1298">
        <v>0.02</v>
      </c>
      <c r="N1298">
        <v>7.4012400000000016E-3</v>
      </c>
    </row>
    <row r="1299" spans="1:14" x14ac:dyDescent="0.25">
      <c r="A1299" s="23">
        <v>44396</v>
      </c>
      <c r="B1299">
        <v>27</v>
      </c>
      <c r="C1299" t="s">
        <v>2</v>
      </c>
      <c r="D1299">
        <v>0.154</v>
      </c>
      <c r="E1299">
        <v>4.1580000000000004</v>
      </c>
      <c r="F1299" t="s">
        <v>18</v>
      </c>
      <c r="G1299">
        <v>8.900000000000001E-2</v>
      </c>
      <c r="H1299">
        <v>0.37006200000000006</v>
      </c>
      <c r="L1299" t="s">
        <v>39</v>
      </c>
      <c r="M1299">
        <v>1.2E-2</v>
      </c>
      <c r="N1299">
        <v>4.4407440000000008E-3</v>
      </c>
    </row>
    <row r="1300" spans="1:14" x14ac:dyDescent="0.25">
      <c r="A1300" s="23">
        <v>44397</v>
      </c>
      <c r="B1300">
        <v>27</v>
      </c>
      <c r="C1300" t="s">
        <v>19</v>
      </c>
      <c r="D1300">
        <v>0.84599999999999997</v>
      </c>
      <c r="E1300">
        <v>22.841999999999999</v>
      </c>
      <c r="F1300" t="s">
        <v>54</v>
      </c>
      <c r="G1300">
        <v>0.82</v>
      </c>
      <c r="H1300">
        <v>18.730439999999998</v>
      </c>
      <c r="I1300" t="s">
        <v>11</v>
      </c>
      <c r="J1300">
        <v>0.12300000000000001</v>
      </c>
      <c r="K1300">
        <v>2.3038441199999999</v>
      </c>
      <c r="L1300" t="s">
        <v>32</v>
      </c>
      <c r="M1300">
        <v>4.8000000000000001E-2</v>
      </c>
      <c r="N1300">
        <v>0.89906111999999994</v>
      </c>
    </row>
    <row r="1301" spans="1:14" x14ac:dyDescent="0.25">
      <c r="A1301" s="23">
        <v>44398</v>
      </c>
      <c r="B1301">
        <v>27</v>
      </c>
      <c r="C1301" t="s">
        <v>19</v>
      </c>
      <c r="D1301">
        <v>0.84599999999999997</v>
      </c>
      <c r="E1301">
        <v>22.841999999999999</v>
      </c>
      <c r="F1301" t="s">
        <v>14</v>
      </c>
      <c r="G1301">
        <v>0.82</v>
      </c>
      <c r="H1301">
        <v>18.730439999999998</v>
      </c>
      <c r="I1301" t="s">
        <v>12</v>
      </c>
      <c r="J1301">
        <v>0.105</v>
      </c>
      <c r="K1301">
        <v>1.9666961999999997</v>
      </c>
      <c r="L1301" t="s">
        <v>33</v>
      </c>
      <c r="M1301">
        <v>9.8000000000000004E-2</v>
      </c>
      <c r="N1301">
        <v>1.8355831199999999</v>
      </c>
    </row>
    <row r="1302" spans="1:14" x14ac:dyDescent="0.25">
      <c r="A1302" s="23">
        <v>44399</v>
      </c>
      <c r="B1302">
        <v>27</v>
      </c>
      <c r="C1302" t="s">
        <v>19</v>
      </c>
      <c r="D1302">
        <v>0.84599999999999997</v>
      </c>
      <c r="E1302">
        <v>22.841999999999999</v>
      </c>
      <c r="F1302" t="s">
        <v>14</v>
      </c>
      <c r="G1302">
        <v>0.82</v>
      </c>
      <c r="H1302">
        <v>18.730439999999998</v>
      </c>
      <c r="I1302" t="s">
        <v>7</v>
      </c>
      <c r="J1302">
        <v>0.121</v>
      </c>
      <c r="K1302">
        <v>2.2663832399999997</v>
      </c>
      <c r="L1302" t="s">
        <v>34</v>
      </c>
      <c r="M1302">
        <v>0.15</v>
      </c>
      <c r="N1302">
        <v>2.8095659999999998</v>
      </c>
    </row>
    <row r="1303" spans="1:14" x14ac:dyDescent="0.25">
      <c r="A1303" s="23">
        <v>44400</v>
      </c>
      <c r="B1303">
        <v>27</v>
      </c>
      <c r="C1303" t="s">
        <v>19</v>
      </c>
      <c r="D1303">
        <v>0.84599999999999997</v>
      </c>
      <c r="E1303">
        <v>22.841999999999999</v>
      </c>
      <c r="F1303" t="s">
        <v>14</v>
      </c>
      <c r="G1303">
        <v>0.82</v>
      </c>
      <c r="H1303">
        <v>18.730439999999998</v>
      </c>
      <c r="I1303" t="s">
        <v>8</v>
      </c>
      <c r="J1303">
        <v>0.36</v>
      </c>
      <c r="K1303">
        <v>6.7429583999999991</v>
      </c>
      <c r="L1303" t="s">
        <v>35</v>
      </c>
      <c r="M1303">
        <v>0.27399999999999997</v>
      </c>
      <c r="N1303">
        <v>5.132140559999999</v>
      </c>
    </row>
    <row r="1304" spans="1:14" x14ac:dyDescent="0.25">
      <c r="A1304" s="23">
        <v>44401</v>
      </c>
      <c r="B1304">
        <v>27</v>
      </c>
      <c r="C1304" t="s">
        <v>19</v>
      </c>
      <c r="D1304">
        <v>0.84599999999999997</v>
      </c>
      <c r="E1304">
        <v>22.841999999999999</v>
      </c>
      <c r="F1304" t="s">
        <v>14</v>
      </c>
      <c r="G1304">
        <v>0.82</v>
      </c>
      <c r="H1304">
        <v>18.730439999999998</v>
      </c>
      <c r="I1304" t="s">
        <v>10</v>
      </c>
      <c r="J1304">
        <v>4.2000000000000003E-2</v>
      </c>
      <c r="K1304">
        <v>0.78667847999999996</v>
      </c>
      <c r="L1304" t="s">
        <v>36</v>
      </c>
      <c r="M1304">
        <v>0.222</v>
      </c>
      <c r="N1304">
        <v>4.1581576799999995</v>
      </c>
    </row>
    <row r="1305" spans="1:14" x14ac:dyDescent="0.25">
      <c r="A1305" s="23">
        <v>44402</v>
      </c>
      <c r="B1305">
        <v>27</v>
      </c>
      <c r="C1305" t="s">
        <v>19</v>
      </c>
      <c r="D1305">
        <v>0.84599999999999997</v>
      </c>
      <c r="E1305">
        <v>22.841999999999999</v>
      </c>
      <c r="F1305" t="s">
        <v>14</v>
      </c>
      <c r="G1305">
        <v>0.82</v>
      </c>
      <c r="H1305">
        <v>18.730439999999998</v>
      </c>
      <c r="I1305" t="s">
        <v>9</v>
      </c>
      <c r="J1305">
        <v>0.23199999999999998</v>
      </c>
      <c r="K1305">
        <v>0.33714791999999999</v>
      </c>
      <c r="L1305" t="s">
        <v>37</v>
      </c>
      <c r="M1305">
        <v>0.16200000000000001</v>
      </c>
      <c r="N1305">
        <v>3.03433128</v>
      </c>
    </row>
    <row r="1306" spans="1:14" x14ac:dyDescent="0.25">
      <c r="A1306" s="23">
        <v>44403</v>
      </c>
      <c r="B1306">
        <v>27</v>
      </c>
      <c r="C1306" t="s">
        <v>19</v>
      </c>
      <c r="D1306">
        <v>0.84599999999999997</v>
      </c>
      <c r="E1306">
        <v>22.841999999999999</v>
      </c>
      <c r="F1306" t="s">
        <v>14</v>
      </c>
      <c r="G1306">
        <v>0.82</v>
      </c>
      <c r="H1306">
        <v>18.730439999999998</v>
      </c>
      <c r="I1306" t="s">
        <v>55</v>
      </c>
      <c r="J1306">
        <v>1.8000000000000002E-2</v>
      </c>
      <c r="K1306">
        <v>0.33714791999999999</v>
      </c>
      <c r="L1306" t="s">
        <v>38</v>
      </c>
      <c r="M1306">
        <v>3.3000000000000002E-2</v>
      </c>
      <c r="N1306">
        <v>0.61810451999999994</v>
      </c>
    </row>
    <row r="1307" spans="1:14" x14ac:dyDescent="0.25">
      <c r="A1307" s="23">
        <v>44404</v>
      </c>
      <c r="B1307">
        <v>27</v>
      </c>
      <c r="C1307" t="s">
        <v>19</v>
      </c>
      <c r="D1307">
        <v>0.84599999999999997</v>
      </c>
      <c r="E1307">
        <v>22.841999999999999</v>
      </c>
      <c r="F1307" t="s">
        <v>14</v>
      </c>
      <c r="G1307">
        <v>0.82</v>
      </c>
      <c r="H1307">
        <v>18.730439999999998</v>
      </c>
      <c r="L1307" t="s">
        <v>39</v>
      </c>
      <c r="M1307">
        <v>1.3000000000000001E-2</v>
      </c>
      <c r="N1307">
        <v>0.24349572</v>
      </c>
    </row>
    <row r="1308" spans="1:14" x14ac:dyDescent="0.25">
      <c r="A1308" s="23">
        <v>44405</v>
      </c>
      <c r="B1308">
        <v>27</v>
      </c>
      <c r="C1308" t="s">
        <v>19</v>
      </c>
      <c r="D1308">
        <v>0.84599999999999997</v>
      </c>
      <c r="E1308">
        <v>22.841999999999999</v>
      </c>
      <c r="F1308" t="s">
        <v>52</v>
      </c>
      <c r="G1308">
        <v>0.85</v>
      </c>
      <c r="H1308">
        <v>19.415699999999998</v>
      </c>
      <c r="I1308" t="s">
        <v>11</v>
      </c>
      <c r="J1308">
        <v>7.2000000000000008E-2</v>
      </c>
      <c r="K1308">
        <v>1.3979303999999999</v>
      </c>
      <c r="L1308" t="s">
        <v>32</v>
      </c>
      <c r="M1308">
        <v>6.9999999999999993E-3</v>
      </c>
      <c r="N1308">
        <v>0.13590989999999997</v>
      </c>
    </row>
    <row r="1309" spans="1:14" x14ac:dyDescent="0.25">
      <c r="A1309" s="23">
        <v>44406</v>
      </c>
      <c r="B1309">
        <v>27</v>
      </c>
      <c r="C1309" t="s">
        <v>19</v>
      </c>
      <c r="D1309">
        <v>0.84599999999999997</v>
      </c>
      <c r="E1309">
        <v>22.841999999999999</v>
      </c>
      <c r="F1309" t="s">
        <v>15</v>
      </c>
      <c r="G1309">
        <v>0.85</v>
      </c>
      <c r="H1309">
        <v>19.415699999999998</v>
      </c>
      <c r="I1309" t="s">
        <v>12</v>
      </c>
      <c r="J1309">
        <v>8.5000000000000006E-2</v>
      </c>
      <c r="K1309">
        <v>1.6503344999999998</v>
      </c>
      <c r="L1309" t="s">
        <v>33</v>
      </c>
      <c r="M1309">
        <v>9.4E-2</v>
      </c>
      <c r="N1309">
        <v>1.8250757999999998</v>
      </c>
    </row>
    <row r="1310" spans="1:14" x14ac:dyDescent="0.25">
      <c r="A1310" s="23">
        <v>44407</v>
      </c>
      <c r="B1310">
        <v>27</v>
      </c>
      <c r="C1310" t="s">
        <v>19</v>
      </c>
      <c r="D1310">
        <v>0.84599999999999997</v>
      </c>
      <c r="E1310">
        <v>22.841999999999999</v>
      </c>
      <c r="F1310" t="s">
        <v>15</v>
      </c>
      <c r="G1310">
        <v>0.85</v>
      </c>
      <c r="H1310">
        <v>19.415699999999998</v>
      </c>
      <c r="I1310" t="s">
        <v>7</v>
      </c>
      <c r="J1310">
        <v>0.13699999999999998</v>
      </c>
      <c r="K1310">
        <v>2.6599508999999992</v>
      </c>
      <c r="L1310" t="s">
        <v>34</v>
      </c>
      <c r="M1310">
        <v>0.16800000000000001</v>
      </c>
      <c r="N1310">
        <v>3.2618375999999998</v>
      </c>
    </row>
    <row r="1311" spans="1:14" x14ac:dyDescent="0.25">
      <c r="A1311" s="23">
        <v>44408</v>
      </c>
      <c r="B1311">
        <v>27</v>
      </c>
      <c r="C1311" t="s">
        <v>19</v>
      </c>
      <c r="D1311">
        <v>0.84599999999999997</v>
      </c>
      <c r="E1311">
        <v>22.841999999999999</v>
      </c>
      <c r="F1311" t="s">
        <v>15</v>
      </c>
      <c r="G1311">
        <v>0.85</v>
      </c>
      <c r="H1311">
        <v>19.415699999999998</v>
      </c>
      <c r="I1311" t="s">
        <v>8</v>
      </c>
      <c r="J1311">
        <v>0.40500000000000003</v>
      </c>
      <c r="K1311">
        <v>7.8633584999999995</v>
      </c>
      <c r="L1311" t="s">
        <v>35</v>
      </c>
      <c r="M1311">
        <v>0.34899999999999998</v>
      </c>
      <c r="N1311">
        <v>6.7760792999999984</v>
      </c>
    </row>
    <row r="1312" spans="1:14" x14ac:dyDescent="0.25">
      <c r="A1312" s="23">
        <v>44409</v>
      </c>
      <c r="B1312">
        <v>27</v>
      </c>
      <c r="C1312" t="s">
        <v>19</v>
      </c>
      <c r="D1312">
        <v>0.84599999999999997</v>
      </c>
      <c r="E1312">
        <v>22.841999999999999</v>
      </c>
      <c r="F1312" t="s">
        <v>15</v>
      </c>
      <c r="G1312">
        <v>0.85</v>
      </c>
      <c r="H1312">
        <v>19.415699999999998</v>
      </c>
      <c r="I1312" t="s">
        <v>10</v>
      </c>
      <c r="J1312">
        <v>4.9000000000000002E-2</v>
      </c>
      <c r="K1312">
        <v>0.95136929999999986</v>
      </c>
      <c r="L1312" t="s">
        <v>36</v>
      </c>
      <c r="M1312">
        <v>0.223</v>
      </c>
      <c r="N1312">
        <v>4.3297010999999994</v>
      </c>
    </row>
    <row r="1313" spans="1:14" x14ac:dyDescent="0.25">
      <c r="A1313" s="23">
        <v>44410</v>
      </c>
      <c r="B1313">
        <v>27</v>
      </c>
      <c r="C1313" t="s">
        <v>19</v>
      </c>
      <c r="D1313">
        <v>0.84599999999999997</v>
      </c>
      <c r="E1313">
        <v>22.841999999999999</v>
      </c>
      <c r="F1313" t="s">
        <v>15</v>
      </c>
      <c r="G1313">
        <v>0.85</v>
      </c>
      <c r="H1313">
        <v>19.415699999999998</v>
      </c>
      <c r="I1313" t="s">
        <v>9</v>
      </c>
      <c r="J1313">
        <v>0.248</v>
      </c>
      <c r="K1313">
        <v>4.8150935999999991</v>
      </c>
      <c r="L1313" t="s">
        <v>37</v>
      </c>
      <c r="M1313">
        <v>0.14699999999999999</v>
      </c>
      <c r="N1313">
        <v>2.8541078999999994</v>
      </c>
    </row>
    <row r="1314" spans="1:14" x14ac:dyDescent="0.25">
      <c r="A1314" s="23">
        <v>44411</v>
      </c>
      <c r="B1314">
        <v>27</v>
      </c>
      <c r="C1314" t="s">
        <v>19</v>
      </c>
      <c r="D1314">
        <v>0.84599999999999997</v>
      </c>
      <c r="E1314">
        <v>22.841999999999999</v>
      </c>
      <c r="F1314" t="s">
        <v>15</v>
      </c>
      <c r="G1314">
        <v>0.85</v>
      </c>
      <c r="H1314">
        <v>19.415699999999998</v>
      </c>
      <c r="I1314" t="s">
        <v>55</v>
      </c>
      <c r="J1314">
        <v>4.0000000000000001E-3</v>
      </c>
      <c r="L1314" t="s">
        <v>38</v>
      </c>
      <c r="M1314">
        <v>8.0000000000000002E-3</v>
      </c>
      <c r="N1314">
        <v>0.15532559999999998</v>
      </c>
    </row>
    <row r="1315" spans="1:14" x14ac:dyDescent="0.25">
      <c r="A1315" s="23">
        <v>44412</v>
      </c>
      <c r="B1315">
        <v>27</v>
      </c>
      <c r="C1315" t="s">
        <v>19</v>
      </c>
      <c r="D1315">
        <v>0.84599999999999997</v>
      </c>
      <c r="E1315">
        <v>22.841999999999999</v>
      </c>
      <c r="F1315" t="s">
        <v>15</v>
      </c>
      <c r="G1315">
        <v>0.85</v>
      </c>
      <c r="H1315">
        <v>19.415699999999998</v>
      </c>
      <c r="L1315" t="s">
        <v>39</v>
      </c>
      <c r="M1315">
        <v>3.0000000000000001E-3</v>
      </c>
      <c r="N1315">
        <v>5.8247099999999996E-2</v>
      </c>
    </row>
    <row r="1316" spans="1:14" x14ac:dyDescent="0.25">
      <c r="A1316" s="23">
        <v>44413</v>
      </c>
      <c r="B1316">
        <v>27</v>
      </c>
      <c r="C1316" t="s">
        <v>19</v>
      </c>
      <c r="D1316">
        <v>0.84599999999999997</v>
      </c>
      <c r="E1316">
        <v>22.841999999999999</v>
      </c>
      <c r="F1316" t="s">
        <v>53</v>
      </c>
      <c r="G1316">
        <v>0.82200000000000006</v>
      </c>
      <c r="H1316">
        <v>18.776123999999999</v>
      </c>
      <c r="I1316" t="s">
        <v>11</v>
      </c>
      <c r="J1316">
        <v>0.11800000000000001</v>
      </c>
      <c r="K1316">
        <v>2.2155826320000003</v>
      </c>
      <c r="L1316" t="s">
        <v>32</v>
      </c>
      <c r="M1316">
        <v>4.5999999999999999E-2</v>
      </c>
      <c r="N1316">
        <v>0.8637017039999999</v>
      </c>
    </row>
    <row r="1317" spans="1:14" x14ac:dyDescent="0.25">
      <c r="A1317" s="23">
        <v>44414</v>
      </c>
      <c r="B1317">
        <v>27</v>
      </c>
      <c r="C1317" t="s">
        <v>19</v>
      </c>
      <c r="D1317">
        <v>0.84599999999999997</v>
      </c>
      <c r="E1317">
        <v>22.841999999999999</v>
      </c>
      <c r="F1317" t="s">
        <v>16</v>
      </c>
      <c r="G1317">
        <v>0.82200000000000006</v>
      </c>
      <c r="H1317">
        <v>18.776123999999999</v>
      </c>
      <c r="I1317" t="s">
        <v>12</v>
      </c>
      <c r="J1317">
        <v>0.10800000000000001</v>
      </c>
      <c r="K1317">
        <v>2.0278213920000003</v>
      </c>
      <c r="L1317" t="s">
        <v>33</v>
      </c>
      <c r="M1317">
        <v>0.109</v>
      </c>
      <c r="N1317">
        <v>2.0465975159999998</v>
      </c>
    </row>
    <row r="1318" spans="1:14" x14ac:dyDescent="0.25">
      <c r="A1318" s="23">
        <v>44415</v>
      </c>
      <c r="B1318">
        <v>27</v>
      </c>
      <c r="C1318" t="s">
        <v>19</v>
      </c>
      <c r="D1318">
        <v>0.84599999999999997</v>
      </c>
      <c r="E1318">
        <v>22.841999999999999</v>
      </c>
      <c r="F1318" t="s">
        <v>16</v>
      </c>
      <c r="G1318">
        <v>0.82200000000000006</v>
      </c>
      <c r="H1318">
        <v>18.776123999999999</v>
      </c>
      <c r="I1318" t="s">
        <v>7</v>
      </c>
      <c r="J1318">
        <v>0.12300000000000001</v>
      </c>
      <c r="K1318">
        <v>2.309463252</v>
      </c>
      <c r="L1318" t="s">
        <v>34</v>
      </c>
      <c r="M1318">
        <v>0.17399999999999999</v>
      </c>
      <c r="N1318">
        <v>3.2670455759999997</v>
      </c>
    </row>
    <row r="1319" spans="1:14" x14ac:dyDescent="0.25">
      <c r="A1319" s="23">
        <v>44416</v>
      </c>
      <c r="B1319">
        <v>27</v>
      </c>
      <c r="C1319" t="s">
        <v>19</v>
      </c>
      <c r="D1319">
        <v>0.84599999999999997</v>
      </c>
      <c r="E1319">
        <v>22.841999999999999</v>
      </c>
      <c r="F1319" t="s">
        <v>16</v>
      </c>
      <c r="G1319">
        <v>0.82200000000000006</v>
      </c>
      <c r="H1319">
        <v>18.776123999999999</v>
      </c>
      <c r="I1319" t="s">
        <v>8</v>
      </c>
      <c r="J1319">
        <v>0.371</v>
      </c>
      <c r="K1319">
        <v>6.9659420039999995</v>
      </c>
      <c r="L1319" t="s">
        <v>35</v>
      </c>
      <c r="M1319">
        <v>0.27300000000000002</v>
      </c>
      <c r="N1319">
        <v>5.125881852</v>
      </c>
    </row>
    <row r="1320" spans="1:14" x14ac:dyDescent="0.25">
      <c r="A1320" s="23">
        <v>44417</v>
      </c>
      <c r="B1320">
        <v>27</v>
      </c>
      <c r="C1320" t="s">
        <v>19</v>
      </c>
      <c r="D1320">
        <v>0.84599999999999997</v>
      </c>
      <c r="E1320">
        <v>22.841999999999999</v>
      </c>
      <c r="F1320" t="s">
        <v>16</v>
      </c>
      <c r="G1320">
        <v>0.82200000000000006</v>
      </c>
      <c r="H1320">
        <v>18.776123999999999</v>
      </c>
      <c r="I1320" t="s">
        <v>10</v>
      </c>
      <c r="J1320">
        <v>3.7999999999999999E-2</v>
      </c>
      <c r="K1320">
        <v>0.71349271199999997</v>
      </c>
      <c r="L1320" t="s">
        <v>36</v>
      </c>
      <c r="M1320">
        <v>0.21</v>
      </c>
      <c r="N1320">
        <v>3.9429860399999996</v>
      </c>
    </row>
    <row r="1321" spans="1:14" x14ac:dyDescent="0.25">
      <c r="A1321" s="23">
        <v>44418</v>
      </c>
      <c r="B1321">
        <v>27</v>
      </c>
      <c r="C1321" t="s">
        <v>19</v>
      </c>
      <c r="D1321">
        <v>0.84599999999999997</v>
      </c>
      <c r="E1321">
        <v>22.841999999999999</v>
      </c>
      <c r="F1321" t="s">
        <v>16</v>
      </c>
      <c r="G1321">
        <v>0.82200000000000006</v>
      </c>
      <c r="H1321">
        <v>18.776123999999999</v>
      </c>
      <c r="I1321" t="s">
        <v>9</v>
      </c>
      <c r="J1321">
        <v>0.22500000000000001</v>
      </c>
      <c r="K1321">
        <v>4.2246278999999998</v>
      </c>
      <c r="L1321" t="s">
        <v>37</v>
      </c>
      <c r="M1321">
        <v>0.159</v>
      </c>
      <c r="N1321">
        <v>2.985403716</v>
      </c>
    </row>
    <row r="1322" spans="1:14" x14ac:dyDescent="0.25">
      <c r="A1322" s="23">
        <v>44419</v>
      </c>
      <c r="B1322">
        <v>27</v>
      </c>
      <c r="C1322" t="s">
        <v>19</v>
      </c>
      <c r="D1322">
        <v>0.84599999999999997</v>
      </c>
      <c r="E1322">
        <v>22.841999999999999</v>
      </c>
      <c r="F1322" t="s">
        <v>16</v>
      </c>
      <c r="G1322">
        <v>0.82200000000000006</v>
      </c>
      <c r="H1322">
        <v>18.776123999999999</v>
      </c>
      <c r="I1322" t="s">
        <v>55</v>
      </c>
      <c r="J1322">
        <v>1.6E-2</v>
      </c>
      <c r="L1322" t="s">
        <v>38</v>
      </c>
      <c r="M1322">
        <v>1.9E-2</v>
      </c>
      <c r="N1322">
        <v>0.35674635599999999</v>
      </c>
    </row>
    <row r="1323" spans="1:14" x14ac:dyDescent="0.25">
      <c r="A1323" s="23">
        <v>44420</v>
      </c>
      <c r="B1323">
        <v>27</v>
      </c>
      <c r="C1323" t="s">
        <v>19</v>
      </c>
      <c r="D1323">
        <v>0.84599999999999997</v>
      </c>
      <c r="E1323">
        <v>22.841999999999999</v>
      </c>
      <c r="F1323" t="s">
        <v>16</v>
      </c>
      <c r="G1323">
        <v>0.82200000000000006</v>
      </c>
      <c r="H1323">
        <v>18.776123999999999</v>
      </c>
      <c r="L1323" t="s">
        <v>39</v>
      </c>
      <c r="M1323">
        <v>0.01</v>
      </c>
      <c r="N1323">
        <v>0.18776124</v>
      </c>
    </row>
    <row r="1324" spans="1:14" x14ac:dyDescent="0.25">
      <c r="A1324" s="23">
        <v>44421</v>
      </c>
      <c r="B1324">
        <v>27</v>
      </c>
      <c r="C1324" t="s">
        <v>19</v>
      </c>
      <c r="D1324">
        <v>0.84599999999999997</v>
      </c>
      <c r="E1324">
        <v>22.841999999999999</v>
      </c>
      <c r="F1324" t="s">
        <v>51</v>
      </c>
      <c r="G1324">
        <v>0.83099999999999996</v>
      </c>
      <c r="H1324">
        <v>18.981701999999999</v>
      </c>
      <c r="I1324" t="s">
        <v>11</v>
      </c>
      <c r="J1324">
        <v>0.16200000000000001</v>
      </c>
      <c r="K1324">
        <v>3.0750357239999997</v>
      </c>
      <c r="L1324" t="s">
        <v>32</v>
      </c>
      <c r="M1324">
        <v>5.2000000000000005E-2</v>
      </c>
      <c r="N1324">
        <v>0.98704850399999999</v>
      </c>
    </row>
    <row r="1325" spans="1:14" x14ac:dyDescent="0.25">
      <c r="A1325" s="23">
        <v>44422</v>
      </c>
      <c r="B1325">
        <v>27</v>
      </c>
      <c r="C1325" t="s">
        <v>19</v>
      </c>
      <c r="D1325">
        <v>0.84599999999999997</v>
      </c>
      <c r="E1325">
        <v>22.841999999999999</v>
      </c>
      <c r="F1325" t="s">
        <v>13</v>
      </c>
      <c r="G1325">
        <v>0.83099999999999996</v>
      </c>
      <c r="H1325">
        <v>18.981701999999999</v>
      </c>
      <c r="I1325" t="s">
        <v>12</v>
      </c>
      <c r="J1325">
        <v>0.127</v>
      </c>
      <c r="K1325">
        <v>2.4106761539999999</v>
      </c>
      <c r="L1325" t="s">
        <v>33</v>
      </c>
      <c r="M1325">
        <v>0.106</v>
      </c>
      <c r="N1325">
        <v>2.0120604119999999</v>
      </c>
    </row>
    <row r="1326" spans="1:14" x14ac:dyDescent="0.25">
      <c r="A1326" s="23">
        <v>44423</v>
      </c>
      <c r="B1326">
        <v>27</v>
      </c>
      <c r="C1326" t="s">
        <v>19</v>
      </c>
      <c r="D1326">
        <v>0.84599999999999997</v>
      </c>
      <c r="E1326">
        <v>22.841999999999999</v>
      </c>
      <c r="F1326" t="s">
        <v>13</v>
      </c>
      <c r="G1326">
        <v>0.83099999999999996</v>
      </c>
      <c r="H1326">
        <v>18.981701999999999</v>
      </c>
      <c r="I1326" t="s">
        <v>7</v>
      </c>
      <c r="J1326">
        <v>0.14300000000000002</v>
      </c>
      <c r="K1326">
        <v>2.7143833860000002</v>
      </c>
      <c r="L1326" t="s">
        <v>34</v>
      </c>
      <c r="M1326">
        <v>0.14899999999999999</v>
      </c>
      <c r="N1326">
        <v>2.8282735979999996</v>
      </c>
    </row>
    <row r="1327" spans="1:14" x14ac:dyDescent="0.25">
      <c r="A1327" s="23">
        <v>44424</v>
      </c>
      <c r="B1327">
        <v>27</v>
      </c>
      <c r="C1327" t="s">
        <v>19</v>
      </c>
      <c r="D1327">
        <v>0.84599999999999997</v>
      </c>
      <c r="E1327">
        <v>22.841999999999999</v>
      </c>
      <c r="F1327" t="s">
        <v>13</v>
      </c>
      <c r="G1327">
        <v>0.83099999999999996</v>
      </c>
      <c r="H1327">
        <v>18.981701999999999</v>
      </c>
      <c r="I1327" t="s">
        <v>8</v>
      </c>
      <c r="J1327">
        <v>0.38299999999999995</v>
      </c>
      <c r="K1327">
        <v>7.2699918659999989</v>
      </c>
      <c r="L1327" t="s">
        <v>35</v>
      </c>
      <c r="M1327">
        <v>0.27600000000000002</v>
      </c>
      <c r="N1327">
        <v>5.2389497519999999</v>
      </c>
    </row>
    <row r="1328" spans="1:14" x14ac:dyDescent="0.25">
      <c r="A1328" s="23">
        <v>44425</v>
      </c>
      <c r="B1328">
        <v>27</v>
      </c>
      <c r="C1328" t="s">
        <v>19</v>
      </c>
      <c r="D1328">
        <v>0.84599999999999997</v>
      </c>
      <c r="E1328">
        <v>22.841999999999999</v>
      </c>
      <c r="F1328" t="s">
        <v>13</v>
      </c>
      <c r="G1328">
        <v>0.83099999999999996</v>
      </c>
      <c r="H1328">
        <v>18.981701999999999</v>
      </c>
      <c r="I1328" t="s">
        <v>10</v>
      </c>
      <c r="J1328">
        <v>2.7999999999999997E-2</v>
      </c>
      <c r="K1328">
        <v>0.53148765599999992</v>
      </c>
      <c r="L1328" t="s">
        <v>36</v>
      </c>
      <c r="M1328">
        <v>0.20800000000000002</v>
      </c>
      <c r="N1328">
        <v>3.948194016</v>
      </c>
    </row>
    <row r="1329" spans="1:14" x14ac:dyDescent="0.25">
      <c r="A1329" s="23">
        <v>44426</v>
      </c>
      <c r="B1329">
        <v>27</v>
      </c>
      <c r="C1329" t="s">
        <v>19</v>
      </c>
      <c r="D1329">
        <v>0.84599999999999997</v>
      </c>
      <c r="E1329">
        <v>22.841999999999999</v>
      </c>
      <c r="F1329" t="s">
        <v>13</v>
      </c>
      <c r="G1329">
        <v>0.83099999999999996</v>
      </c>
      <c r="H1329">
        <v>18.981701999999999</v>
      </c>
      <c r="I1329" t="s">
        <v>9</v>
      </c>
      <c r="J1329">
        <v>0.13600000000000001</v>
      </c>
      <c r="K1329">
        <v>2.5815114719999999</v>
      </c>
      <c r="L1329" t="s">
        <v>37</v>
      </c>
      <c r="M1329">
        <v>0.16300000000000001</v>
      </c>
      <c r="N1329">
        <v>3.0940174259999997</v>
      </c>
    </row>
    <row r="1330" spans="1:14" x14ac:dyDescent="0.25">
      <c r="A1330" s="23">
        <v>44427</v>
      </c>
      <c r="B1330">
        <v>27</v>
      </c>
      <c r="C1330" t="s">
        <v>19</v>
      </c>
      <c r="D1330">
        <v>0.84599999999999997</v>
      </c>
      <c r="E1330">
        <v>22.841999999999999</v>
      </c>
      <c r="F1330" t="s">
        <v>13</v>
      </c>
      <c r="G1330">
        <v>0.83099999999999996</v>
      </c>
      <c r="H1330">
        <v>18.981701999999999</v>
      </c>
      <c r="I1330" t="s">
        <v>55</v>
      </c>
      <c r="J1330">
        <v>2.2000000000000002E-2</v>
      </c>
      <c r="L1330" t="s">
        <v>38</v>
      </c>
      <c r="M1330">
        <v>2.6000000000000002E-2</v>
      </c>
      <c r="N1330">
        <v>0.493524252</v>
      </c>
    </row>
    <row r="1331" spans="1:14" x14ac:dyDescent="0.25">
      <c r="A1331" s="23">
        <v>44428</v>
      </c>
      <c r="B1331">
        <v>27</v>
      </c>
      <c r="C1331" t="s">
        <v>19</v>
      </c>
      <c r="D1331">
        <v>0.84599999999999997</v>
      </c>
      <c r="E1331">
        <v>22.841999999999999</v>
      </c>
      <c r="F1331" t="s">
        <v>13</v>
      </c>
      <c r="G1331">
        <v>0.83099999999999996</v>
      </c>
      <c r="H1331">
        <v>18.981701999999999</v>
      </c>
      <c r="L1331" t="s">
        <v>39</v>
      </c>
      <c r="M1331">
        <v>0.02</v>
      </c>
      <c r="N1331">
        <v>0.37963404000000001</v>
      </c>
    </row>
    <row r="1332" spans="1:14" x14ac:dyDescent="0.25">
      <c r="A1332" s="23">
        <v>44429</v>
      </c>
      <c r="B1332">
        <v>27</v>
      </c>
      <c r="C1332" t="s">
        <v>19</v>
      </c>
      <c r="D1332">
        <v>0.84599999999999997</v>
      </c>
      <c r="E1332">
        <v>22.841999999999999</v>
      </c>
      <c r="F1332" t="s">
        <v>50</v>
      </c>
      <c r="G1332">
        <v>0.89900000000000002</v>
      </c>
      <c r="H1332">
        <v>20.534958</v>
      </c>
      <c r="I1332" t="s">
        <v>11</v>
      </c>
      <c r="J1332">
        <v>0.21299999999999999</v>
      </c>
      <c r="K1332">
        <v>4.3739460540000001</v>
      </c>
      <c r="L1332" t="s">
        <v>32</v>
      </c>
      <c r="M1332">
        <v>0.105</v>
      </c>
      <c r="N1332">
        <v>2.1561705899999999</v>
      </c>
    </row>
    <row r="1333" spans="1:14" x14ac:dyDescent="0.25">
      <c r="A1333" s="23">
        <v>44430</v>
      </c>
      <c r="B1333">
        <v>27</v>
      </c>
      <c r="C1333" t="s">
        <v>19</v>
      </c>
      <c r="D1333">
        <v>0.84599999999999997</v>
      </c>
      <c r="E1333">
        <v>22.841999999999999</v>
      </c>
      <c r="F1333" t="s">
        <v>17</v>
      </c>
      <c r="G1333">
        <v>0.89900000000000002</v>
      </c>
      <c r="H1333">
        <v>20.534958</v>
      </c>
      <c r="I1333" t="s">
        <v>12</v>
      </c>
      <c r="J1333">
        <v>0.13800000000000001</v>
      </c>
      <c r="K1333">
        <v>2.8338242040000003</v>
      </c>
      <c r="L1333" t="s">
        <v>33</v>
      </c>
      <c r="M1333">
        <v>0.09</v>
      </c>
      <c r="N1333">
        <v>1.8481462199999998</v>
      </c>
    </row>
    <row r="1334" spans="1:14" x14ac:dyDescent="0.25">
      <c r="A1334" s="23">
        <v>44431</v>
      </c>
      <c r="B1334">
        <v>27</v>
      </c>
      <c r="C1334" t="s">
        <v>19</v>
      </c>
      <c r="D1334">
        <v>0.84599999999999997</v>
      </c>
      <c r="E1334">
        <v>22.841999999999999</v>
      </c>
      <c r="F1334" t="s">
        <v>17</v>
      </c>
      <c r="G1334">
        <v>0.89900000000000002</v>
      </c>
      <c r="H1334">
        <v>20.534958</v>
      </c>
      <c r="I1334" t="s">
        <v>7</v>
      </c>
      <c r="J1334">
        <v>0.23199999999999998</v>
      </c>
      <c r="K1334">
        <v>4.7641102559999995</v>
      </c>
      <c r="L1334" t="s">
        <v>34</v>
      </c>
      <c r="M1334">
        <v>0.17699999999999999</v>
      </c>
      <c r="N1334">
        <v>3.6346875659999998</v>
      </c>
    </row>
    <row r="1335" spans="1:14" x14ac:dyDescent="0.25">
      <c r="A1335" s="23">
        <v>44432</v>
      </c>
      <c r="B1335">
        <v>27</v>
      </c>
      <c r="C1335" t="s">
        <v>19</v>
      </c>
      <c r="D1335">
        <v>0.84599999999999997</v>
      </c>
      <c r="E1335">
        <v>22.841999999999999</v>
      </c>
      <c r="F1335" t="s">
        <v>17</v>
      </c>
      <c r="G1335">
        <v>0.89900000000000002</v>
      </c>
      <c r="H1335">
        <v>20.534958</v>
      </c>
      <c r="I1335" t="s">
        <v>8</v>
      </c>
      <c r="J1335">
        <v>0.29799999999999999</v>
      </c>
      <c r="K1335">
        <v>6.1194174839999995</v>
      </c>
      <c r="L1335" t="s">
        <v>35</v>
      </c>
      <c r="M1335">
        <v>0.19500000000000001</v>
      </c>
      <c r="N1335">
        <v>4.0043168099999997</v>
      </c>
    </row>
    <row r="1336" spans="1:14" x14ac:dyDescent="0.25">
      <c r="A1336" s="23">
        <v>44433</v>
      </c>
      <c r="B1336">
        <v>27</v>
      </c>
      <c r="C1336" t="s">
        <v>19</v>
      </c>
      <c r="D1336">
        <v>0.84599999999999997</v>
      </c>
      <c r="E1336">
        <v>22.841999999999999</v>
      </c>
      <c r="F1336" t="s">
        <v>17</v>
      </c>
      <c r="G1336">
        <v>0.89900000000000002</v>
      </c>
      <c r="H1336">
        <v>20.534958</v>
      </c>
      <c r="I1336" t="s">
        <v>10</v>
      </c>
      <c r="J1336">
        <v>2.5000000000000001E-2</v>
      </c>
      <c r="K1336">
        <v>0.51337394999999997</v>
      </c>
      <c r="L1336" t="s">
        <v>36</v>
      </c>
      <c r="M1336">
        <v>0.28999999999999998</v>
      </c>
      <c r="N1336">
        <v>4.0043168099999997</v>
      </c>
    </row>
    <row r="1337" spans="1:14" x14ac:dyDescent="0.25">
      <c r="A1337" s="23">
        <v>44434</v>
      </c>
      <c r="B1337">
        <v>27</v>
      </c>
      <c r="C1337" t="s">
        <v>19</v>
      </c>
      <c r="D1337">
        <v>0.84599999999999997</v>
      </c>
      <c r="E1337">
        <v>22.841999999999999</v>
      </c>
      <c r="F1337" t="s">
        <v>17</v>
      </c>
      <c r="G1337">
        <v>0.89900000000000002</v>
      </c>
      <c r="H1337">
        <v>20.534958</v>
      </c>
      <c r="I1337" t="s">
        <v>9</v>
      </c>
      <c r="J1337">
        <v>9.4E-2</v>
      </c>
      <c r="K1337">
        <v>1.930286052</v>
      </c>
      <c r="L1337" t="s">
        <v>37</v>
      </c>
      <c r="M1337">
        <v>0.121</v>
      </c>
      <c r="N1337">
        <v>5.9551378199999991</v>
      </c>
    </row>
    <row r="1338" spans="1:14" x14ac:dyDescent="0.25">
      <c r="A1338" s="23">
        <v>44435</v>
      </c>
      <c r="B1338">
        <v>27</v>
      </c>
      <c r="C1338" t="s">
        <v>19</v>
      </c>
      <c r="D1338">
        <v>0.84599999999999997</v>
      </c>
      <c r="E1338">
        <v>22.841999999999999</v>
      </c>
      <c r="F1338" t="s">
        <v>17</v>
      </c>
      <c r="G1338">
        <v>0.89900000000000002</v>
      </c>
      <c r="H1338">
        <v>20.534958</v>
      </c>
      <c r="I1338" t="s">
        <v>55</v>
      </c>
      <c r="J1338">
        <v>0</v>
      </c>
      <c r="L1338" t="s">
        <v>38</v>
      </c>
      <c r="M1338">
        <v>1.3999999999999999E-2</v>
      </c>
      <c r="N1338">
        <v>2.4847299179999998</v>
      </c>
    </row>
    <row r="1339" spans="1:14" x14ac:dyDescent="0.25">
      <c r="A1339" s="23">
        <v>44436</v>
      </c>
      <c r="B1339">
        <v>27</v>
      </c>
      <c r="C1339" t="s">
        <v>19</v>
      </c>
      <c r="D1339">
        <v>0.84599999999999997</v>
      </c>
      <c r="E1339">
        <v>22.841999999999999</v>
      </c>
      <c r="F1339" t="s">
        <v>17</v>
      </c>
      <c r="G1339">
        <v>0.89900000000000002</v>
      </c>
      <c r="H1339">
        <v>20.534958</v>
      </c>
      <c r="L1339" t="s">
        <v>39</v>
      </c>
      <c r="M1339">
        <v>8.0000000000000002E-3</v>
      </c>
      <c r="N1339">
        <v>0.28748941199999994</v>
      </c>
    </row>
    <row r="1340" spans="1:14" x14ac:dyDescent="0.25">
      <c r="A1340" s="23">
        <v>44437</v>
      </c>
      <c r="B1340">
        <v>27</v>
      </c>
      <c r="C1340" t="s">
        <v>19</v>
      </c>
      <c r="D1340">
        <v>0.84599999999999997</v>
      </c>
      <c r="E1340">
        <v>22.841999999999999</v>
      </c>
      <c r="F1340" t="s">
        <v>49</v>
      </c>
      <c r="G1340">
        <v>0.91099999999999992</v>
      </c>
      <c r="H1340">
        <v>20.809061999999997</v>
      </c>
      <c r="I1340" t="s">
        <v>11</v>
      </c>
      <c r="J1340">
        <v>0.21</v>
      </c>
      <c r="K1340">
        <v>4.3699030199999989</v>
      </c>
      <c r="L1340" t="s">
        <v>32</v>
      </c>
      <c r="M1340">
        <v>7.400000000000001E-2</v>
      </c>
      <c r="N1340">
        <v>1.5398705880000001</v>
      </c>
    </row>
    <row r="1341" spans="1:14" x14ac:dyDescent="0.25">
      <c r="A1341" s="23">
        <v>44438</v>
      </c>
      <c r="B1341">
        <v>27</v>
      </c>
      <c r="C1341" t="s">
        <v>19</v>
      </c>
      <c r="D1341">
        <v>0.84599999999999997</v>
      </c>
      <c r="E1341">
        <v>22.841999999999999</v>
      </c>
      <c r="F1341" t="s">
        <v>18</v>
      </c>
      <c r="G1341">
        <v>0.91099999999999992</v>
      </c>
      <c r="H1341">
        <v>20.809061999999997</v>
      </c>
      <c r="I1341" t="s">
        <v>12</v>
      </c>
      <c r="J1341">
        <v>0.127</v>
      </c>
      <c r="K1341">
        <v>2.6427508739999999</v>
      </c>
      <c r="L1341" t="s">
        <v>33</v>
      </c>
      <c r="M1341">
        <v>0.14000000000000001</v>
      </c>
      <c r="N1341">
        <v>2.9132686799999998</v>
      </c>
    </row>
    <row r="1342" spans="1:14" x14ac:dyDescent="0.25">
      <c r="A1342" s="23">
        <v>44439</v>
      </c>
      <c r="B1342">
        <v>27</v>
      </c>
      <c r="C1342" t="s">
        <v>19</v>
      </c>
      <c r="D1342">
        <v>0.84599999999999997</v>
      </c>
      <c r="E1342">
        <v>22.841999999999999</v>
      </c>
      <c r="F1342" t="s">
        <v>18</v>
      </c>
      <c r="G1342">
        <v>0.91099999999999992</v>
      </c>
      <c r="H1342">
        <v>20.809061999999997</v>
      </c>
      <c r="I1342" t="s">
        <v>7</v>
      </c>
      <c r="J1342">
        <v>0.14800000000000002</v>
      </c>
      <c r="K1342">
        <v>3.0797411760000002</v>
      </c>
      <c r="L1342" t="s">
        <v>34</v>
      </c>
      <c r="M1342">
        <v>0.16600000000000001</v>
      </c>
      <c r="N1342">
        <v>3.4543042919999998</v>
      </c>
    </row>
    <row r="1343" spans="1:14" x14ac:dyDescent="0.25">
      <c r="A1343" s="23">
        <v>44440</v>
      </c>
      <c r="B1343">
        <v>27</v>
      </c>
      <c r="C1343" t="s">
        <v>19</v>
      </c>
      <c r="D1343">
        <v>0.84599999999999997</v>
      </c>
      <c r="E1343">
        <v>22.841999999999999</v>
      </c>
      <c r="F1343" t="s">
        <v>18</v>
      </c>
      <c r="G1343">
        <v>0.91099999999999992</v>
      </c>
      <c r="H1343">
        <v>20.809061999999997</v>
      </c>
      <c r="I1343" t="s">
        <v>8</v>
      </c>
      <c r="J1343">
        <v>0.40100000000000002</v>
      </c>
      <c r="K1343">
        <v>8.3444338619999989</v>
      </c>
      <c r="L1343" t="s">
        <v>35</v>
      </c>
      <c r="M1343">
        <v>0.253</v>
      </c>
      <c r="N1343">
        <v>5.2646926859999992</v>
      </c>
    </row>
    <row r="1344" spans="1:14" x14ac:dyDescent="0.25">
      <c r="A1344" s="23">
        <v>44441</v>
      </c>
      <c r="B1344">
        <v>27</v>
      </c>
      <c r="C1344" t="s">
        <v>19</v>
      </c>
      <c r="D1344">
        <v>0.84599999999999997</v>
      </c>
      <c r="E1344">
        <v>22.841999999999999</v>
      </c>
      <c r="F1344" t="s">
        <v>18</v>
      </c>
      <c r="G1344">
        <v>0.91099999999999992</v>
      </c>
      <c r="H1344">
        <v>20.809061999999997</v>
      </c>
      <c r="I1344" t="s">
        <v>10</v>
      </c>
      <c r="J1344">
        <v>2.5000000000000001E-2</v>
      </c>
      <c r="K1344">
        <v>0.52022654999999995</v>
      </c>
      <c r="L1344" t="s">
        <v>36</v>
      </c>
      <c r="M1344">
        <v>0.18899999999999997</v>
      </c>
      <c r="N1344">
        <v>3.932912717999999</v>
      </c>
    </row>
    <row r="1345" spans="1:14" x14ac:dyDescent="0.25">
      <c r="A1345" s="23">
        <v>44442</v>
      </c>
      <c r="B1345">
        <v>27</v>
      </c>
      <c r="C1345" t="s">
        <v>19</v>
      </c>
      <c r="D1345">
        <v>0.84599999999999997</v>
      </c>
      <c r="E1345">
        <v>22.841999999999999</v>
      </c>
      <c r="F1345" t="s">
        <v>18</v>
      </c>
      <c r="G1345">
        <v>0.91099999999999992</v>
      </c>
      <c r="H1345">
        <v>20.809061999999997</v>
      </c>
      <c r="I1345" t="s">
        <v>9</v>
      </c>
      <c r="J1345">
        <v>7.6999999999999999E-2</v>
      </c>
      <c r="K1345">
        <v>1.6022977739999997</v>
      </c>
      <c r="L1345" t="s">
        <v>37</v>
      </c>
      <c r="M1345">
        <v>0.13100000000000001</v>
      </c>
      <c r="N1345">
        <v>2.7259871219999998</v>
      </c>
    </row>
    <row r="1346" spans="1:14" x14ac:dyDescent="0.25">
      <c r="A1346" s="23">
        <v>44443</v>
      </c>
      <c r="B1346">
        <v>27</v>
      </c>
      <c r="C1346" t="s">
        <v>19</v>
      </c>
      <c r="D1346">
        <v>0.84599999999999997</v>
      </c>
      <c r="E1346">
        <v>22.841999999999999</v>
      </c>
      <c r="F1346" t="s">
        <v>18</v>
      </c>
      <c r="G1346">
        <v>0.91099999999999992</v>
      </c>
      <c r="H1346">
        <v>20.809061999999997</v>
      </c>
      <c r="I1346" t="s">
        <v>55</v>
      </c>
      <c r="J1346">
        <v>1.2E-2</v>
      </c>
      <c r="L1346" t="s">
        <v>38</v>
      </c>
      <c r="M1346">
        <v>3.1E-2</v>
      </c>
      <c r="N1346">
        <v>0.64508092199999989</v>
      </c>
    </row>
    <row r="1347" spans="1:14" x14ac:dyDescent="0.25">
      <c r="A1347" s="23">
        <v>44444</v>
      </c>
      <c r="B1347">
        <v>27</v>
      </c>
      <c r="C1347" t="s">
        <v>19</v>
      </c>
      <c r="D1347">
        <v>0.84599999999999997</v>
      </c>
      <c r="E1347">
        <v>22.841999999999999</v>
      </c>
      <c r="F1347" t="s">
        <v>18</v>
      </c>
      <c r="G1347">
        <v>0.91099999999999992</v>
      </c>
      <c r="H1347">
        <v>20.809061999999997</v>
      </c>
      <c r="L1347" t="s">
        <v>39</v>
      </c>
      <c r="M1347">
        <v>1.6E-2</v>
      </c>
      <c r="N1347">
        <v>0.33294499199999994</v>
      </c>
    </row>
    <row r="1348" spans="1:14" x14ac:dyDescent="0.25">
      <c r="A1348" s="23">
        <v>44445</v>
      </c>
      <c r="B1348">
        <v>27.169</v>
      </c>
      <c r="C1348" t="s">
        <v>2</v>
      </c>
      <c r="D1348">
        <v>0.159</v>
      </c>
      <c r="E1348">
        <v>4.319871</v>
      </c>
      <c r="F1348" t="s">
        <v>14</v>
      </c>
      <c r="G1348">
        <v>0.19899999999999998</v>
      </c>
      <c r="H1348">
        <v>0.85965432899999994</v>
      </c>
      <c r="I1348" t="s">
        <v>11</v>
      </c>
      <c r="J1348">
        <v>9.3000000000000013E-2</v>
      </c>
      <c r="K1348">
        <v>7.9947852597000005E-2</v>
      </c>
      <c r="L1348" t="s">
        <v>32</v>
      </c>
      <c r="M1348">
        <v>1.3999999999999999E-2</v>
      </c>
      <c r="N1348">
        <v>1.2035160605999998E-2</v>
      </c>
    </row>
    <row r="1349" spans="1:14" x14ac:dyDescent="0.25">
      <c r="A1349" s="23">
        <v>44446</v>
      </c>
      <c r="B1349">
        <v>27.169</v>
      </c>
      <c r="C1349" t="s">
        <v>2</v>
      </c>
      <c r="D1349">
        <v>0.159</v>
      </c>
      <c r="E1349">
        <v>4.319871</v>
      </c>
      <c r="F1349" t="s">
        <v>43</v>
      </c>
      <c r="G1349">
        <v>0.19899999999999998</v>
      </c>
      <c r="H1349">
        <v>0.85965432899999994</v>
      </c>
      <c r="I1349" t="s">
        <v>12</v>
      </c>
      <c r="J1349">
        <v>0.03</v>
      </c>
      <c r="K1349">
        <v>2.5789629869999997E-2</v>
      </c>
      <c r="L1349" t="s">
        <v>33</v>
      </c>
      <c r="M1349">
        <v>4.8000000000000001E-2</v>
      </c>
      <c r="N1349">
        <v>4.1263407791999995E-2</v>
      </c>
    </row>
    <row r="1350" spans="1:14" x14ac:dyDescent="0.25">
      <c r="A1350" s="23">
        <v>44447</v>
      </c>
      <c r="B1350">
        <v>27.169</v>
      </c>
      <c r="C1350" t="s">
        <v>2</v>
      </c>
      <c r="D1350">
        <v>0.159</v>
      </c>
      <c r="E1350">
        <v>4.319871</v>
      </c>
      <c r="F1350" t="s">
        <v>14</v>
      </c>
      <c r="G1350">
        <v>0.19899999999999998</v>
      </c>
      <c r="H1350">
        <v>0.85965432899999994</v>
      </c>
      <c r="I1350" t="s">
        <v>7</v>
      </c>
      <c r="J1350">
        <v>0.05</v>
      </c>
      <c r="K1350">
        <v>4.298271645E-2</v>
      </c>
      <c r="L1350" t="s">
        <v>34</v>
      </c>
      <c r="M1350">
        <v>0.09</v>
      </c>
      <c r="N1350">
        <v>7.7368889609999991E-2</v>
      </c>
    </row>
    <row r="1351" spans="1:14" x14ac:dyDescent="0.25">
      <c r="A1351" s="23">
        <v>44448</v>
      </c>
      <c r="B1351">
        <v>27.169</v>
      </c>
      <c r="C1351" t="s">
        <v>2</v>
      </c>
      <c r="D1351">
        <v>0.159</v>
      </c>
      <c r="E1351">
        <v>4.319871</v>
      </c>
      <c r="F1351" t="s">
        <v>14</v>
      </c>
      <c r="G1351">
        <v>0.19899999999999998</v>
      </c>
      <c r="H1351">
        <v>0.85965432899999994</v>
      </c>
      <c r="I1351" t="s">
        <v>8</v>
      </c>
      <c r="J1351">
        <v>0.30399999999999999</v>
      </c>
      <c r="K1351">
        <v>0.26133491601599995</v>
      </c>
      <c r="L1351" t="s">
        <v>35</v>
      </c>
      <c r="M1351">
        <v>0.30599999999999999</v>
      </c>
      <c r="N1351">
        <v>0.26305422467399997</v>
      </c>
    </row>
    <row r="1352" spans="1:14" x14ac:dyDescent="0.25">
      <c r="A1352" s="23">
        <v>44449</v>
      </c>
      <c r="B1352">
        <v>27.169</v>
      </c>
      <c r="C1352" t="s">
        <v>2</v>
      </c>
      <c r="D1352">
        <v>0.159</v>
      </c>
      <c r="E1352">
        <v>4.319871</v>
      </c>
      <c r="F1352" t="s">
        <v>14</v>
      </c>
      <c r="G1352">
        <v>0.19899999999999998</v>
      </c>
      <c r="H1352">
        <v>0.85965432899999994</v>
      </c>
      <c r="I1352" t="s">
        <v>10</v>
      </c>
      <c r="J1352">
        <v>5.7000000000000002E-2</v>
      </c>
      <c r="K1352">
        <v>4.9000296753000001E-2</v>
      </c>
      <c r="L1352" t="s">
        <v>36</v>
      </c>
      <c r="M1352">
        <v>0.27500000000000002</v>
      </c>
      <c r="N1352">
        <v>0.23640494047499999</v>
      </c>
    </row>
    <row r="1353" spans="1:14" x14ac:dyDescent="0.25">
      <c r="A1353" s="23">
        <v>44450</v>
      </c>
      <c r="B1353">
        <v>27.169</v>
      </c>
      <c r="C1353" t="s">
        <v>2</v>
      </c>
      <c r="D1353">
        <v>0.159</v>
      </c>
      <c r="E1353">
        <v>4.319871</v>
      </c>
      <c r="F1353" t="s">
        <v>14</v>
      </c>
      <c r="G1353">
        <v>0.19899999999999998</v>
      </c>
      <c r="H1353">
        <v>0.85965432899999994</v>
      </c>
      <c r="I1353" t="s">
        <v>9</v>
      </c>
      <c r="J1353">
        <v>0.46200000000000002</v>
      </c>
      <c r="K1353">
        <v>0.39716029999800001</v>
      </c>
      <c r="L1353" t="s">
        <v>37</v>
      </c>
      <c r="M1353">
        <v>0.24600000000000002</v>
      </c>
      <c r="N1353">
        <v>0.211474964934</v>
      </c>
    </row>
    <row r="1354" spans="1:14" x14ac:dyDescent="0.25">
      <c r="A1354" s="23">
        <v>44451</v>
      </c>
      <c r="B1354">
        <v>27.169</v>
      </c>
      <c r="C1354" t="s">
        <v>2</v>
      </c>
      <c r="D1354">
        <v>0.159</v>
      </c>
      <c r="E1354">
        <v>4.319871</v>
      </c>
      <c r="F1354" t="s">
        <v>14</v>
      </c>
      <c r="G1354">
        <v>0.19899999999999998</v>
      </c>
      <c r="H1354">
        <v>0.85965432899999994</v>
      </c>
      <c r="I1354" t="s">
        <v>55</v>
      </c>
      <c r="J1354">
        <v>4.0000000000000001E-3</v>
      </c>
      <c r="K1354">
        <v>3.4386173159999998E-3</v>
      </c>
      <c r="L1354" t="s">
        <v>38</v>
      </c>
      <c r="M1354">
        <v>1.3999999999999999E-2</v>
      </c>
      <c r="N1354">
        <v>1.2035160605999998E-2</v>
      </c>
    </row>
    <row r="1355" spans="1:14" x14ac:dyDescent="0.25">
      <c r="A1355" s="23">
        <v>44452</v>
      </c>
      <c r="B1355">
        <v>27.169</v>
      </c>
      <c r="C1355" t="s">
        <v>2</v>
      </c>
      <c r="D1355">
        <v>0.159</v>
      </c>
      <c r="E1355">
        <v>4.319871</v>
      </c>
      <c r="F1355" t="s">
        <v>14</v>
      </c>
      <c r="G1355">
        <v>0.19899999999999998</v>
      </c>
      <c r="H1355">
        <v>0.85965432899999994</v>
      </c>
      <c r="L1355" t="s">
        <v>39</v>
      </c>
      <c r="M1355">
        <v>6.9999999999999993E-3</v>
      </c>
      <c r="N1355">
        <v>6.017580302999999E-3</v>
      </c>
    </row>
    <row r="1356" spans="1:14" x14ac:dyDescent="0.25">
      <c r="A1356" s="23">
        <v>44453</v>
      </c>
      <c r="B1356">
        <v>27.169</v>
      </c>
      <c r="C1356" t="s">
        <v>2</v>
      </c>
      <c r="D1356">
        <v>0.159</v>
      </c>
      <c r="E1356">
        <v>4.319871</v>
      </c>
      <c r="F1356" t="s">
        <v>44</v>
      </c>
      <c r="G1356">
        <v>0.19</v>
      </c>
      <c r="H1356">
        <v>0.82077549000000005</v>
      </c>
      <c r="I1356" t="s">
        <v>11</v>
      </c>
      <c r="J1356">
        <v>0</v>
      </c>
      <c r="K1356">
        <v>0</v>
      </c>
      <c r="L1356" t="s">
        <v>32</v>
      </c>
      <c r="M1356">
        <v>0</v>
      </c>
      <c r="N1356">
        <v>0</v>
      </c>
    </row>
    <row r="1357" spans="1:14" x14ac:dyDescent="0.25">
      <c r="A1357" s="23">
        <v>44454</v>
      </c>
      <c r="B1357">
        <v>27.169</v>
      </c>
      <c r="C1357" t="s">
        <v>2</v>
      </c>
      <c r="D1357">
        <v>0.159</v>
      </c>
      <c r="E1357">
        <v>4.319871</v>
      </c>
      <c r="F1357" t="s">
        <v>15</v>
      </c>
      <c r="G1357">
        <v>0.19</v>
      </c>
      <c r="H1357">
        <v>0.82077549000000005</v>
      </c>
      <c r="I1357" t="s">
        <v>12</v>
      </c>
      <c r="J1357">
        <v>0.08</v>
      </c>
      <c r="K1357">
        <v>6.5662039200000008E-2</v>
      </c>
      <c r="L1357" t="s">
        <v>33</v>
      </c>
      <c r="M1357">
        <v>1.1000000000000001E-2</v>
      </c>
      <c r="N1357">
        <v>9.0285303900000009E-3</v>
      </c>
    </row>
    <row r="1358" spans="1:14" x14ac:dyDescent="0.25">
      <c r="A1358" s="23">
        <v>44455</v>
      </c>
      <c r="B1358">
        <v>27.169</v>
      </c>
      <c r="C1358" t="s">
        <v>2</v>
      </c>
      <c r="D1358">
        <v>0.159</v>
      </c>
      <c r="E1358">
        <v>4.319871</v>
      </c>
      <c r="F1358" t="s">
        <v>15</v>
      </c>
      <c r="G1358">
        <v>0.19</v>
      </c>
      <c r="H1358">
        <v>0.82077549000000005</v>
      </c>
      <c r="I1358" t="s">
        <v>7</v>
      </c>
      <c r="J1358">
        <v>1.8000000000000002E-2</v>
      </c>
      <c r="K1358">
        <v>1.4773958820000002E-2</v>
      </c>
      <c r="L1358" t="s">
        <v>34</v>
      </c>
      <c r="M1358">
        <v>0.217</v>
      </c>
      <c r="N1358">
        <v>0.17810828133000001</v>
      </c>
    </row>
    <row r="1359" spans="1:14" x14ac:dyDescent="0.25">
      <c r="A1359" s="23">
        <v>44456</v>
      </c>
      <c r="B1359">
        <v>27.169</v>
      </c>
      <c r="C1359" t="s">
        <v>2</v>
      </c>
      <c r="D1359">
        <v>0.159</v>
      </c>
      <c r="E1359">
        <v>4.319871</v>
      </c>
      <c r="F1359" t="s">
        <v>15</v>
      </c>
      <c r="G1359">
        <v>0.19</v>
      </c>
      <c r="H1359">
        <v>0.82077549000000005</v>
      </c>
      <c r="I1359" t="s">
        <v>8</v>
      </c>
      <c r="J1359">
        <v>0.30199999999999999</v>
      </c>
      <c r="K1359">
        <v>0.24787419798000002</v>
      </c>
      <c r="L1359" t="s">
        <v>35</v>
      </c>
      <c r="M1359">
        <v>0.30299999999999999</v>
      </c>
      <c r="N1359">
        <v>0.24869497347</v>
      </c>
    </row>
    <row r="1360" spans="1:14" x14ac:dyDescent="0.25">
      <c r="A1360" s="23">
        <v>44457</v>
      </c>
      <c r="B1360">
        <v>27.169</v>
      </c>
      <c r="C1360" t="s">
        <v>2</v>
      </c>
      <c r="D1360">
        <v>0.159</v>
      </c>
      <c r="E1360">
        <v>4.319871</v>
      </c>
      <c r="F1360" t="s">
        <v>15</v>
      </c>
      <c r="G1360">
        <v>0.19</v>
      </c>
      <c r="H1360">
        <v>0.82077549000000005</v>
      </c>
      <c r="I1360" t="s">
        <v>10</v>
      </c>
      <c r="J1360">
        <v>4.5999999999999999E-2</v>
      </c>
      <c r="K1360">
        <v>3.775567254E-2</v>
      </c>
      <c r="L1360" t="s">
        <v>36</v>
      </c>
      <c r="M1360">
        <v>0.313</v>
      </c>
      <c r="N1360">
        <v>0.25690272837</v>
      </c>
    </row>
    <row r="1361" spans="1:14" x14ac:dyDescent="0.25">
      <c r="A1361" s="23">
        <v>44458</v>
      </c>
      <c r="B1361">
        <v>27.169</v>
      </c>
      <c r="C1361" t="s">
        <v>2</v>
      </c>
      <c r="D1361">
        <v>0.159</v>
      </c>
      <c r="E1361">
        <v>4.319871</v>
      </c>
      <c r="F1361" t="s">
        <v>15</v>
      </c>
      <c r="G1361">
        <v>0.19</v>
      </c>
      <c r="H1361">
        <v>0.82077549000000005</v>
      </c>
      <c r="I1361" t="s">
        <v>9</v>
      </c>
      <c r="J1361">
        <v>0.55500000000000005</v>
      </c>
      <c r="K1361">
        <v>0.45553039695000008</v>
      </c>
      <c r="L1361" t="s">
        <v>37</v>
      </c>
      <c r="M1361">
        <v>0.158</v>
      </c>
      <c r="N1361">
        <v>0.12968252742</v>
      </c>
    </row>
    <row r="1362" spans="1:14" x14ac:dyDescent="0.25">
      <c r="A1362" s="23">
        <v>44459</v>
      </c>
      <c r="B1362">
        <v>27.169</v>
      </c>
      <c r="C1362" t="s">
        <v>2</v>
      </c>
      <c r="D1362">
        <v>0.159</v>
      </c>
      <c r="E1362">
        <v>4.319871</v>
      </c>
      <c r="F1362" t="s">
        <v>15</v>
      </c>
      <c r="G1362">
        <v>0.19</v>
      </c>
      <c r="H1362">
        <v>0.82077549000000005</v>
      </c>
      <c r="I1362" t="s">
        <v>55</v>
      </c>
      <c r="J1362">
        <v>0</v>
      </c>
      <c r="K1362">
        <v>0</v>
      </c>
      <c r="L1362" t="s">
        <v>38</v>
      </c>
      <c r="M1362">
        <v>0</v>
      </c>
      <c r="N1362">
        <v>0</v>
      </c>
    </row>
    <row r="1363" spans="1:14" x14ac:dyDescent="0.25">
      <c r="A1363" s="23">
        <v>44460</v>
      </c>
      <c r="B1363">
        <v>27.169</v>
      </c>
      <c r="C1363" t="s">
        <v>2</v>
      </c>
      <c r="D1363">
        <v>0.159</v>
      </c>
      <c r="E1363">
        <v>4.319871</v>
      </c>
      <c r="F1363" t="s">
        <v>15</v>
      </c>
      <c r="G1363">
        <v>0.19</v>
      </c>
      <c r="H1363">
        <v>0.82077549000000005</v>
      </c>
      <c r="J1363" t="s">
        <v>56</v>
      </c>
      <c r="L1363" t="s">
        <v>39</v>
      </c>
      <c r="M1363">
        <v>0</v>
      </c>
      <c r="N1363">
        <v>0</v>
      </c>
    </row>
    <row r="1364" spans="1:14" x14ac:dyDescent="0.25">
      <c r="A1364" s="23">
        <v>44461</v>
      </c>
      <c r="B1364">
        <v>27.169</v>
      </c>
      <c r="C1364" t="s">
        <v>2</v>
      </c>
      <c r="D1364">
        <v>0.159</v>
      </c>
      <c r="E1364">
        <v>4.319871</v>
      </c>
      <c r="F1364" t="s">
        <v>45</v>
      </c>
      <c r="G1364">
        <v>0.16899999999999998</v>
      </c>
      <c r="H1364">
        <v>0.73005819899999991</v>
      </c>
      <c r="I1364" t="s">
        <v>11</v>
      </c>
      <c r="J1364">
        <v>9.1999999999999998E-2</v>
      </c>
      <c r="K1364">
        <v>6.7165354307999997E-2</v>
      </c>
      <c r="L1364" t="s">
        <v>32</v>
      </c>
      <c r="M1364">
        <v>2.1000000000000001E-2</v>
      </c>
      <c r="N1364">
        <v>1.5331222178999999E-2</v>
      </c>
    </row>
    <row r="1365" spans="1:14" x14ac:dyDescent="0.25">
      <c r="A1365" s="23">
        <v>44462</v>
      </c>
      <c r="B1365">
        <v>27.169</v>
      </c>
      <c r="C1365" t="s">
        <v>2</v>
      </c>
      <c r="D1365">
        <v>0.159</v>
      </c>
      <c r="E1365">
        <v>4.319871</v>
      </c>
      <c r="F1365" t="s">
        <v>16</v>
      </c>
      <c r="G1365">
        <v>0.16899999999999998</v>
      </c>
      <c r="H1365">
        <v>0.73005819899999991</v>
      </c>
      <c r="I1365" t="s">
        <v>12</v>
      </c>
      <c r="J1365">
        <v>2.1000000000000001E-2</v>
      </c>
      <c r="K1365">
        <v>1.5331222178999999E-2</v>
      </c>
      <c r="L1365" t="s">
        <v>33</v>
      </c>
      <c r="M1365">
        <v>4.9000000000000002E-2</v>
      </c>
      <c r="N1365">
        <v>3.5772851751E-2</v>
      </c>
    </row>
    <row r="1366" spans="1:14" x14ac:dyDescent="0.25">
      <c r="A1366" s="23">
        <v>44463</v>
      </c>
      <c r="B1366">
        <v>27.169</v>
      </c>
      <c r="C1366" t="s">
        <v>2</v>
      </c>
      <c r="D1366">
        <v>0.159</v>
      </c>
      <c r="E1366">
        <v>4.319871</v>
      </c>
      <c r="F1366" t="s">
        <v>16</v>
      </c>
      <c r="G1366">
        <v>0.16899999999999998</v>
      </c>
      <c r="H1366">
        <v>0.73005819899999991</v>
      </c>
      <c r="I1366" t="s">
        <v>7</v>
      </c>
      <c r="J1366">
        <v>3.7999999999999999E-2</v>
      </c>
      <c r="K1366">
        <v>2.7742211561999994E-2</v>
      </c>
      <c r="L1366" t="s">
        <v>34</v>
      </c>
      <c r="M1366">
        <v>0.11599999999999999</v>
      </c>
      <c r="N1366">
        <v>8.4686751083999978E-2</v>
      </c>
    </row>
    <row r="1367" spans="1:14" x14ac:dyDescent="0.25">
      <c r="A1367" s="23">
        <v>44464</v>
      </c>
      <c r="B1367">
        <v>27.169</v>
      </c>
      <c r="C1367" t="s">
        <v>2</v>
      </c>
      <c r="D1367">
        <v>0.159</v>
      </c>
      <c r="E1367">
        <v>4.319871</v>
      </c>
      <c r="F1367" t="s">
        <v>16</v>
      </c>
      <c r="G1367">
        <v>0.16899999999999998</v>
      </c>
      <c r="H1367">
        <v>0.73005819899999991</v>
      </c>
      <c r="I1367" t="s">
        <v>8</v>
      </c>
      <c r="J1367">
        <v>0.22</v>
      </c>
      <c r="K1367">
        <v>0.16061280377999998</v>
      </c>
      <c r="L1367" t="s">
        <v>35</v>
      </c>
      <c r="M1367">
        <v>0.29799999999999999</v>
      </c>
      <c r="N1367">
        <v>0.21755734330199997</v>
      </c>
    </row>
    <row r="1368" spans="1:14" x14ac:dyDescent="0.25">
      <c r="A1368" s="23">
        <v>44465</v>
      </c>
      <c r="B1368">
        <v>27.169</v>
      </c>
      <c r="C1368" t="s">
        <v>2</v>
      </c>
      <c r="D1368">
        <v>0.159</v>
      </c>
      <c r="E1368">
        <v>4.319871</v>
      </c>
      <c r="F1368" t="s">
        <v>16</v>
      </c>
      <c r="G1368">
        <v>0.16899999999999998</v>
      </c>
      <c r="H1368">
        <v>0.73005819899999991</v>
      </c>
      <c r="I1368" t="s">
        <v>10</v>
      </c>
      <c r="J1368">
        <v>6.5000000000000002E-2</v>
      </c>
      <c r="K1368">
        <v>4.7453782934999994E-2</v>
      </c>
      <c r="L1368" t="s">
        <v>36</v>
      </c>
      <c r="M1368">
        <v>0.253</v>
      </c>
      <c r="N1368">
        <v>0.18470472434699997</v>
      </c>
    </row>
    <row r="1369" spans="1:14" x14ac:dyDescent="0.25">
      <c r="A1369" s="23">
        <v>44466</v>
      </c>
      <c r="B1369">
        <v>27.169</v>
      </c>
      <c r="C1369" t="s">
        <v>2</v>
      </c>
      <c r="D1369">
        <v>0.159</v>
      </c>
      <c r="E1369">
        <v>4.319871</v>
      </c>
      <c r="F1369" t="s">
        <v>16</v>
      </c>
      <c r="G1369">
        <v>0.16899999999999998</v>
      </c>
      <c r="H1369">
        <v>0.73005819899999991</v>
      </c>
      <c r="I1369" t="s">
        <v>9</v>
      </c>
      <c r="J1369">
        <v>0.55000000000000004</v>
      </c>
      <c r="K1369">
        <v>0.40153200945</v>
      </c>
      <c r="L1369" t="s">
        <v>37</v>
      </c>
      <c r="M1369">
        <v>0.252</v>
      </c>
      <c r="N1369">
        <v>0.18397466614799998</v>
      </c>
    </row>
    <row r="1370" spans="1:14" x14ac:dyDescent="0.25">
      <c r="A1370" s="23">
        <v>44467</v>
      </c>
      <c r="B1370">
        <v>27.169</v>
      </c>
      <c r="C1370" t="s">
        <v>2</v>
      </c>
      <c r="D1370">
        <v>0.159</v>
      </c>
      <c r="E1370">
        <v>4.319871</v>
      </c>
      <c r="F1370" t="s">
        <v>16</v>
      </c>
      <c r="G1370">
        <v>0.16899999999999998</v>
      </c>
      <c r="H1370">
        <v>0.73005819899999991</v>
      </c>
      <c r="I1370" t="s">
        <v>55</v>
      </c>
      <c r="J1370">
        <v>1.3000000000000001E-2</v>
      </c>
      <c r="K1370">
        <v>9.4907565870000002E-3</v>
      </c>
      <c r="L1370" t="s">
        <v>38</v>
      </c>
      <c r="M1370">
        <v>3.0000000000000001E-3</v>
      </c>
      <c r="N1370">
        <v>2.1901745969999998E-3</v>
      </c>
    </row>
    <row r="1371" spans="1:14" x14ac:dyDescent="0.25">
      <c r="A1371" s="23">
        <v>44468</v>
      </c>
      <c r="B1371">
        <v>27.169</v>
      </c>
      <c r="C1371" t="s">
        <v>2</v>
      </c>
      <c r="D1371">
        <v>0.159</v>
      </c>
      <c r="E1371">
        <v>4.319871</v>
      </c>
      <c r="F1371" t="s">
        <v>16</v>
      </c>
      <c r="G1371">
        <v>0.16899999999999998</v>
      </c>
      <c r="H1371">
        <v>0.73005819899999991</v>
      </c>
      <c r="L1371" t="s">
        <v>39</v>
      </c>
      <c r="M1371">
        <v>8.0000000000000002E-3</v>
      </c>
      <c r="N1371">
        <v>5.8404655919999998E-3</v>
      </c>
    </row>
    <row r="1372" spans="1:14" x14ac:dyDescent="0.25">
      <c r="A1372" s="23">
        <v>44469</v>
      </c>
      <c r="B1372">
        <v>27.169</v>
      </c>
      <c r="C1372" t="s">
        <v>2</v>
      </c>
      <c r="D1372">
        <v>0.159</v>
      </c>
      <c r="E1372">
        <v>4.319871</v>
      </c>
      <c r="F1372" t="s">
        <v>46</v>
      </c>
      <c r="G1372">
        <v>0.17399999999999999</v>
      </c>
      <c r="H1372">
        <v>0.75165755400000001</v>
      </c>
      <c r="I1372" t="s">
        <v>11</v>
      </c>
      <c r="J1372">
        <v>0.25900000000000001</v>
      </c>
      <c r="K1372">
        <v>0.19467930648600001</v>
      </c>
      <c r="L1372" t="s">
        <v>32</v>
      </c>
      <c r="M1372">
        <v>1.7000000000000001E-2</v>
      </c>
      <c r="N1372">
        <v>1.2778178418E-2</v>
      </c>
    </row>
    <row r="1373" spans="1:14" x14ac:dyDescent="0.25">
      <c r="A1373" s="23">
        <v>44470</v>
      </c>
      <c r="B1373">
        <v>27.169</v>
      </c>
      <c r="C1373" t="s">
        <v>2</v>
      </c>
      <c r="D1373">
        <v>0.159</v>
      </c>
      <c r="E1373">
        <v>4.319871</v>
      </c>
      <c r="F1373" t="s">
        <v>13</v>
      </c>
      <c r="G1373">
        <v>0.17399999999999999</v>
      </c>
      <c r="H1373">
        <v>0.75165755400000001</v>
      </c>
      <c r="I1373" t="s">
        <v>12</v>
      </c>
      <c r="J1373">
        <v>6.7000000000000004E-2</v>
      </c>
      <c r="K1373">
        <v>5.0361056118E-2</v>
      </c>
      <c r="L1373" t="s">
        <v>33</v>
      </c>
      <c r="M1373">
        <v>5.5999999999999994E-2</v>
      </c>
      <c r="N1373">
        <v>4.2092823023999998E-2</v>
      </c>
    </row>
    <row r="1374" spans="1:14" x14ac:dyDescent="0.25">
      <c r="A1374" s="23">
        <v>44471</v>
      </c>
      <c r="B1374">
        <v>27.169</v>
      </c>
      <c r="C1374" t="s">
        <v>2</v>
      </c>
      <c r="D1374">
        <v>0.159</v>
      </c>
      <c r="E1374">
        <v>4.319871</v>
      </c>
      <c r="F1374" t="s">
        <v>13</v>
      </c>
      <c r="G1374">
        <v>0.17399999999999999</v>
      </c>
      <c r="H1374">
        <v>0.75165755400000001</v>
      </c>
      <c r="I1374" t="s">
        <v>7</v>
      </c>
      <c r="J1374">
        <v>7.5999999999999998E-2</v>
      </c>
      <c r="K1374">
        <v>5.7125974103999999E-2</v>
      </c>
      <c r="L1374" t="s">
        <v>34</v>
      </c>
      <c r="M1374">
        <v>0.10099999999999999</v>
      </c>
      <c r="N1374">
        <v>7.5917412953999994E-2</v>
      </c>
    </row>
    <row r="1375" spans="1:14" x14ac:dyDescent="0.25">
      <c r="A1375" s="23">
        <v>44472</v>
      </c>
      <c r="B1375">
        <v>27.169</v>
      </c>
      <c r="C1375" t="s">
        <v>2</v>
      </c>
      <c r="D1375">
        <v>0.159</v>
      </c>
      <c r="E1375">
        <v>4.319871</v>
      </c>
      <c r="F1375" t="s">
        <v>13</v>
      </c>
      <c r="G1375">
        <v>0.17399999999999999</v>
      </c>
      <c r="H1375">
        <v>0.75165755400000001</v>
      </c>
      <c r="I1375" t="s">
        <v>8</v>
      </c>
      <c r="J1375">
        <v>0.32299999999999995</v>
      </c>
      <c r="K1375">
        <v>0.24278538994199997</v>
      </c>
      <c r="L1375" t="s">
        <v>35</v>
      </c>
      <c r="M1375">
        <v>0.313</v>
      </c>
      <c r="N1375">
        <v>0.23526881440200001</v>
      </c>
    </row>
    <row r="1376" spans="1:14" x14ac:dyDescent="0.25">
      <c r="A1376" s="23">
        <v>44473</v>
      </c>
      <c r="B1376">
        <v>27.169</v>
      </c>
      <c r="C1376" t="s">
        <v>2</v>
      </c>
      <c r="D1376">
        <v>0.159</v>
      </c>
      <c r="E1376">
        <v>4.319871</v>
      </c>
      <c r="F1376" t="s">
        <v>13</v>
      </c>
      <c r="G1376">
        <v>0.17399999999999999</v>
      </c>
      <c r="H1376">
        <v>0.75165755400000001</v>
      </c>
      <c r="I1376" t="s">
        <v>10</v>
      </c>
      <c r="J1376">
        <v>4.9000000000000002E-2</v>
      </c>
      <c r="K1376">
        <v>3.6831220146000002E-2</v>
      </c>
      <c r="L1376" t="s">
        <v>36</v>
      </c>
      <c r="M1376">
        <v>0.30099999999999999</v>
      </c>
      <c r="N1376" t="e">
        <v>#REF!</v>
      </c>
    </row>
    <row r="1377" spans="1:14" x14ac:dyDescent="0.25">
      <c r="A1377" s="23">
        <v>44474</v>
      </c>
      <c r="B1377">
        <v>27.169</v>
      </c>
      <c r="C1377" t="s">
        <v>2</v>
      </c>
      <c r="D1377">
        <v>0.159</v>
      </c>
      <c r="E1377">
        <v>4.319871</v>
      </c>
      <c r="F1377" t="s">
        <v>13</v>
      </c>
      <c r="G1377">
        <v>0.17399999999999999</v>
      </c>
      <c r="H1377">
        <v>0.75165755400000001</v>
      </c>
      <c r="I1377" t="s">
        <v>9</v>
      </c>
      <c r="J1377">
        <v>0.218</v>
      </c>
      <c r="K1377">
        <v>0.16386134677200001</v>
      </c>
      <c r="L1377" t="s">
        <v>37</v>
      </c>
      <c r="M1377">
        <v>0.188</v>
      </c>
      <c r="N1377">
        <v>0.22624892375399999</v>
      </c>
    </row>
    <row r="1378" spans="1:14" x14ac:dyDescent="0.25">
      <c r="A1378" s="23">
        <v>44475</v>
      </c>
      <c r="B1378">
        <v>27.169</v>
      </c>
      <c r="C1378" t="s">
        <v>2</v>
      </c>
      <c r="D1378">
        <v>0.159</v>
      </c>
      <c r="E1378">
        <v>4.319871</v>
      </c>
      <c r="F1378" t="s">
        <v>13</v>
      </c>
      <c r="G1378">
        <v>0.17399999999999999</v>
      </c>
      <c r="H1378">
        <v>0.75165755400000001</v>
      </c>
      <c r="I1378" t="s">
        <v>55</v>
      </c>
      <c r="J1378">
        <v>8.0000000000000002E-3</v>
      </c>
      <c r="L1378" t="s">
        <v>38</v>
      </c>
      <c r="M1378">
        <v>1.7000000000000001E-2</v>
      </c>
      <c r="N1378">
        <v>0.14131162015199999</v>
      </c>
    </row>
    <row r="1379" spans="1:14" x14ac:dyDescent="0.25">
      <c r="A1379" s="23">
        <v>44476</v>
      </c>
      <c r="B1379">
        <v>27.169</v>
      </c>
      <c r="C1379" t="s">
        <v>2</v>
      </c>
      <c r="D1379">
        <v>0.159</v>
      </c>
      <c r="E1379">
        <v>4.319871</v>
      </c>
      <c r="F1379" t="s">
        <v>13</v>
      </c>
      <c r="G1379">
        <v>0.17399999999999999</v>
      </c>
      <c r="H1379">
        <v>0.75165755400000001</v>
      </c>
      <c r="L1379" t="s">
        <v>39</v>
      </c>
      <c r="M1379">
        <v>6.9999999999999993E-3</v>
      </c>
      <c r="N1379">
        <v>1.2778178418E-2</v>
      </c>
    </row>
    <row r="1380" spans="1:14" x14ac:dyDescent="0.25">
      <c r="A1380" s="23">
        <v>44477</v>
      </c>
      <c r="B1380">
        <v>27.169</v>
      </c>
      <c r="C1380" t="s">
        <v>2</v>
      </c>
      <c r="D1380">
        <v>0.159</v>
      </c>
      <c r="E1380">
        <v>4.319871</v>
      </c>
      <c r="F1380" t="s">
        <v>47</v>
      </c>
      <c r="G1380">
        <v>0.10300000000000001</v>
      </c>
      <c r="H1380">
        <v>0.44494671300000005</v>
      </c>
      <c r="I1380" t="s">
        <v>11</v>
      </c>
      <c r="J1380">
        <v>0</v>
      </c>
      <c r="K1380">
        <v>0</v>
      </c>
      <c r="L1380" t="s">
        <v>32</v>
      </c>
      <c r="M1380">
        <v>0</v>
      </c>
      <c r="N1380">
        <v>0</v>
      </c>
    </row>
    <row r="1381" spans="1:14" x14ac:dyDescent="0.25">
      <c r="A1381" s="23">
        <v>44478</v>
      </c>
      <c r="B1381">
        <v>27.169</v>
      </c>
      <c r="C1381" t="s">
        <v>2</v>
      </c>
      <c r="D1381">
        <v>0.159</v>
      </c>
      <c r="E1381">
        <v>4.319871</v>
      </c>
      <c r="F1381" t="s">
        <v>17</v>
      </c>
      <c r="G1381">
        <v>0.10300000000000001</v>
      </c>
      <c r="H1381">
        <v>0.44494671300000005</v>
      </c>
      <c r="I1381" t="s">
        <v>12</v>
      </c>
      <c r="J1381">
        <v>0</v>
      </c>
      <c r="K1381">
        <v>0</v>
      </c>
      <c r="L1381" t="s">
        <v>33</v>
      </c>
      <c r="M1381">
        <v>0</v>
      </c>
      <c r="N1381">
        <v>0</v>
      </c>
    </row>
    <row r="1382" spans="1:14" x14ac:dyDescent="0.25">
      <c r="A1382" s="23">
        <v>44479</v>
      </c>
      <c r="B1382">
        <v>27.169</v>
      </c>
      <c r="C1382" t="s">
        <v>2</v>
      </c>
      <c r="D1382">
        <v>0.159</v>
      </c>
      <c r="E1382">
        <v>4.319871</v>
      </c>
      <c r="F1382" t="s">
        <v>17</v>
      </c>
      <c r="G1382">
        <v>0.10300000000000001</v>
      </c>
      <c r="H1382">
        <v>0.44494671300000005</v>
      </c>
      <c r="I1382" t="s">
        <v>7</v>
      </c>
      <c r="J1382">
        <v>0</v>
      </c>
      <c r="K1382">
        <v>0</v>
      </c>
      <c r="L1382" t="s">
        <v>34</v>
      </c>
      <c r="M1382">
        <v>8.1000000000000003E-2</v>
      </c>
      <c r="N1382">
        <v>3.6040683753000007E-2</v>
      </c>
    </row>
    <row r="1383" spans="1:14" x14ac:dyDescent="0.25">
      <c r="A1383" s="23">
        <v>44480</v>
      </c>
      <c r="B1383">
        <v>27.169</v>
      </c>
      <c r="C1383" t="s">
        <v>2</v>
      </c>
      <c r="D1383">
        <v>0.159</v>
      </c>
      <c r="E1383">
        <v>4.319871</v>
      </c>
      <c r="F1383" t="s">
        <v>17</v>
      </c>
      <c r="G1383">
        <v>0.10300000000000001</v>
      </c>
      <c r="H1383">
        <v>0.44494671300000005</v>
      </c>
      <c r="I1383" t="s">
        <v>8</v>
      </c>
      <c r="J1383">
        <v>0.48700000000000004</v>
      </c>
      <c r="K1383">
        <v>0.21668904923100005</v>
      </c>
      <c r="L1383" t="s">
        <v>35</v>
      </c>
      <c r="M1383">
        <v>0.21600000000000003</v>
      </c>
      <c r="N1383">
        <v>9.6108490008000022E-2</v>
      </c>
    </row>
    <row r="1384" spans="1:14" x14ac:dyDescent="0.25">
      <c r="A1384" s="23">
        <v>44481</v>
      </c>
      <c r="B1384">
        <v>27.169</v>
      </c>
      <c r="C1384" t="s">
        <v>2</v>
      </c>
      <c r="D1384">
        <v>0.159</v>
      </c>
      <c r="E1384">
        <v>4.319871</v>
      </c>
      <c r="F1384" t="s">
        <v>17</v>
      </c>
      <c r="G1384">
        <v>0.10300000000000001</v>
      </c>
      <c r="H1384">
        <v>0.44494671300000005</v>
      </c>
      <c r="I1384" t="s">
        <v>10</v>
      </c>
      <c r="J1384">
        <v>8.1000000000000003E-2</v>
      </c>
      <c r="K1384">
        <v>3.6040683753000007E-2</v>
      </c>
      <c r="L1384" t="s">
        <v>36</v>
      </c>
      <c r="M1384">
        <v>0.33799999999999997</v>
      </c>
      <c r="N1384">
        <v>0.150391988994</v>
      </c>
    </row>
    <row r="1385" spans="1:14" x14ac:dyDescent="0.25">
      <c r="A1385" s="23">
        <v>44482</v>
      </c>
      <c r="B1385">
        <v>27.169</v>
      </c>
      <c r="C1385" t="s">
        <v>2</v>
      </c>
      <c r="D1385">
        <v>0.159</v>
      </c>
      <c r="E1385">
        <v>4.319871</v>
      </c>
      <c r="F1385" t="s">
        <v>17</v>
      </c>
      <c r="G1385">
        <v>0.10300000000000001</v>
      </c>
      <c r="H1385">
        <v>0.44494671300000005</v>
      </c>
      <c r="I1385" t="s">
        <v>9</v>
      </c>
      <c r="J1385">
        <v>0.43200000000000005</v>
      </c>
      <c r="K1385">
        <v>0.19221698001600004</v>
      </c>
      <c r="L1385" t="s">
        <v>37</v>
      </c>
      <c r="M1385">
        <v>0.36499999999999999</v>
      </c>
      <c r="N1385">
        <v>0.162405550245</v>
      </c>
    </row>
    <row r="1386" spans="1:14" x14ac:dyDescent="0.25">
      <c r="A1386" s="23">
        <v>44483</v>
      </c>
      <c r="B1386">
        <v>27.169</v>
      </c>
      <c r="C1386" t="s">
        <v>2</v>
      </c>
      <c r="D1386">
        <v>0.159</v>
      </c>
      <c r="E1386">
        <v>4.319871</v>
      </c>
      <c r="F1386" t="s">
        <v>17</v>
      </c>
      <c r="G1386">
        <v>0.10300000000000001</v>
      </c>
      <c r="H1386">
        <v>0.44494671300000005</v>
      </c>
      <c r="I1386" t="s">
        <v>55</v>
      </c>
      <c r="J1386">
        <v>0</v>
      </c>
      <c r="L1386" t="s">
        <v>38</v>
      </c>
      <c r="M1386">
        <v>0</v>
      </c>
      <c r="N1386">
        <v>0</v>
      </c>
    </row>
    <row r="1387" spans="1:14" x14ac:dyDescent="0.25">
      <c r="A1387" s="23">
        <v>44484</v>
      </c>
      <c r="B1387">
        <v>27.169</v>
      </c>
      <c r="C1387" t="s">
        <v>2</v>
      </c>
      <c r="D1387">
        <v>0.159</v>
      </c>
      <c r="E1387">
        <v>4.319871</v>
      </c>
      <c r="F1387" t="s">
        <v>17</v>
      </c>
      <c r="G1387">
        <v>0.10300000000000001</v>
      </c>
      <c r="H1387">
        <v>0.44494671300000005</v>
      </c>
      <c r="L1387" t="s">
        <v>39</v>
      </c>
      <c r="M1387">
        <v>0</v>
      </c>
      <c r="N1387">
        <v>0</v>
      </c>
    </row>
    <row r="1388" spans="1:14" x14ac:dyDescent="0.25">
      <c r="A1388" s="23">
        <v>44485</v>
      </c>
      <c r="B1388">
        <v>27.169</v>
      </c>
      <c r="C1388" t="s">
        <v>2</v>
      </c>
      <c r="D1388">
        <v>0.159</v>
      </c>
      <c r="E1388">
        <v>4.319871</v>
      </c>
      <c r="F1388" t="s">
        <v>18</v>
      </c>
      <c r="G1388">
        <v>9.6000000000000002E-2</v>
      </c>
      <c r="H1388">
        <v>0.414707616</v>
      </c>
      <c r="I1388" t="s">
        <v>11</v>
      </c>
      <c r="J1388">
        <v>0.36599999999999999</v>
      </c>
      <c r="K1388">
        <v>0.151782987456</v>
      </c>
      <c r="L1388" t="s">
        <v>32</v>
      </c>
      <c r="M1388">
        <v>2.5000000000000001E-2</v>
      </c>
      <c r="N1388">
        <v>1.0367690400000001E-2</v>
      </c>
    </row>
    <row r="1389" spans="1:14" x14ac:dyDescent="0.25">
      <c r="A1389" s="23">
        <v>44486</v>
      </c>
      <c r="B1389">
        <v>27.169</v>
      </c>
      <c r="C1389" t="s">
        <v>2</v>
      </c>
      <c r="D1389">
        <v>0.159</v>
      </c>
      <c r="E1389">
        <v>4.319871</v>
      </c>
      <c r="F1389" t="s">
        <v>18</v>
      </c>
      <c r="G1389">
        <v>9.6000000000000002E-2</v>
      </c>
      <c r="H1389">
        <v>0.414707616</v>
      </c>
      <c r="I1389" t="s">
        <v>12</v>
      </c>
      <c r="J1389">
        <v>0.05</v>
      </c>
      <c r="K1389">
        <v>2.0735380800000001E-2</v>
      </c>
      <c r="L1389" t="s">
        <v>33</v>
      </c>
      <c r="M1389">
        <v>6.3E-2</v>
      </c>
      <c r="N1389">
        <v>2.6126579808000001E-2</v>
      </c>
    </row>
    <row r="1390" spans="1:14" x14ac:dyDescent="0.25">
      <c r="A1390" s="23">
        <v>44487</v>
      </c>
      <c r="B1390">
        <v>27.169</v>
      </c>
      <c r="C1390" t="s">
        <v>2</v>
      </c>
      <c r="D1390">
        <v>0.159</v>
      </c>
      <c r="E1390">
        <v>4.319871</v>
      </c>
      <c r="F1390" t="s">
        <v>18</v>
      </c>
      <c r="G1390">
        <v>9.6000000000000002E-2</v>
      </c>
      <c r="H1390">
        <v>0.414707616</v>
      </c>
      <c r="I1390" t="s">
        <v>7</v>
      </c>
      <c r="J1390">
        <v>5.5999999999999994E-2</v>
      </c>
      <c r="K1390">
        <v>2.3223626495999999E-2</v>
      </c>
      <c r="L1390" t="s">
        <v>34</v>
      </c>
      <c r="M1390">
        <v>0.10800000000000001</v>
      </c>
      <c r="N1390">
        <v>4.4788422528000006E-2</v>
      </c>
    </row>
    <row r="1391" spans="1:14" x14ac:dyDescent="0.25">
      <c r="A1391" s="23">
        <v>44488</v>
      </c>
      <c r="B1391">
        <v>27.169</v>
      </c>
      <c r="C1391" t="s">
        <v>2</v>
      </c>
      <c r="D1391">
        <v>0.159</v>
      </c>
      <c r="E1391">
        <v>4.319871</v>
      </c>
      <c r="F1391" t="s">
        <v>18</v>
      </c>
      <c r="G1391">
        <v>9.6000000000000002E-2</v>
      </c>
      <c r="H1391">
        <v>0.414707616</v>
      </c>
      <c r="I1391" t="s">
        <v>8</v>
      </c>
      <c r="J1391">
        <v>0.22899999999999998</v>
      </c>
      <c r="K1391">
        <v>2.0735380799999999E-3</v>
      </c>
      <c r="L1391" t="s">
        <v>35</v>
      </c>
      <c r="M1391">
        <v>0.32600000000000001</v>
      </c>
      <c r="N1391">
        <v>0.135194682816</v>
      </c>
    </row>
    <row r="1392" spans="1:14" x14ac:dyDescent="0.25">
      <c r="A1392" s="23">
        <v>44489</v>
      </c>
      <c r="B1392">
        <v>27.169</v>
      </c>
      <c r="C1392" t="s">
        <v>2</v>
      </c>
      <c r="D1392">
        <v>0.159</v>
      </c>
      <c r="E1392">
        <v>4.319871</v>
      </c>
      <c r="F1392" t="s">
        <v>18</v>
      </c>
      <c r="G1392">
        <v>9.6000000000000002E-2</v>
      </c>
      <c r="H1392">
        <v>0.414707616</v>
      </c>
      <c r="I1392" t="s">
        <v>10</v>
      </c>
      <c r="J1392">
        <v>4.8000000000000001E-2</v>
      </c>
      <c r="K1392">
        <v>9.4968044063999987E-2</v>
      </c>
      <c r="L1392" t="s">
        <v>36</v>
      </c>
      <c r="M1392">
        <v>0.27699999999999997</v>
      </c>
      <c r="N1392">
        <v>0.11487400963199999</v>
      </c>
    </row>
    <row r="1393" spans="1:14" x14ac:dyDescent="0.25">
      <c r="A1393" s="23">
        <v>44490</v>
      </c>
      <c r="B1393">
        <v>27.169</v>
      </c>
      <c r="C1393" t="s">
        <v>2</v>
      </c>
      <c r="D1393">
        <v>0.159</v>
      </c>
      <c r="E1393">
        <v>4.319871</v>
      </c>
      <c r="F1393" t="s">
        <v>48</v>
      </c>
      <c r="G1393">
        <v>9.6000000000000002E-2</v>
      </c>
      <c r="H1393">
        <v>0.414707616</v>
      </c>
      <c r="I1393" t="s">
        <v>9</v>
      </c>
      <c r="J1393">
        <v>0.245</v>
      </c>
      <c r="K1393">
        <v>0.10160336591999999</v>
      </c>
      <c r="L1393" t="s">
        <v>37</v>
      </c>
      <c r="M1393">
        <v>0.183</v>
      </c>
      <c r="N1393">
        <v>7.5891493727999998E-2</v>
      </c>
    </row>
    <row r="1394" spans="1:14" x14ac:dyDescent="0.25">
      <c r="A1394" s="23">
        <v>44491</v>
      </c>
      <c r="B1394">
        <v>27.169</v>
      </c>
      <c r="C1394" t="s">
        <v>2</v>
      </c>
      <c r="D1394">
        <v>0.159</v>
      </c>
      <c r="E1394">
        <v>4.319871</v>
      </c>
      <c r="F1394" t="s">
        <v>18</v>
      </c>
      <c r="G1394">
        <v>9.6000000000000002E-2</v>
      </c>
      <c r="H1394">
        <v>0.414707616</v>
      </c>
      <c r="I1394" t="s">
        <v>55</v>
      </c>
      <c r="J1394">
        <v>5.0000000000000001E-3</v>
      </c>
      <c r="L1394" t="s">
        <v>38</v>
      </c>
      <c r="M1394">
        <v>6.9999999999999993E-3</v>
      </c>
      <c r="N1394">
        <v>2.9029533119999998E-3</v>
      </c>
    </row>
    <row r="1395" spans="1:14" x14ac:dyDescent="0.25">
      <c r="A1395" s="23">
        <v>44492</v>
      </c>
      <c r="B1395">
        <v>27.169</v>
      </c>
      <c r="C1395" t="s">
        <v>2</v>
      </c>
      <c r="D1395">
        <v>0.159</v>
      </c>
      <c r="E1395">
        <v>4.319871</v>
      </c>
      <c r="F1395" t="s">
        <v>18</v>
      </c>
      <c r="G1395">
        <v>9.6000000000000002E-2</v>
      </c>
      <c r="H1395">
        <v>0.414707616</v>
      </c>
      <c r="L1395" t="s">
        <v>39</v>
      </c>
      <c r="M1395">
        <v>0.01</v>
      </c>
      <c r="N1395">
        <v>4.1470761599999998E-3</v>
      </c>
    </row>
    <row r="1396" spans="1:14" x14ac:dyDescent="0.25">
      <c r="A1396" s="23">
        <v>44493</v>
      </c>
      <c r="B1396">
        <v>27.169</v>
      </c>
      <c r="C1396" t="s">
        <v>19</v>
      </c>
      <c r="D1396">
        <v>0.84099999999999997</v>
      </c>
      <c r="E1396">
        <v>22.849129000000001</v>
      </c>
      <c r="F1396" t="s">
        <v>54</v>
      </c>
      <c r="G1396">
        <v>0.80099999999999993</v>
      </c>
      <c r="H1396">
        <v>18.302152328999998</v>
      </c>
      <c r="I1396" t="s">
        <v>11</v>
      </c>
      <c r="J1396">
        <v>0.11699999999999999</v>
      </c>
      <c r="K1396">
        <v>2.1413518224929997</v>
      </c>
      <c r="L1396" t="s">
        <v>32</v>
      </c>
      <c r="M1396">
        <v>3.5000000000000003E-2</v>
      </c>
      <c r="N1396">
        <v>0.64057533151500001</v>
      </c>
    </row>
    <row r="1397" spans="1:14" x14ac:dyDescent="0.25">
      <c r="A1397" s="23">
        <v>44494</v>
      </c>
      <c r="B1397">
        <v>27.169</v>
      </c>
      <c r="C1397" t="s">
        <v>19</v>
      </c>
      <c r="D1397">
        <v>0.84099999999999997</v>
      </c>
      <c r="E1397">
        <v>22.849129000000001</v>
      </c>
      <c r="F1397" t="s">
        <v>14</v>
      </c>
      <c r="G1397">
        <v>0.80099999999999993</v>
      </c>
      <c r="H1397">
        <v>18.302152328999998</v>
      </c>
      <c r="I1397" t="s">
        <v>12</v>
      </c>
      <c r="J1397">
        <v>0.127</v>
      </c>
      <c r="K1397">
        <v>2.324373345783</v>
      </c>
      <c r="L1397" t="s">
        <v>33</v>
      </c>
      <c r="M1397">
        <v>7.0999999999999994E-2</v>
      </c>
      <c r="N1397">
        <v>1.2994528153589997</v>
      </c>
    </row>
    <row r="1398" spans="1:14" x14ac:dyDescent="0.25">
      <c r="A1398" s="23">
        <v>44495</v>
      </c>
      <c r="B1398">
        <v>27.169</v>
      </c>
      <c r="C1398" t="s">
        <v>19</v>
      </c>
      <c r="D1398">
        <v>0.84099999999999997</v>
      </c>
      <c r="E1398">
        <v>22.849129000000001</v>
      </c>
      <c r="F1398" t="s">
        <v>14</v>
      </c>
      <c r="G1398">
        <v>0.80099999999999993</v>
      </c>
      <c r="H1398">
        <v>18.302152328999998</v>
      </c>
      <c r="I1398" t="s">
        <v>7</v>
      </c>
      <c r="J1398">
        <v>0.11800000000000001</v>
      </c>
      <c r="K1398">
        <v>2.1596539748220001</v>
      </c>
      <c r="L1398" t="s">
        <v>34</v>
      </c>
      <c r="M1398">
        <v>0.115</v>
      </c>
      <c r="N1398">
        <v>2.1047475178349999</v>
      </c>
    </row>
    <row r="1399" spans="1:14" x14ac:dyDescent="0.25">
      <c r="A1399" s="23">
        <v>44496</v>
      </c>
      <c r="B1399">
        <v>27.169</v>
      </c>
      <c r="C1399" t="s">
        <v>19</v>
      </c>
      <c r="D1399">
        <v>0.84099999999999997</v>
      </c>
      <c r="E1399">
        <v>22.849129000000001</v>
      </c>
      <c r="F1399" t="s">
        <v>14</v>
      </c>
      <c r="G1399">
        <v>0.80099999999999993</v>
      </c>
      <c r="H1399">
        <v>18.302152328999998</v>
      </c>
      <c r="I1399" t="s">
        <v>8</v>
      </c>
      <c r="J1399">
        <v>0.34600000000000003</v>
      </c>
      <c r="K1399">
        <v>6.3325447058339996</v>
      </c>
      <c r="L1399" t="s">
        <v>35</v>
      </c>
      <c r="M1399">
        <v>0.311</v>
      </c>
      <c r="N1399">
        <v>5.6919693743189992</v>
      </c>
    </row>
    <row r="1400" spans="1:14" x14ac:dyDescent="0.25">
      <c r="A1400" s="23">
        <v>44497</v>
      </c>
      <c r="B1400">
        <v>27.169</v>
      </c>
      <c r="C1400" t="s">
        <v>19</v>
      </c>
      <c r="D1400">
        <v>0.84099999999999997</v>
      </c>
      <c r="E1400">
        <v>22.849129000000001</v>
      </c>
      <c r="F1400" t="s">
        <v>14</v>
      </c>
      <c r="G1400">
        <v>0.80099999999999993</v>
      </c>
      <c r="H1400">
        <v>18.302152328999998</v>
      </c>
      <c r="I1400" t="s">
        <v>10</v>
      </c>
      <c r="J1400">
        <v>4.5999999999999999E-2</v>
      </c>
      <c r="K1400">
        <v>0.8418990071339999</v>
      </c>
      <c r="L1400" t="s">
        <v>36</v>
      </c>
      <c r="M1400">
        <v>0.248</v>
      </c>
      <c r="N1400">
        <v>4.5389337775919998</v>
      </c>
    </row>
    <row r="1401" spans="1:14" x14ac:dyDescent="0.25">
      <c r="A1401" s="23">
        <v>44498</v>
      </c>
      <c r="B1401">
        <v>27.169</v>
      </c>
      <c r="C1401" t="s">
        <v>19</v>
      </c>
      <c r="D1401">
        <v>0.84099999999999997</v>
      </c>
      <c r="E1401">
        <v>22.849129000000001</v>
      </c>
      <c r="F1401" t="s">
        <v>14</v>
      </c>
      <c r="G1401">
        <v>0.80099999999999993</v>
      </c>
      <c r="H1401">
        <v>18.302152328999998</v>
      </c>
      <c r="I1401" t="s">
        <v>9</v>
      </c>
      <c r="J1401">
        <v>0.23100000000000001</v>
      </c>
      <c r="K1401">
        <v>0.27453228493499998</v>
      </c>
      <c r="L1401" t="s">
        <v>37</v>
      </c>
      <c r="M1401">
        <v>0.17800000000000002</v>
      </c>
      <c r="N1401">
        <v>3.2577831145620002</v>
      </c>
    </row>
    <row r="1402" spans="1:14" x14ac:dyDescent="0.25">
      <c r="A1402" s="23">
        <v>44499</v>
      </c>
      <c r="B1402">
        <v>27.169</v>
      </c>
      <c r="C1402" t="s">
        <v>19</v>
      </c>
      <c r="D1402">
        <v>0.84099999999999997</v>
      </c>
      <c r="E1402">
        <v>22.849129000000001</v>
      </c>
      <c r="F1402" t="s">
        <v>14</v>
      </c>
      <c r="G1402">
        <v>0.80099999999999993</v>
      </c>
      <c r="H1402">
        <v>18.302152328999998</v>
      </c>
      <c r="I1402" t="s">
        <v>55</v>
      </c>
      <c r="J1402">
        <v>1.4999999999999999E-2</v>
      </c>
      <c r="L1402" t="s">
        <v>38</v>
      </c>
      <c r="M1402">
        <v>2.7000000000000003E-2</v>
      </c>
      <c r="N1402">
        <v>0.49415811288299999</v>
      </c>
    </row>
    <row r="1403" spans="1:14" x14ac:dyDescent="0.25">
      <c r="A1403" s="23">
        <v>44500</v>
      </c>
      <c r="B1403">
        <v>27.169</v>
      </c>
      <c r="C1403" t="s">
        <v>19</v>
      </c>
      <c r="D1403">
        <v>0.84099999999999997</v>
      </c>
      <c r="E1403">
        <v>22.849129000000001</v>
      </c>
      <c r="F1403" t="s">
        <v>14</v>
      </c>
      <c r="G1403">
        <v>0.80099999999999993</v>
      </c>
      <c r="H1403">
        <v>18.302152328999998</v>
      </c>
      <c r="L1403" t="s">
        <v>39</v>
      </c>
      <c r="M1403">
        <v>1.6E-2</v>
      </c>
      <c r="N1403">
        <v>0.29283443726399999</v>
      </c>
    </row>
    <row r="1404" spans="1:14" x14ac:dyDescent="0.25">
      <c r="A1404" s="23">
        <v>44501</v>
      </c>
      <c r="B1404">
        <v>27.169</v>
      </c>
      <c r="C1404" t="s">
        <v>19</v>
      </c>
      <c r="D1404">
        <v>0.84099999999999997</v>
      </c>
      <c r="E1404">
        <v>22.849129000000001</v>
      </c>
      <c r="F1404" t="s">
        <v>52</v>
      </c>
      <c r="G1404">
        <v>0.81</v>
      </c>
      <c r="H1404">
        <v>18.507794490000002</v>
      </c>
      <c r="I1404" t="s">
        <v>11</v>
      </c>
      <c r="J1404">
        <v>9.9000000000000005E-2</v>
      </c>
      <c r="K1404">
        <v>1.8322716545100002</v>
      </c>
      <c r="L1404" t="s">
        <v>32</v>
      </c>
      <c r="M1404">
        <v>8.0000000000000002E-3</v>
      </c>
      <c r="N1404">
        <v>0.14806235592000003</v>
      </c>
    </row>
    <row r="1405" spans="1:14" x14ac:dyDescent="0.25">
      <c r="A1405" s="23">
        <v>44502</v>
      </c>
      <c r="B1405">
        <v>27.169</v>
      </c>
      <c r="C1405" t="s">
        <v>19</v>
      </c>
      <c r="D1405">
        <v>0.84099999999999997</v>
      </c>
      <c r="E1405">
        <v>22.849129000000001</v>
      </c>
      <c r="F1405" t="s">
        <v>15</v>
      </c>
      <c r="G1405">
        <v>0.81</v>
      </c>
      <c r="H1405">
        <v>18.507794490000002</v>
      </c>
      <c r="I1405" t="s">
        <v>12</v>
      </c>
      <c r="J1405">
        <v>6.9000000000000006E-2</v>
      </c>
      <c r="K1405">
        <v>1.2770378198100003</v>
      </c>
      <c r="L1405" t="s">
        <v>33</v>
      </c>
      <c r="M1405">
        <v>5.4000000000000006E-2</v>
      </c>
      <c r="N1405">
        <v>0.99942090246000026</v>
      </c>
    </row>
    <row r="1406" spans="1:14" x14ac:dyDescent="0.25">
      <c r="A1406" s="23">
        <v>44503</v>
      </c>
      <c r="B1406">
        <v>27.169</v>
      </c>
      <c r="C1406" t="s">
        <v>19</v>
      </c>
      <c r="D1406">
        <v>0.84099999999999997</v>
      </c>
      <c r="E1406">
        <v>22.849129000000001</v>
      </c>
      <c r="F1406" t="s">
        <v>15</v>
      </c>
      <c r="G1406">
        <v>0.81</v>
      </c>
      <c r="H1406">
        <v>18.507794490000002</v>
      </c>
      <c r="I1406" t="s">
        <v>7</v>
      </c>
      <c r="J1406">
        <v>0.105</v>
      </c>
      <c r="K1406">
        <v>1.9433184214500001</v>
      </c>
      <c r="L1406" t="s">
        <v>34</v>
      </c>
      <c r="M1406">
        <v>0.12</v>
      </c>
      <c r="N1406">
        <v>2.2209353387999999</v>
      </c>
    </row>
    <row r="1407" spans="1:14" x14ac:dyDescent="0.25">
      <c r="A1407" s="23">
        <v>44504</v>
      </c>
      <c r="B1407">
        <v>27.169</v>
      </c>
      <c r="C1407" t="s">
        <v>19</v>
      </c>
      <c r="D1407">
        <v>0.84099999999999997</v>
      </c>
      <c r="E1407">
        <v>22.849129000000001</v>
      </c>
      <c r="F1407" t="s">
        <v>15</v>
      </c>
      <c r="G1407">
        <v>0.81</v>
      </c>
      <c r="H1407">
        <v>18.507794490000002</v>
      </c>
      <c r="I1407" t="s">
        <v>8</v>
      </c>
      <c r="J1407">
        <v>0.371</v>
      </c>
      <c r="K1407">
        <v>6.8663917557900005</v>
      </c>
      <c r="L1407" t="s">
        <v>35</v>
      </c>
      <c r="M1407">
        <v>0.36</v>
      </c>
      <c r="N1407">
        <v>6.6628060164000003</v>
      </c>
    </row>
    <row r="1408" spans="1:14" x14ac:dyDescent="0.25">
      <c r="A1408" s="23">
        <v>44505</v>
      </c>
      <c r="B1408">
        <v>27.169</v>
      </c>
      <c r="C1408" t="s">
        <v>19</v>
      </c>
      <c r="D1408">
        <v>0.84099999999999997</v>
      </c>
      <c r="E1408">
        <v>22.849129000000001</v>
      </c>
      <c r="F1408" t="s">
        <v>15</v>
      </c>
      <c r="G1408">
        <v>0.81</v>
      </c>
      <c r="H1408">
        <v>18.507794490000002</v>
      </c>
      <c r="I1408" t="s">
        <v>10</v>
      </c>
      <c r="J1408">
        <v>6.5000000000000002E-2</v>
      </c>
      <c r="K1408">
        <v>1.2030066418500003</v>
      </c>
      <c r="L1408" t="s">
        <v>36</v>
      </c>
      <c r="M1408">
        <v>0.30199999999999999</v>
      </c>
      <c r="N1408">
        <v>5.5893539359800002</v>
      </c>
    </row>
    <row r="1409" spans="1:14" x14ac:dyDescent="0.25">
      <c r="A1409" s="23">
        <v>44506</v>
      </c>
      <c r="B1409">
        <v>27.169</v>
      </c>
      <c r="C1409" t="s">
        <v>19</v>
      </c>
      <c r="D1409">
        <v>0.84099999999999997</v>
      </c>
      <c r="E1409">
        <v>22.849129000000001</v>
      </c>
      <c r="F1409" t="s">
        <v>15</v>
      </c>
      <c r="G1409">
        <v>0.81</v>
      </c>
      <c r="H1409">
        <v>18.507794490000002</v>
      </c>
      <c r="I1409" t="s">
        <v>9</v>
      </c>
      <c r="J1409">
        <v>0.28999999999999998</v>
      </c>
      <c r="K1409">
        <v>5.3672604021000003</v>
      </c>
      <c r="L1409" t="s">
        <v>37</v>
      </c>
      <c r="M1409">
        <v>0.13500000000000001</v>
      </c>
      <c r="N1409">
        <v>2.4985522561500004</v>
      </c>
    </row>
    <row r="1410" spans="1:14" x14ac:dyDescent="0.25">
      <c r="A1410" s="23">
        <v>44507</v>
      </c>
      <c r="B1410">
        <v>27.169</v>
      </c>
      <c r="C1410" t="s">
        <v>19</v>
      </c>
      <c r="D1410">
        <v>0.84099999999999997</v>
      </c>
      <c r="E1410">
        <v>22.849129000000001</v>
      </c>
      <c r="F1410" t="s">
        <v>15</v>
      </c>
      <c r="G1410">
        <v>0.81</v>
      </c>
      <c r="H1410">
        <v>18.507794490000002</v>
      </c>
      <c r="I1410" t="s">
        <v>55</v>
      </c>
      <c r="J1410">
        <v>0</v>
      </c>
      <c r="L1410" t="s">
        <v>38</v>
      </c>
      <c r="M1410">
        <v>2.1000000000000001E-2</v>
      </c>
      <c r="N1410">
        <v>0.38866368429000009</v>
      </c>
    </row>
    <row r="1411" spans="1:14" x14ac:dyDescent="0.25">
      <c r="A1411" s="23">
        <v>44508</v>
      </c>
      <c r="B1411">
        <v>27.169</v>
      </c>
      <c r="C1411" t="s">
        <v>19</v>
      </c>
      <c r="D1411">
        <v>0.84099999999999997</v>
      </c>
      <c r="E1411">
        <v>22.849129000000001</v>
      </c>
      <c r="F1411" t="s">
        <v>15</v>
      </c>
      <c r="G1411">
        <v>0.81</v>
      </c>
      <c r="H1411">
        <v>18.507794490000002</v>
      </c>
      <c r="L1411" t="s">
        <v>39</v>
      </c>
      <c r="M1411">
        <v>0</v>
      </c>
      <c r="N1411">
        <v>0</v>
      </c>
    </row>
    <row r="1412" spans="1:14" x14ac:dyDescent="0.25">
      <c r="A1412" s="23">
        <v>44509</v>
      </c>
      <c r="B1412">
        <v>27.169</v>
      </c>
      <c r="C1412" t="s">
        <v>19</v>
      </c>
      <c r="D1412">
        <v>0.84099999999999997</v>
      </c>
      <c r="E1412">
        <v>22.849129000000001</v>
      </c>
      <c r="F1412" t="s">
        <v>53</v>
      </c>
      <c r="G1412">
        <v>0.83099999999999996</v>
      </c>
      <c r="H1412">
        <v>18.987626199000001</v>
      </c>
      <c r="I1412" t="s">
        <v>11</v>
      </c>
      <c r="J1412">
        <v>0.13300000000000001</v>
      </c>
      <c r="K1412">
        <v>2.5253542844670003</v>
      </c>
      <c r="L1412" t="s">
        <v>32</v>
      </c>
      <c r="M1412">
        <v>4.4000000000000004E-2</v>
      </c>
      <c r="N1412">
        <v>0.83545555275600014</v>
      </c>
    </row>
    <row r="1413" spans="1:14" x14ac:dyDescent="0.25">
      <c r="A1413" s="23">
        <v>44510</v>
      </c>
      <c r="B1413">
        <v>27.169</v>
      </c>
      <c r="C1413" t="s">
        <v>19</v>
      </c>
      <c r="D1413">
        <v>0.84099999999999997</v>
      </c>
      <c r="E1413">
        <v>22.849129000000001</v>
      </c>
      <c r="F1413" t="s">
        <v>16</v>
      </c>
      <c r="G1413">
        <v>0.83099999999999996</v>
      </c>
      <c r="H1413">
        <v>18.987626199000001</v>
      </c>
      <c r="I1413" t="s">
        <v>12</v>
      </c>
      <c r="J1413">
        <v>0.1</v>
      </c>
      <c r="K1413">
        <v>1.8987626199000003</v>
      </c>
      <c r="L1413" t="s">
        <v>33</v>
      </c>
      <c r="M1413">
        <v>9.0999999999999998E-2</v>
      </c>
      <c r="N1413">
        <v>1.7278739841090001</v>
      </c>
    </row>
    <row r="1414" spans="1:14" x14ac:dyDescent="0.25">
      <c r="A1414" s="23">
        <v>44511</v>
      </c>
      <c r="B1414">
        <v>27.169</v>
      </c>
      <c r="C1414" t="s">
        <v>19</v>
      </c>
      <c r="D1414">
        <v>0.84099999999999997</v>
      </c>
      <c r="E1414">
        <v>22.849129000000001</v>
      </c>
      <c r="F1414" t="s">
        <v>16</v>
      </c>
      <c r="G1414">
        <v>0.83099999999999996</v>
      </c>
      <c r="H1414">
        <v>18.987626199000001</v>
      </c>
      <c r="I1414" t="s">
        <v>7</v>
      </c>
      <c r="J1414">
        <v>0.111</v>
      </c>
      <c r="K1414">
        <v>2.107626508089</v>
      </c>
      <c r="L1414" t="s">
        <v>34</v>
      </c>
      <c r="M1414">
        <v>0.13699999999999998</v>
      </c>
      <c r="N1414">
        <v>2.6013047892629997</v>
      </c>
    </row>
    <row r="1415" spans="1:14" x14ac:dyDescent="0.25">
      <c r="A1415" s="23">
        <v>44512</v>
      </c>
      <c r="B1415">
        <v>27.169</v>
      </c>
      <c r="C1415" t="s">
        <v>19</v>
      </c>
      <c r="D1415">
        <v>0.84099999999999997</v>
      </c>
      <c r="E1415">
        <v>22.849129000000001</v>
      </c>
      <c r="F1415" t="s">
        <v>16</v>
      </c>
      <c r="G1415">
        <v>0.83099999999999996</v>
      </c>
      <c r="H1415">
        <v>18.987626199000001</v>
      </c>
      <c r="I1415" t="s">
        <v>8</v>
      </c>
      <c r="J1415">
        <v>0.37</v>
      </c>
      <c r="K1415">
        <v>7.0254216936300002</v>
      </c>
      <c r="L1415" t="s">
        <v>35</v>
      </c>
      <c r="M1415">
        <v>0.29399999999999998</v>
      </c>
      <c r="N1415">
        <v>5.582362102506</v>
      </c>
    </row>
    <row r="1416" spans="1:14" x14ac:dyDescent="0.25">
      <c r="A1416" s="23">
        <v>44513</v>
      </c>
      <c r="B1416">
        <v>27.169</v>
      </c>
      <c r="C1416" t="s">
        <v>19</v>
      </c>
      <c r="D1416">
        <v>0.84099999999999997</v>
      </c>
      <c r="E1416">
        <v>22.849129000000001</v>
      </c>
      <c r="F1416" t="s">
        <v>16</v>
      </c>
      <c r="G1416">
        <v>0.83099999999999996</v>
      </c>
      <c r="H1416">
        <v>18.987626199000001</v>
      </c>
      <c r="I1416" t="s">
        <v>10</v>
      </c>
      <c r="J1416">
        <v>4.4000000000000004E-2</v>
      </c>
      <c r="K1416">
        <v>0.83545555275600014</v>
      </c>
      <c r="L1416" t="s">
        <v>36</v>
      </c>
      <c r="M1416">
        <v>0.22800000000000001</v>
      </c>
      <c r="N1416">
        <v>4.329178773372</v>
      </c>
    </row>
    <row r="1417" spans="1:14" x14ac:dyDescent="0.25">
      <c r="A1417" s="23">
        <v>44514</v>
      </c>
      <c r="B1417">
        <v>27.169</v>
      </c>
      <c r="C1417" t="s">
        <v>19</v>
      </c>
      <c r="D1417">
        <v>0.84099999999999997</v>
      </c>
      <c r="E1417">
        <v>22.849129000000001</v>
      </c>
      <c r="F1417" t="s">
        <v>16</v>
      </c>
      <c r="G1417">
        <v>0.83099999999999996</v>
      </c>
      <c r="H1417">
        <v>18.987626199000001</v>
      </c>
      <c r="I1417" t="s">
        <v>9</v>
      </c>
      <c r="J1417">
        <v>0.22600000000000001</v>
      </c>
      <c r="K1417">
        <v>4.2912035209740003</v>
      </c>
      <c r="L1417" t="s">
        <v>37</v>
      </c>
      <c r="M1417">
        <v>0.16600000000000001</v>
      </c>
      <c r="N1417">
        <v>3.1519459490340003</v>
      </c>
    </row>
    <row r="1418" spans="1:14" x14ac:dyDescent="0.25">
      <c r="A1418" s="23">
        <v>44515</v>
      </c>
      <c r="B1418">
        <v>27.169</v>
      </c>
      <c r="C1418" t="s">
        <v>19</v>
      </c>
      <c r="D1418">
        <v>0.84099999999999997</v>
      </c>
      <c r="E1418">
        <v>22.849129000000001</v>
      </c>
      <c r="F1418" t="s">
        <v>16</v>
      </c>
      <c r="G1418">
        <v>0.83099999999999996</v>
      </c>
      <c r="H1418">
        <v>18.987626199000001</v>
      </c>
      <c r="I1418" t="s">
        <v>55</v>
      </c>
      <c r="J1418">
        <v>1.6E-2</v>
      </c>
      <c r="L1418" t="s">
        <v>38</v>
      </c>
      <c r="M1418">
        <v>2.6000000000000002E-2</v>
      </c>
      <c r="N1418">
        <v>0.49367828117400009</v>
      </c>
    </row>
    <row r="1419" spans="1:14" x14ac:dyDescent="0.25">
      <c r="A1419" s="23">
        <v>44516</v>
      </c>
      <c r="B1419">
        <v>27.169</v>
      </c>
      <c r="C1419" t="s">
        <v>19</v>
      </c>
      <c r="D1419">
        <v>0.84099999999999997</v>
      </c>
      <c r="E1419">
        <v>22.849129000000001</v>
      </c>
      <c r="F1419" t="s">
        <v>16</v>
      </c>
      <c r="G1419">
        <v>0.83099999999999996</v>
      </c>
      <c r="H1419">
        <v>18.987626199000001</v>
      </c>
      <c r="L1419" t="s">
        <v>39</v>
      </c>
      <c r="M1419">
        <v>1.3999999999999999E-2</v>
      </c>
      <c r="N1419">
        <v>0.26582676678599998</v>
      </c>
    </row>
    <row r="1420" spans="1:14" x14ac:dyDescent="0.25">
      <c r="A1420" s="23">
        <v>44517</v>
      </c>
      <c r="B1420">
        <v>27.169</v>
      </c>
      <c r="C1420" t="s">
        <v>19</v>
      </c>
      <c r="D1420">
        <v>0.84099999999999997</v>
      </c>
      <c r="E1420">
        <v>22.849129000000001</v>
      </c>
      <c r="F1420" t="s">
        <v>51</v>
      </c>
      <c r="G1420">
        <v>0.82599999999999996</v>
      </c>
      <c r="H1420">
        <v>18.873380554000001</v>
      </c>
      <c r="I1420" t="s">
        <v>11</v>
      </c>
      <c r="J1420">
        <v>0.16899999999999998</v>
      </c>
      <c r="K1420">
        <v>3.189601313626</v>
      </c>
      <c r="L1420" t="s">
        <v>32</v>
      </c>
      <c r="M1420">
        <v>4.8000000000000001E-2</v>
      </c>
      <c r="N1420">
        <v>0.90592226659200004</v>
      </c>
    </row>
    <row r="1421" spans="1:14" x14ac:dyDescent="0.25">
      <c r="A1421" s="23">
        <v>44518</v>
      </c>
      <c r="B1421">
        <v>27.169</v>
      </c>
      <c r="C1421" t="s">
        <v>19</v>
      </c>
      <c r="D1421">
        <v>0.84099999999999997</v>
      </c>
      <c r="E1421">
        <v>22.849129000000001</v>
      </c>
      <c r="F1421" t="s">
        <v>13</v>
      </c>
      <c r="G1421">
        <v>0.82599999999999996</v>
      </c>
      <c r="H1421">
        <v>18.873380554000001</v>
      </c>
      <c r="I1421" t="s">
        <v>12</v>
      </c>
      <c r="J1421">
        <v>0.11199999999999999</v>
      </c>
      <c r="K1421">
        <v>2.113818622048</v>
      </c>
      <c r="L1421" t="s">
        <v>33</v>
      </c>
      <c r="M1421">
        <v>9.3000000000000013E-2</v>
      </c>
      <c r="N1421">
        <v>1.7552243915220003</v>
      </c>
    </row>
    <row r="1422" spans="1:14" x14ac:dyDescent="0.25">
      <c r="A1422" s="23">
        <v>44519</v>
      </c>
      <c r="B1422">
        <v>27.169</v>
      </c>
      <c r="C1422" t="s">
        <v>19</v>
      </c>
      <c r="D1422">
        <v>0.84099999999999997</v>
      </c>
      <c r="E1422">
        <v>22.849129000000001</v>
      </c>
      <c r="F1422" t="s">
        <v>13</v>
      </c>
      <c r="G1422">
        <v>0.82599999999999996</v>
      </c>
      <c r="H1422">
        <v>18.873380554000001</v>
      </c>
      <c r="I1422" t="s">
        <v>7</v>
      </c>
      <c r="J1422">
        <v>0.14499999999999999</v>
      </c>
      <c r="K1422">
        <v>2.7366401803299998</v>
      </c>
      <c r="L1422" t="s">
        <v>34</v>
      </c>
      <c r="M1422">
        <v>0.107</v>
      </c>
      <c r="N1422">
        <v>2.0194517192779999</v>
      </c>
    </row>
    <row r="1423" spans="1:14" x14ac:dyDescent="0.25">
      <c r="A1423" s="23">
        <v>44520</v>
      </c>
      <c r="B1423">
        <v>27.169</v>
      </c>
      <c r="C1423" t="s">
        <v>19</v>
      </c>
      <c r="D1423">
        <v>0.84099999999999997</v>
      </c>
      <c r="E1423">
        <v>22.849129000000001</v>
      </c>
      <c r="F1423" t="s">
        <v>13</v>
      </c>
      <c r="G1423">
        <v>0.82599999999999996</v>
      </c>
      <c r="H1423">
        <v>18.873380554000001</v>
      </c>
      <c r="I1423" t="s">
        <v>8</v>
      </c>
      <c r="J1423">
        <v>0.377</v>
      </c>
      <c r="K1423">
        <v>7.1152644688580002</v>
      </c>
      <c r="L1423" t="s">
        <v>35</v>
      </c>
      <c r="M1423">
        <v>0.30399999999999999</v>
      </c>
      <c r="N1423">
        <v>5.7375076884159997</v>
      </c>
    </row>
    <row r="1424" spans="1:14" x14ac:dyDescent="0.25">
      <c r="A1424" s="23">
        <v>44521</v>
      </c>
      <c r="B1424">
        <v>27.169</v>
      </c>
      <c r="C1424" t="s">
        <v>19</v>
      </c>
      <c r="D1424">
        <v>0.84099999999999997</v>
      </c>
      <c r="E1424">
        <v>22.849129000000001</v>
      </c>
      <c r="F1424" t="s">
        <v>13</v>
      </c>
      <c r="G1424">
        <v>0.82599999999999996</v>
      </c>
      <c r="H1424">
        <v>18.873380554000001</v>
      </c>
      <c r="I1424" t="s">
        <v>10</v>
      </c>
      <c r="J1424">
        <v>3.6000000000000004E-2</v>
      </c>
      <c r="K1424">
        <v>0.67944169994400005</v>
      </c>
      <c r="L1424" t="s">
        <v>36</v>
      </c>
      <c r="M1424">
        <v>0.23</v>
      </c>
      <c r="N1424">
        <v>4.34087752742</v>
      </c>
    </row>
    <row r="1425" spans="1:14" x14ac:dyDescent="0.25">
      <c r="A1425" s="23">
        <v>44522</v>
      </c>
      <c r="B1425">
        <v>27.169</v>
      </c>
      <c r="C1425" t="s">
        <v>19</v>
      </c>
      <c r="D1425">
        <v>0.84099999999999997</v>
      </c>
      <c r="E1425">
        <v>22.849129000000001</v>
      </c>
      <c r="F1425" t="s">
        <v>13</v>
      </c>
      <c r="G1425">
        <v>0.82599999999999996</v>
      </c>
      <c r="H1425">
        <v>18.873380554000001</v>
      </c>
      <c r="I1425" t="s">
        <v>9</v>
      </c>
      <c r="J1425">
        <v>0.14000000000000001</v>
      </c>
      <c r="K1425">
        <v>2.6422732775600002</v>
      </c>
      <c r="L1425" t="s">
        <v>37</v>
      </c>
      <c r="M1425">
        <v>0.16300000000000001</v>
      </c>
      <c r="N1425">
        <v>3.0763610303020004</v>
      </c>
    </row>
    <row r="1426" spans="1:14" x14ac:dyDescent="0.25">
      <c r="A1426" s="23">
        <v>44523</v>
      </c>
      <c r="B1426">
        <v>27.169</v>
      </c>
      <c r="C1426" t="s">
        <v>19</v>
      </c>
      <c r="D1426">
        <v>0.84099999999999997</v>
      </c>
      <c r="E1426">
        <v>22.849129000000001</v>
      </c>
      <c r="F1426" t="s">
        <v>13</v>
      </c>
      <c r="G1426">
        <v>0.82599999999999996</v>
      </c>
      <c r="H1426">
        <v>18.873380554000001</v>
      </c>
      <c r="I1426" t="s">
        <v>55</v>
      </c>
      <c r="J1426">
        <v>2.2000000000000002E-2</v>
      </c>
      <c r="L1426" t="s">
        <v>38</v>
      </c>
      <c r="M1426">
        <v>3.3000000000000002E-2</v>
      </c>
      <c r="N1426">
        <v>0.62282155828200003</v>
      </c>
    </row>
    <row r="1427" spans="1:14" x14ac:dyDescent="0.25">
      <c r="A1427" s="23">
        <v>44524</v>
      </c>
      <c r="B1427">
        <v>27.169</v>
      </c>
      <c r="C1427" t="s">
        <v>19</v>
      </c>
      <c r="D1427">
        <v>0.84099999999999997</v>
      </c>
      <c r="E1427">
        <v>22.849129000000001</v>
      </c>
      <c r="F1427" t="s">
        <v>13</v>
      </c>
      <c r="G1427">
        <v>0.82599999999999996</v>
      </c>
      <c r="H1427">
        <v>18.873380554000001</v>
      </c>
      <c r="L1427" t="s">
        <v>39</v>
      </c>
      <c r="M1427">
        <v>2.3E-2</v>
      </c>
      <c r="N1427">
        <v>0.43408775274200001</v>
      </c>
    </row>
    <row r="1428" spans="1:14" x14ac:dyDescent="0.25">
      <c r="A1428" s="23">
        <v>44525</v>
      </c>
      <c r="B1428">
        <v>27.169</v>
      </c>
      <c r="C1428" t="s">
        <v>19</v>
      </c>
      <c r="D1428">
        <v>0.84099999999999997</v>
      </c>
      <c r="E1428">
        <v>22.849129000000001</v>
      </c>
      <c r="F1428" t="s">
        <v>50</v>
      </c>
      <c r="G1428">
        <v>0.89700000000000002</v>
      </c>
      <c r="H1428">
        <v>20.495668713000001</v>
      </c>
      <c r="I1428" t="s">
        <v>11</v>
      </c>
      <c r="J1428">
        <v>0.26500000000000001</v>
      </c>
      <c r="K1428">
        <v>5.4313522089450004</v>
      </c>
      <c r="L1428" t="s">
        <v>32</v>
      </c>
      <c r="M1428">
        <v>0</v>
      </c>
      <c r="N1428">
        <v>0</v>
      </c>
    </row>
    <row r="1429" spans="1:14" x14ac:dyDescent="0.25">
      <c r="A1429" s="23">
        <v>44526</v>
      </c>
      <c r="B1429">
        <v>27.169</v>
      </c>
      <c r="C1429" t="s">
        <v>19</v>
      </c>
      <c r="D1429">
        <v>0.84099999999999997</v>
      </c>
      <c r="E1429">
        <v>22.849129000000001</v>
      </c>
      <c r="F1429" t="s">
        <v>17</v>
      </c>
      <c r="G1429">
        <v>0.89700000000000002</v>
      </c>
      <c r="H1429">
        <v>20.495668713000001</v>
      </c>
      <c r="I1429" t="s">
        <v>12</v>
      </c>
      <c r="J1429">
        <v>0.13400000000000001</v>
      </c>
      <c r="K1429">
        <v>2.7464196075420002</v>
      </c>
      <c r="L1429" t="s">
        <v>33</v>
      </c>
      <c r="M1429">
        <v>8.5999999999999993E-2</v>
      </c>
      <c r="N1429">
        <v>1.7626275093179999</v>
      </c>
    </row>
    <row r="1430" spans="1:14" x14ac:dyDescent="0.25">
      <c r="A1430" s="23">
        <v>44527</v>
      </c>
      <c r="B1430">
        <v>27.169</v>
      </c>
      <c r="C1430" t="s">
        <v>19</v>
      </c>
      <c r="D1430">
        <v>0.84099999999999997</v>
      </c>
      <c r="E1430">
        <v>22.849129000000001</v>
      </c>
      <c r="F1430" t="s">
        <v>17</v>
      </c>
      <c r="G1430">
        <v>0.89700000000000002</v>
      </c>
      <c r="H1430">
        <v>20.495668713000001</v>
      </c>
      <c r="I1430" t="s">
        <v>7</v>
      </c>
      <c r="J1430">
        <v>6.4000000000000001E-2</v>
      </c>
      <c r="K1430">
        <v>1.3117227976320001</v>
      </c>
      <c r="L1430" t="s">
        <v>34</v>
      </c>
      <c r="M1430">
        <v>0.18600000000000003</v>
      </c>
      <c r="N1430">
        <v>3.8121943806180005</v>
      </c>
    </row>
    <row r="1431" spans="1:14" x14ac:dyDescent="0.25">
      <c r="A1431" s="23">
        <v>44528</v>
      </c>
      <c r="B1431">
        <v>27.169</v>
      </c>
      <c r="C1431" t="s">
        <v>19</v>
      </c>
      <c r="D1431">
        <v>0.84099999999999997</v>
      </c>
      <c r="E1431">
        <v>22.849129000000001</v>
      </c>
      <c r="F1431" t="s">
        <v>17</v>
      </c>
      <c r="G1431">
        <v>0.89700000000000002</v>
      </c>
      <c r="H1431">
        <v>20.495668713000001</v>
      </c>
      <c r="I1431" t="s">
        <v>8</v>
      </c>
      <c r="J1431">
        <v>0.38900000000000001</v>
      </c>
      <c r="K1431">
        <v>7.9728151293570004</v>
      </c>
      <c r="L1431" t="s">
        <v>35</v>
      </c>
      <c r="M1431">
        <v>0.40500000000000003</v>
      </c>
      <c r="N1431">
        <v>8.3007458287650007</v>
      </c>
    </row>
    <row r="1432" spans="1:14" x14ac:dyDescent="0.25">
      <c r="A1432" s="23">
        <v>44529</v>
      </c>
      <c r="B1432">
        <v>27.169</v>
      </c>
      <c r="C1432" t="s">
        <v>19</v>
      </c>
      <c r="D1432">
        <v>0.84099999999999997</v>
      </c>
      <c r="E1432">
        <v>22.849129000000001</v>
      </c>
      <c r="F1432" t="s">
        <v>17</v>
      </c>
      <c r="G1432">
        <v>0.89700000000000002</v>
      </c>
      <c r="H1432">
        <v>20.495668713000001</v>
      </c>
      <c r="I1432" t="s">
        <v>10</v>
      </c>
      <c r="J1432">
        <v>2.6000000000000002E-2</v>
      </c>
      <c r="K1432">
        <v>0.53288738653800005</v>
      </c>
      <c r="L1432" t="s">
        <v>36</v>
      </c>
      <c r="M1432">
        <v>0.11900000000000001</v>
      </c>
      <c r="N1432">
        <v>8.3007458287650007</v>
      </c>
    </row>
    <row r="1433" spans="1:14" x14ac:dyDescent="0.25">
      <c r="A1433" s="23">
        <v>44530</v>
      </c>
      <c r="B1433">
        <v>27.169</v>
      </c>
      <c r="C1433" t="s">
        <v>19</v>
      </c>
      <c r="D1433">
        <v>0.84099999999999997</v>
      </c>
      <c r="E1433">
        <v>22.849129000000001</v>
      </c>
      <c r="F1433" t="s">
        <v>17</v>
      </c>
      <c r="G1433">
        <v>0.89700000000000002</v>
      </c>
      <c r="H1433">
        <v>20.495668713000001</v>
      </c>
      <c r="I1433" t="s">
        <v>9</v>
      </c>
      <c r="J1433">
        <v>9.3000000000000013E-2</v>
      </c>
      <c r="K1433">
        <v>1.9060971903090003</v>
      </c>
      <c r="L1433" t="s">
        <v>37</v>
      </c>
      <c r="M1433">
        <v>0.187</v>
      </c>
      <c r="N1433">
        <v>2.4389845768470004</v>
      </c>
    </row>
    <row r="1434" spans="1:14" x14ac:dyDescent="0.25">
      <c r="A1434" s="23">
        <v>44531</v>
      </c>
      <c r="B1434">
        <v>27.169</v>
      </c>
      <c r="C1434" t="s">
        <v>19</v>
      </c>
      <c r="D1434">
        <v>0.84099999999999997</v>
      </c>
      <c r="E1434">
        <v>22.849129000000001</v>
      </c>
      <c r="F1434" t="s">
        <v>17</v>
      </c>
      <c r="G1434">
        <v>0.89700000000000002</v>
      </c>
      <c r="H1434">
        <v>20.495668713000001</v>
      </c>
      <c r="I1434" t="s">
        <v>55</v>
      </c>
      <c r="J1434">
        <v>2.8999999999999998E-2</v>
      </c>
      <c r="L1434" t="s">
        <v>38</v>
      </c>
      <c r="M1434">
        <v>1.8000000000000002E-2</v>
      </c>
      <c r="N1434">
        <v>3.8326900493310001</v>
      </c>
    </row>
    <row r="1435" spans="1:14" x14ac:dyDescent="0.25">
      <c r="A1435" s="23">
        <v>44532</v>
      </c>
      <c r="B1435">
        <v>27.169</v>
      </c>
      <c r="C1435" t="s">
        <v>19</v>
      </c>
      <c r="D1435">
        <v>0.84099999999999997</v>
      </c>
      <c r="E1435">
        <v>22.849129000000001</v>
      </c>
      <c r="F1435" t="s">
        <v>17</v>
      </c>
      <c r="G1435">
        <v>0.89700000000000002</v>
      </c>
      <c r="H1435">
        <v>20.495668713000001</v>
      </c>
      <c r="L1435" t="s">
        <v>39</v>
      </c>
      <c r="M1435">
        <v>0</v>
      </c>
      <c r="N1435">
        <v>0.36892203683400004</v>
      </c>
    </row>
    <row r="1436" spans="1:14" x14ac:dyDescent="0.25">
      <c r="A1436" s="23">
        <v>44533</v>
      </c>
      <c r="B1436">
        <v>27.169</v>
      </c>
      <c r="C1436" t="s">
        <v>19</v>
      </c>
      <c r="D1436">
        <v>0.84099999999999997</v>
      </c>
      <c r="E1436">
        <v>22.849129000000001</v>
      </c>
      <c r="F1436" t="s">
        <v>49</v>
      </c>
      <c r="G1436">
        <v>0.90400000000000003</v>
      </c>
      <c r="H1436">
        <v>20.655612616000003</v>
      </c>
      <c r="I1436" t="s">
        <v>11</v>
      </c>
      <c r="J1436">
        <v>0.21100000000000002</v>
      </c>
      <c r="K1436">
        <v>4.358334261976001</v>
      </c>
      <c r="L1436" t="s">
        <v>32</v>
      </c>
      <c r="M1436">
        <v>7.2999999999999995E-2</v>
      </c>
      <c r="N1436">
        <v>1.507859720968</v>
      </c>
    </row>
    <row r="1437" spans="1:14" x14ac:dyDescent="0.25">
      <c r="A1437" s="23">
        <v>44534</v>
      </c>
      <c r="B1437">
        <v>27.169</v>
      </c>
      <c r="C1437" t="s">
        <v>19</v>
      </c>
      <c r="D1437">
        <v>0.84099999999999997</v>
      </c>
      <c r="E1437">
        <v>22.849129000000001</v>
      </c>
      <c r="F1437" t="s">
        <v>18</v>
      </c>
      <c r="G1437">
        <v>0.90400000000000003</v>
      </c>
      <c r="H1437">
        <v>20.655612616000003</v>
      </c>
      <c r="I1437" t="s">
        <v>12</v>
      </c>
      <c r="J1437">
        <v>0.124</v>
      </c>
      <c r="K1437">
        <v>2.5612959643840001</v>
      </c>
      <c r="L1437" t="s">
        <v>33</v>
      </c>
      <c r="M1437">
        <v>0.128</v>
      </c>
      <c r="N1437">
        <v>2.6439184148480006</v>
      </c>
    </row>
    <row r="1438" spans="1:14" x14ac:dyDescent="0.25">
      <c r="A1438" s="23">
        <v>44535</v>
      </c>
      <c r="B1438">
        <v>27.169</v>
      </c>
      <c r="C1438" t="s">
        <v>19</v>
      </c>
      <c r="D1438">
        <v>0.84099999999999997</v>
      </c>
      <c r="E1438">
        <v>22.849129000000001</v>
      </c>
      <c r="F1438" t="s">
        <v>18</v>
      </c>
      <c r="G1438">
        <v>0.90400000000000003</v>
      </c>
      <c r="H1438">
        <v>20.655612616000003</v>
      </c>
      <c r="I1438" t="s">
        <v>7</v>
      </c>
      <c r="J1438">
        <v>0.157</v>
      </c>
      <c r="K1438">
        <v>3.2429311807120005</v>
      </c>
      <c r="L1438" t="s">
        <v>34</v>
      </c>
      <c r="M1438">
        <v>0.13600000000000001</v>
      </c>
      <c r="N1438">
        <v>2.8091633157760008</v>
      </c>
    </row>
    <row r="1439" spans="1:14" x14ac:dyDescent="0.25">
      <c r="A1439" s="23">
        <v>44536</v>
      </c>
      <c r="B1439">
        <v>27.169</v>
      </c>
      <c r="C1439" t="s">
        <v>19</v>
      </c>
      <c r="D1439">
        <v>0.84099999999999997</v>
      </c>
      <c r="E1439">
        <v>22.849129000000001</v>
      </c>
      <c r="F1439" t="s">
        <v>18</v>
      </c>
      <c r="G1439">
        <v>0.90400000000000003</v>
      </c>
      <c r="H1439">
        <v>20.655612616000003</v>
      </c>
      <c r="I1439" t="s">
        <v>8</v>
      </c>
      <c r="J1439">
        <v>0.38299999999999995</v>
      </c>
      <c r="K1439">
        <v>7.9110996319279998</v>
      </c>
      <c r="L1439" t="s">
        <v>35</v>
      </c>
      <c r="M1439">
        <v>0.27</v>
      </c>
      <c r="N1439">
        <v>5.577015406320001</v>
      </c>
    </row>
    <row r="1440" spans="1:14" x14ac:dyDescent="0.25">
      <c r="A1440" s="23">
        <v>44537</v>
      </c>
      <c r="B1440">
        <v>27.169</v>
      </c>
      <c r="C1440" t="s">
        <v>19</v>
      </c>
      <c r="D1440">
        <v>0.84099999999999997</v>
      </c>
      <c r="E1440">
        <v>22.849129000000001</v>
      </c>
      <c r="F1440" t="s">
        <v>18</v>
      </c>
      <c r="G1440">
        <v>0.90400000000000003</v>
      </c>
      <c r="H1440">
        <v>20.655612616000003</v>
      </c>
      <c r="I1440" t="s">
        <v>10</v>
      </c>
      <c r="J1440">
        <v>2.6000000000000002E-2</v>
      </c>
      <c r="K1440">
        <v>0.53704592801600015</v>
      </c>
      <c r="L1440" t="s">
        <v>36</v>
      </c>
      <c r="M1440">
        <v>0.193</v>
      </c>
      <c r="N1440">
        <v>3.9865332348880007</v>
      </c>
    </row>
    <row r="1441" spans="1:14" x14ac:dyDescent="0.25">
      <c r="A1441" s="23">
        <v>44538</v>
      </c>
      <c r="B1441">
        <v>27.169</v>
      </c>
      <c r="C1441" t="s">
        <v>19</v>
      </c>
      <c r="D1441">
        <v>0.84099999999999997</v>
      </c>
      <c r="E1441">
        <v>22.849129000000001</v>
      </c>
      <c r="F1441" t="s">
        <v>18</v>
      </c>
      <c r="G1441">
        <v>0.90400000000000003</v>
      </c>
      <c r="H1441">
        <v>20.655612616000003</v>
      </c>
      <c r="I1441" t="s">
        <v>9</v>
      </c>
      <c r="J1441">
        <v>8.6999999999999994E-2</v>
      </c>
      <c r="K1441">
        <v>1.7970382975920001</v>
      </c>
      <c r="L1441" t="s">
        <v>37</v>
      </c>
      <c r="M1441">
        <v>0.14899999999999999</v>
      </c>
      <c r="N1441">
        <v>3.0776862797840003</v>
      </c>
    </row>
    <row r="1442" spans="1:14" x14ac:dyDescent="0.25">
      <c r="A1442" s="23">
        <v>44539</v>
      </c>
      <c r="B1442">
        <v>27.169</v>
      </c>
      <c r="C1442" t="s">
        <v>19</v>
      </c>
      <c r="D1442">
        <v>0.84099999999999997</v>
      </c>
      <c r="E1442">
        <v>22.849129000000001</v>
      </c>
      <c r="F1442" t="s">
        <v>18</v>
      </c>
      <c r="G1442">
        <v>0.90400000000000003</v>
      </c>
      <c r="H1442">
        <v>20.655612616000003</v>
      </c>
      <c r="I1442" t="s">
        <v>55</v>
      </c>
      <c r="J1442">
        <v>1.2E-2</v>
      </c>
      <c r="L1442" t="s">
        <v>38</v>
      </c>
      <c r="M1442">
        <v>2.7999999999999997E-2</v>
      </c>
      <c r="N1442">
        <v>0.57835715324799997</v>
      </c>
    </row>
    <row r="1443" spans="1:14" x14ac:dyDescent="0.25">
      <c r="A1443" s="23">
        <v>44540</v>
      </c>
      <c r="B1443">
        <v>27.169</v>
      </c>
      <c r="C1443" t="s">
        <v>19</v>
      </c>
      <c r="D1443">
        <v>0.84099999999999997</v>
      </c>
      <c r="E1443">
        <v>22.849129000000001</v>
      </c>
      <c r="F1443" t="s">
        <v>18</v>
      </c>
      <c r="G1443">
        <v>0.90400000000000003</v>
      </c>
      <c r="H1443">
        <v>20.655612616000003</v>
      </c>
      <c r="L1443" t="s">
        <v>39</v>
      </c>
      <c r="M1443">
        <v>2.2000000000000002E-2</v>
      </c>
      <c r="N1443">
        <v>0.45442347755200008</v>
      </c>
    </row>
    <row r="1444" spans="1:14" x14ac:dyDescent="0.25">
      <c r="A1444" s="23">
        <v>44541</v>
      </c>
      <c r="B1444">
        <v>27.452999999999999</v>
      </c>
      <c r="C1444" t="s">
        <v>2</v>
      </c>
      <c r="D1444">
        <v>0.155</v>
      </c>
      <c r="E1444">
        <v>4.2552149999999997</v>
      </c>
      <c r="F1444" t="s">
        <v>14</v>
      </c>
      <c r="G1444">
        <v>0.19800000000000001</v>
      </c>
      <c r="H1444">
        <v>0.84253257000000004</v>
      </c>
      <c r="I1444" t="s">
        <v>11</v>
      </c>
      <c r="J1444">
        <v>0.11599999999999999</v>
      </c>
      <c r="K1444">
        <v>9.7733778120000003E-2</v>
      </c>
      <c r="L1444" t="s">
        <v>32</v>
      </c>
      <c r="M1444">
        <v>2.2000000000000002E-2</v>
      </c>
      <c r="N1444">
        <v>1.8535716540000004E-2</v>
      </c>
    </row>
    <row r="1445" spans="1:14" x14ac:dyDescent="0.25">
      <c r="A1445" s="23">
        <v>44542</v>
      </c>
      <c r="B1445">
        <v>27.452999999999999</v>
      </c>
      <c r="C1445" t="s">
        <v>2</v>
      </c>
      <c r="D1445">
        <v>0.155</v>
      </c>
      <c r="E1445">
        <v>4.2552149999999997</v>
      </c>
      <c r="F1445" t="s">
        <v>43</v>
      </c>
      <c r="G1445">
        <v>0.19800000000000001</v>
      </c>
      <c r="H1445">
        <v>0.84253257000000004</v>
      </c>
      <c r="I1445" t="s">
        <v>12</v>
      </c>
      <c r="J1445">
        <v>5.2000000000000005E-2</v>
      </c>
      <c r="K1445">
        <v>4.3811693640000003E-2</v>
      </c>
      <c r="L1445" t="s">
        <v>33</v>
      </c>
      <c r="M1445">
        <v>8.199999999999999E-2</v>
      </c>
      <c r="N1445">
        <v>6.9087670739999996E-2</v>
      </c>
    </row>
    <row r="1446" spans="1:14" x14ac:dyDescent="0.25">
      <c r="A1446" s="23">
        <v>44543</v>
      </c>
      <c r="B1446">
        <v>27.452999999999999</v>
      </c>
      <c r="C1446" t="s">
        <v>2</v>
      </c>
      <c r="D1446">
        <v>0.155</v>
      </c>
      <c r="E1446">
        <v>4.2552149999999997</v>
      </c>
      <c r="F1446" t="s">
        <v>14</v>
      </c>
      <c r="G1446">
        <v>0.19800000000000001</v>
      </c>
      <c r="H1446">
        <v>0.84253257000000004</v>
      </c>
      <c r="I1446" t="s">
        <v>7</v>
      </c>
      <c r="J1446">
        <v>0.04</v>
      </c>
      <c r="K1446">
        <v>3.3701302799999999E-2</v>
      </c>
      <c r="L1446" t="s">
        <v>34</v>
      </c>
      <c r="M1446">
        <v>8.199999999999999E-2</v>
      </c>
      <c r="N1446">
        <v>6.9087670739999996E-2</v>
      </c>
    </row>
    <row r="1447" spans="1:14" x14ac:dyDescent="0.25">
      <c r="A1447" s="23">
        <v>44544</v>
      </c>
      <c r="B1447">
        <v>27.452999999999999</v>
      </c>
      <c r="C1447" t="s">
        <v>2</v>
      </c>
      <c r="D1447">
        <v>0.155</v>
      </c>
      <c r="E1447">
        <v>4.2552149999999997</v>
      </c>
      <c r="F1447" t="s">
        <v>14</v>
      </c>
      <c r="G1447">
        <v>0.19800000000000001</v>
      </c>
      <c r="H1447">
        <v>0.84253257000000004</v>
      </c>
      <c r="I1447" t="s">
        <v>8</v>
      </c>
      <c r="J1447">
        <v>0.29299999999999998</v>
      </c>
      <c r="K1447">
        <v>0.24686204301</v>
      </c>
      <c r="L1447" t="s">
        <v>35</v>
      </c>
      <c r="M1447">
        <v>0.254</v>
      </c>
      <c r="N1447">
        <v>0.21400327278</v>
      </c>
    </row>
    <row r="1448" spans="1:14" x14ac:dyDescent="0.25">
      <c r="A1448" s="23">
        <v>44545</v>
      </c>
      <c r="B1448">
        <v>27.452999999999999</v>
      </c>
      <c r="C1448" t="s">
        <v>2</v>
      </c>
      <c r="D1448">
        <v>0.155</v>
      </c>
      <c r="E1448">
        <v>4.2552149999999997</v>
      </c>
      <c r="F1448" t="s">
        <v>14</v>
      </c>
      <c r="G1448">
        <v>0.19800000000000001</v>
      </c>
      <c r="H1448">
        <v>0.84253257000000004</v>
      </c>
      <c r="I1448" t="s">
        <v>10</v>
      </c>
      <c r="J1448">
        <v>7.400000000000001E-2</v>
      </c>
      <c r="K1448">
        <v>6.2347410180000014E-2</v>
      </c>
      <c r="L1448" t="s">
        <v>36</v>
      </c>
      <c r="M1448">
        <v>0.27699999999999997</v>
      </c>
      <c r="N1448">
        <v>0.23338152188999997</v>
      </c>
    </row>
    <row r="1449" spans="1:14" x14ac:dyDescent="0.25">
      <c r="A1449" s="23">
        <v>44546</v>
      </c>
      <c r="B1449">
        <v>27.452999999999999</v>
      </c>
      <c r="C1449" t="s">
        <v>2</v>
      </c>
      <c r="D1449">
        <v>0.155</v>
      </c>
      <c r="E1449">
        <v>4.2552149999999997</v>
      </c>
      <c r="F1449" t="s">
        <v>14</v>
      </c>
      <c r="G1449">
        <v>0.19800000000000001</v>
      </c>
      <c r="H1449">
        <v>0.84253257000000004</v>
      </c>
      <c r="I1449" t="s">
        <v>9</v>
      </c>
      <c r="J1449">
        <v>0.41299999999999998</v>
      </c>
      <c r="K1449">
        <v>0.34796595140999997</v>
      </c>
      <c r="L1449" t="s">
        <v>37</v>
      </c>
      <c r="M1449">
        <v>0.25900000000000001</v>
      </c>
      <c r="N1449">
        <v>0.21821593563000002</v>
      </c>
    </row>
    <row r="1450" spans="1:14" x14ac:dyDescent="0.25">
      <c r="A1450" s="23">
        <v>44547</v>
      </c>
      <c r="B1450">
        <v>27.452999999999999</v>
      </c>
      <c r="C1450" t="s">
        <v>2</v>
      </c>
      <c r="D1450">
        <v>0.155</v>
      </c>
      <c r="E1450">
        <v>4.2552149999999997</v>
      </c>
      <c r="F1450" t="s">
        <v>14</v>
      </c>
      <c r="G1450">
        <v>0.19800000000000001</v>
      </c>
      <c r="H1450">
        <v>0.84253257000000004</v>
      </c>
      <c r="I1450" t="s">
        <v>55</v>
      </c>
      <c r="J1450">
        <v>1.1000000000000001E-2</v>
      </c>
      <c r="K1450">
        <v>9.2678582700000019E-3</v>
      </c>
      <c r="L1450" t="s">
        <v>38</v>
      </c>
      <c r="M1450">
        <v>1.3999999999999999E-2</v>
      </c>
      <c r="N1450">
        <v>1.1795455979999999E-2</v>
      </c>
    </row>
    <row r="1451" spans="1:14" x14ac:dyDescent="0.25">
      <c r="A1451" s="23">
        <v>44548</v>
      </c>
      <c r="B1451">
        <v>27.452999999999999</v>
      </c>
      <c r="C1451" t="s">
        <v>2</v>
      </c>
      <c r="D1451">
        <v>0.155</v>
      </c>
      <c r="E1451">
        <v>4.2552149999999997</v>
      </c>
      <c r="F1451" t="s">
        <v>14</v>
      </c>
      <c r="G1451">
        <v>0.19800000000000001</v>
      </c>
      <c r="H1451">
        <v>0.84253257000000004</v>
      </c>
      <c r="L1451" t="s">
        <v>39</v>
      </c>
      <c r="M1451">
        <v>0.01</v>
      </c>
      <c r="N1451">
        <v>8.4253256999999998E-3</v>
      </c>
    </row>
    <row r="1452" spans="1:14" x14ac:dyDescent="0.25">
      <c r="A1452" s="23">
        <v>44549</v>
      </c>
      <c r="B1452">
        <v>27.452999999999999</v>
      </c>
      <c r="C1452" t="s">
        <v>2</v>
      </c>
      <c r="D1452">
        <v>0.155</v>
      </c>
      <c r="E1452">
        <v>4.2552149999999997</v>
      </c>
      <c r="F1452" t="s">
        <v>44</v>
      </c>
      <c r="G1452">
        <v>0.14899999999999999</v>
      </c>
      <c r="H1452">
        <v>0.63402703499999991</v>
      </c>
      <c r="I1452" t="s">
        <v>11</v>
      </c>
      <c r="J1452">
        <v>0</v>
      </c>
      <c r="K1452">
        <v>0</v>
      </c>
      <c r="L1452" t="s">
        <v>32</v>
      </c>
      <c r="M1452">
        <v>0</v>
      </c>
      <c r="N1452">
        <v>0</v>
      </c>
    </row>
    <row r="1453" spans="1:14" x14ac:dyDescent="0.25">
      <c r="A1453" s="23">
        <v>44550</v>
      </c>
      <c r="B1453">
        <v>27.452999999999999</v>
      </c>
      <c r="C1453" t="s">
        <v>2</v>
      </c>
      <c r="D1453">
        <v>0.155</v>
      </c>
      <c r="E1453">
        <v>4.2552149999999997</v>
      </c>
      <c r="F1453" t="s">
        <v>15</v>
      </c>
      <c r="G1453">
        <v>0.14899999999999999</v>
      </c>
      <c r="H1453">
        <v>0.63402703499999991</v>
      </c>
      <c r="I1453" t="s">
        <v>12</v>
      </c>
      <c r="J1453">
        <v>0</v>
      </c>
      <c r="K1453">
        <v>0</v>
      </c>
      <c r="L1453" t="s">
        <v>33</v>
      </c>
      <c r="M1453">
        <v>0.127</v>
      </c>
      <c r="N1453">
        <v>8.0521433444999985E-2</v>
      </c>
    </row>
    <row r="1454" spans="1:14" x14ac:dyDescent="0.25">
      <c r="A1454" s="23">
        <v>44551</v>
      </c>
      <c r="B1454">
        <v>27.452999999999999</v>
      </c>
      <c r="C1454" t="s">
        <v>2</v>
      </c>
      <c r="D1454">
        <v>0.155</v>
      </c>
      <c r="E1454">
        <v>4.2552149999999997</v>
      </c>
      <c r="F1454" t="s">
        <v>15</v>
      </c>
      <c r="G1454">
        <v>0.14899999999999999</v>
      </c>
      <c r="H1454">
        <v>0.63402703499999991</v>
      </c>
      <c r="I1454" t="s">
        <v>7</v>
      </c>
      <c r="J1454">
        <v>0</v>
      </c>
      <c r="K1454">
        <v>0</v>
      </c>
      <c r="L1454" t="s">
        <v>34</v>
      </c>
      <c r="M1454">
        <v>0.06</v>
      </c>
      <c r="N1454">
        <v>3.8041622099999992E-2</v>
      </c>
    </row>
    <row r="1455" spans="1:14" x14ac:dyDescent="0.25">
      <c r="A1455" s="23">
        <v>44552</v>
      </c>
      <c r="B1455">
        <v>27.452999999999999</v>
      </c>
      <c r="C1455" t="s">
        <v>2</v>
      </c>
      <c r="D1455">
        <v>0.155</v>
      </c>
      <c r="E1455">
        <v>4.2552149999999997</v>
      </c>
      <c r="F1455" t="s">
        <v>15</v>
      </c>
      <c r="G1455">
        <v>0.14899999999999999</v>
      </c>
      <c r="H1455">
        <v>0.63402703499999991</v>
      </c>
      <c r="I1455" t="s">
        <v>8</v>
      </c>
      <c r="J1455">
        <v>0.33200000000000002</v>
      </c>
      <c r="K1455">
        <v>0.21049697561999997</v>
      </c>
      <c r="L1455" t="s">
        <v>35</v>
      </c>
      <c r="M1455">
        <v>0.34100000000000003</v>
      </c>
      <c r="N1455">
        <v>0.216203218935</v>
      </c>
    </row>
    <row r="1456" spans="1:14" x14ac:dyDescent="0.25">
      <c r="A1456" s="23">
        <v>44553</v>
      </c>
      <c r="B1456">
        <v>27.452999999999999</v>
      </c>
      <c r="C1456" t="s">
        <v>2</v>
      </c>
      <c r="D1456">
        <v>0.155</v>
      </c>
      <c r="E1456">
        <v>4.2552149999999997</v>
      </c>
      <c r="F1456" t="s">
        <v>15</v>
      </c>
      <c r="G1456">
        <v>0.14899999999999999</v>
      </c>
      <c r="H1456">
        <v>0.63402703499999991</v>
      </c>
      <c r="I1456" t="s">
        <v>10</v>
      </c>
      <c r="J1456">
        <v>0.125</v>
      </c>
      <c r="K1456">
        <v>7.9253379374999988E-2</v>
      </c>
      <c r="L1456" t="s">
        <v>36</v>
      </c>
      <c r="M1456">
        <v>0.26600000000000001</v>
      </c>
      <c r="N1456">
        <v>0.16865119130999998</v>
      </c>
    </row>
    <row r="1457" spans="1:14" x14ac:dyDescent="0.25">
      <c r="A1457" s="23">
        <v>44554</v>
      </c>
      <c r="B1457">
        <v>27.452999999999999</v>
      </c>
      <c r="C1457" t="s">
        <v>2</v>
      </c>
      <c r="D1457">
        <v>0.155</v>
      </c>
      <c r="E1457">
        <v>4.2552149999999997</v>
      </c>
      <c r="F1457" t="s">
        <v>15</v>
      </c>
      <c r="G1457">
        <v>0.14899999999999999</v>
      </c>
      <c r="H1457">
        <v>0.63402703499999991</v>
      </c>
      <c r="I1457" t="s">
        <v>9</v>
      </c>
      <c r="J1457">
        <v>0.54299999999999993</v>
      </c>
      <c r="K1457">
        <v>0.34427668000499989</v>
      </c>
      <c r="L1457" t="s">
        <v>37</v>
      </c>
      <c r="M1457">
        <v>0.20499999999999999</v>
      </c>
      <c r="N1457">
        <v>0.12997554217499999</v>
      </c>
    </row>
    <row r="1458" spans="1:14" x14ac:dyDescent="0.25">
      <c r="A1458" s="23">
        <v>44555</v>
      </c>
      <c r="B1458">
        <v>27.452999999999999</v>
      </c>
      <c r="C1458" t="s">
        <v>2</v>
      </c>
      <c r="D1458">
        <v>0.155</v>
      </c>
      <c r="E1458">
        <v>4.2552149999999997</v>
      </c>
      <c r="F1458" t="s">
        <v>15</v>
      </c>
      <c r="G1458">
        <v>0.14899999999999999</v>
      </c>
      <c r="H1458">
        <v>0.63402703499999991</v>
      </c>
      <c r="I1458" t="s">
        <v>55</v>
      </c>
      <c r="J1458">
        <v>0</v>
      </c>
      <c r="K1458">
        <v>0</v>
      </c>
      <c r="L1458" t="s">
        <v>38</v>
      </c>
      <c r="M1458">
        <v>0</v>
      </c>
      <c r="N1458">
        <v>0</v>
      </c>
    </row>
    <row r="1459" spans="1:14" x14ac:dyDescent="0.25">
      <c r="A1459" s="23">
        <v>44556</v>
      </c>
      <c r="B1459">
        <v>27.452999999999999</v>
      </c>
      <c r="C1459" t="s">
        <v>2</v>
      </c>
      <c r="D1459">
        <v>0.155</v>
      </c>
      <c r="E1459">
        <v>4.2552149999999997</v>
      </c>
      <c r="F1459" t="s">
        <v>15</v>
      </c>
      <c r="G1459">
        <v>0.14899999999999999</v>
      </c>
      <c r="H1459">
        <v>0.63402703499999991</v>
      </c>
      <c r="J1459" t="s">
        <v>56</v>
      </c>
      <c r="L1459" t="s">
        <v>39</v>
      </c>
      <c r="M1459">
        <v>0</v>
      </c>
      <c r="N1459">
        <v>0</v>
      </c>
    </row>
    <row r="1460" spans="1:14" x14ac:dyDescent="0.25">
      <c r="A1460" s="23">
        <v>44557</v>
      </c>
      <c r="B1460">
        <v>27.452999999999999</v>
      </c>
      <c r="C1460" t="s">
        <v>2</v>
      </c>
      <c r="D1460">
        <v>0.155</v>
      </c>
      <c r="E1460">
        <v>4.2552149999999997</v>
      </c>
      <c r="F1460" t="s">
        <v>45</v>
      </c>
      <c r="G1460">
        <v>0.16800000000000001</v>
      </c>
      <c r="H1460">
        <v>0.71487612</v>
      </c>
      <c r="I1460" t="s">
        <v>11</v>
      </c>
      <c r="J1460">
        <v>0.10400000000000001</v>
      </c>
      <c r="K1460">
        <v>7.4347116480000003E-2</v>
      </c>
      <c r="L1460" t="s">
        <v>32</v>
      </c>
      <c r="M1460">
        <v>1.7000000000000001E-2</v>
      </c>
      <c r="N1460">
        <v>1.2152894040000001E-2</v>
      </c>
    </row>
    <row r="1461" spans="1:14" x14ac:dyDescent="0.25">
      <c r="A1461" s="23">
        <v>44558</v>
      </c>
      <c r="B1461">
        <v>27.452999999999999</v>
      </c>
      <c r="C1461" t="s">
        <v>2</v>
      </c>
      <c r="D1461">
        <v>0.155</v>
      </c>
      <c r="E1461">
        <v>4.2552149999999997</v>
      </c>
      <c r="F1461" t="s">
        <v>16</v>
      </c>
      <c r="G1461">
        <v>0.16800000000000001</v>
      </c>
      <c r="H1461">
        <v>0.71487612</v>
      </c>
      <c r="I1461" t="s">
        <v>12</v>
      </c>
      <c r="J1461">
        <v>3.4000000000000002E-2</v>
      </c>
      <c r="K1461">
        <v>2.4305788080000001E-2</v>
      </c>
      <c r="L1461" t="s">
        <v>33</v>
      </c>
      <c r="M1461">
        <v>0.113</v>
      </c>
      <c r="N1461">
        <v>8.0781001559999996E-2</v>
      </c>
    </row>
    <row r="1462" spans="1:14" x14ac:dyDescent="0.25">
      <c r="A1462" s="23">
        <v>44559</v>
      </c>
      <c r="B1462">
        <v>27.452999999999999</v>
      </c>
      <c r="C1462" t="s">
        <v>2</v>
      </c>
      <c r="D1462">
        <v>0.155</v>
      </c>
      <c r="E1462">
        <v>4.2552149999999997</v>
      </c>
      <c r="F1462" t="s">
        <v>16</v>
      </c>
      <c r="G1462">
        <v>0.16800000000000001</v>
      </c>
      <c r="H1462">
        <v>0.71487612</v>
      </c>
      <c r="I1462" t="s">
        <v>7</v>
      </c>
      <c r="J1462">
        <v>4.8000000000000001E-2</v>
      </c>
      <c r="K1462">
        <v>3.4314053759999998E-2</v>
      </c>
      <c r="L1462" t="s">
        <v>34</v>
      </c>
      <c r="M1462">
        <v>8.900000000000001E-2</v>
      </c>
      <c r="N1462">
        <v>6.3623974680000001E-2</v>
      </c>
    </row>
    <row r="1463" spans="1:14" x14ac:dyDescent="0.25">
      <c r="A1463" s="23">
        <v>44560</v>
      </c>
      <c r="B1463">
        <v>27.452999999999999</v>
      </c>
      <c r="C1463" t="s">
        <v>2</v>
      </c>
      <c r="D1463">
        <v>0.155</v>
      </c>
      <c r="E1463">
        <v>4.2552149999999997</v>
      </c>
      <c r="F1463" t="s">
        <v>16</v>
      </c>
      <c r="G1463">
        <v>0.16800000000000001</v>
      </c>
      <c r="H1463">
        <v>0.71487612</v>
      </c>
      <c r="I1463" t="s">
        <v>8</v>
      </c>
      <c r="J1463">
        <v>0.22699999999999998</v>
      </c>
      <c r="K1463">
        <v>0.16227687923999998</v>
      </c>
      <c r="L1463" t="s">
        <v>35</v>
      </c>
      <c r="M1463">
        <v>0.28899999999999998</v>
      </c>
      <c r="N1463">
        <v>0.20659919867999998</v>
      </c>
    </row>
    <row r="1464" spans="1:14" x14ac:dyDescent="0.25">
      <c r="A1464" s="23">
        <v>44561</v>
      </c>
      <c r="B1464">
        <v>27.452999999999999</v>
      </c>
      <c r="C1464" t="s">
        <v>2</v>
      </c>
      <c r="D1464">
        <v>0.155</v>
      </c>
      <c r="E1464">
        <v>4.2552149999999997</v>
      </c>
      <c r="F1464" t="s">
        <v>16</v>
      </c>
      <c r="G1464">
        <v>0.16800000000000001</v>
      </c>
      <c r="H1464">
        <v>0.71487612</v>
      </c>
      <c r="I1464" t="s">
        <v>10</v>
      </c>
      <c r="J1464">
        <v>7.2000000000000008E-2</v>
      </c>
      <c r="K1464">
        <v>5.1471080640000007E-2</v>
      </c>
      <c r="L1464" t="s">
        <v>36</v>
      </c>
      <c r="M1464">
        <v>0.25600000000000001</v>
      </c>
      <c r="N1464">
        <v>0.18300828672</v>
      </c>
    </row>
    <row r="1465" spans="1:14" x14ac:dyDescent="0.25">
      <c r="A1465" s="23">
        <v>44562</v>
      </c>
      <c r="B1465">
        <v>27.452999999999999</v>
      </c>
      <c r="C1465" t="s">
        <v>2</v>
      </c>
      <c r="D1465">
        <v>0.155</v>
      </c>
      <c r="E1465">
        <v>4.2552149999999997</v>
      </c>
      <c r="F1465" t="s">
        <v>16</v>
      </c>
      <c r="G1465">
        <v>0.16800000000000001</v>
      </c>
      <c r="H1465">
        <v>0.71487612</v>
      </c>
      <c r="I1465" t="s">
        <v>9</v>
      </c>
      <c r="J1465">
        <v>0.502</v>
      </c>
      <c r="K1465">
        <v>0.35886781224000003</v>
      </c>
      <c r="L1465" t="s">
        <v>37</v>
      </c>
      <c r="M1465">
        <v>0.218</v>
      </c>
      <c r="N1465">
        <v>0.15584299416</v>
      </c>
    </row>
    <row r="1466" spans="1:14" x14ac:dyDescent="0.25">
      <c r="A1466" s="23">
        <v>44563</v>
      </c>
      <c r="B1466">
        <v>27.452999999999999</v>
      </c>
      <c r="C1466" t="s">
        <v>2</v>
      </c>
      <c r="D1466">
        <v>0.155</v>
      </c>
      <c r="E1466">
        <v>4.2552149999999997</v>
      </c>
      <c r="F1466" t="s">
        <v>16</v>
      </c>
      <c r="G1466">
        <v>0.16800000000000001</v>
      </c>
      <c r="H1466">
        <v>0.71487612</v>
      </c>
      <c r="I1466" t="s">
        <v>55</v>
      </c>
      <c r="J1466">
        <v>1.3999999999999999E-2</v>
      </c>
      <c r="K1466">
        <v>1.000826568E-2</v>
      </c>
      <c r="L1466" t="s">
        <v>38</v>
      </c>
      <c r="M1466">
        <v>6.0000000000000001E-3</v>
      </c>
      <c r="N1466">
        <v>4.2892567199999997E-3</v>
      </c>
    </row>
    <row r="1467" spans="1:14" x14ac:dyDescent="0.25">
      <c r="A1467" s="23">
        <v>44564</v>
      </c>
      <c r="B1467">
        <v>27.452999999999999</v>
      </c>
      <c r="C1467" t="s">
        <v>2</v>
      </c>
      <c r="D1467">
        <v>0.155</v>
      </c>
      <c r="E1467">
        <v>4.2552149999999997</v>
      </c>
      <c r="F1467" t="s">
        <v>16</v>
      </c>
      <c r="G1467">
        <v>0.16800000000000001</v>
      </c>
      <c r="H1467">
        <v>0.71487612</v>
      </c>
      <c r="L1467" t="s">
        <v>39</v>
      </c>
      <c r="M1467">
        <v>1.1000000000000001E-2</v>
      </c>
      <c r="N1467">
        <v>7.8636373200000002E-3</v>
      </c>
    </row>
    <row r="1468" spans="1:14" x14ac:dyDescent="0.25">
      <c r="A1468" s="23">
        <v>44565</v>
      </c>
      <c r="B1468">
        <v>27.452999999999999</v>
      </c>
      <c r="C1468" t="s">
        <v>2</v>
      </c>
      <c r="D1468">
        <v>0.155</v>
      </c>
      <c r="E1468">
        <v>4.2552149999999997</v>
      </c>
      <c r="F1468" t="s">
        <v>46</v>
      </c>
      <c r="G1468">
        <v>0.17600000000000002</v>
      </c>
      <c r="H1468">
        <v>0.74891784000000006</v>
      </c>
      <c r="I1468" t="s">
        <v>11</v>
      </c>
      <c r="J1468">
        <v>0.255</v>
      </c>
      <c r="K1468">
        <v>0.19097404920000002</v>
      </c>
      <c r="L1468" t="s">
        <v>32</v>
      </c>
      <c r="M1468">
        <v>1.3000000000000001E-2</v>
      </c>
      <c r="N1468">
        <v>9.7359319200000013E-3</v>
      </c>
    </row>
    <row r="1469" spans="1:14" x14ac:dyDescent="0.25">
      <c r="A1469" s="23">
        <v>44566</v>
      </c>
      <c r="B1469">
        <v>27.452999999999999</v>
      </c>
      <c r="C1469" t="s">
        <v>2</v>
      </c>
      <c r="D1469">
        <v>0.155</v>
      </c>
      <c r="E1469">
        <v>4.2552149999999997</v>
      </c>
      <c r="F1469" t="s">
        <v>13</v>
      </c>
      <c r="G1469">
        <v>0.17600000000000002</v>
      </c>
      <c r="H1469">
        <v>0.74891784000000006</v>
      </c>
      <c r="I1469" t="s">
        <v>12</v>
      </c>
      <c r="J1469">
        <v>7.0999999999999994E-2</v>
      </c>
      <c r="K1469">
        <v>5.3173166639999998E-2</v>
      </c>
      <c r="L1469" t="s">
        <v>33</v>
      </c>
      <c r="M1469">
        <v>6.9000000000000006E-2</v>
      </c>
      <c r="N1469">
        <v>5.1675330960000009E-2</v>
      </c>
    </row>
    <row r="1470" spans="1:14" x14ac:dyDescent="0.25">
      <c r="A1470" s="23">
        <v>44567</v>
      </c>
      <c r="B1470">
        <v>27.452999999999999</v>
      </c>
      <c r="C1470" t="s">
        <v>2</v>
      </c>
      <c r="D1470">
        <v>0.155</v>
      </c>
      <c r="E1470">
        <v>4.2552149999999997</v>
      </c>
      <c r="F1470" t="s">
        <v>13</v>
      </c>
      <c r="G1470">
        <v>0.17600000000000002</v>
      </c>
      <c r="H1470">
        <v>0.74891784000000006</v>
      </c>
      <c r="I1470" t="s">
        <v>7</v>
      </c>
      <c r="J1470">
        <v>7.0999999999999994E-2</v>
      </c>
      <c r="K1470">
        <v>5.3173166639999998E-2</v>
      </c>
      <c r="L1470" t="s">
        <v>34</v>
      </c>
      <c r="M1470">
        <v>8.6999999999999994E-2</v>
      </c>
      <c r="N1470">
        <v>6.5155852080000007E-2</v>
      </c>
    </row>
    <row r="1471" spans="1:14" x14ac:dyDescent="0.25">
      <c r="A1471" s="23">
        <v>44568</v>
      </c>
      <c r="B1471">
        <v>27.452999999999999</v>
      </c>
      <c r="C1471" t="s">
        <v>2</v>
      </c>
      <c r="D1471">
        <v>0.155</v>
      </c>
      <c r="E1471">
        <v>4.2552149999999997</v>
      </c>
      <c r="F1471" t="s">
        <v>13</v>
      </c>
      <c r="G1471">
        <v>0.17600000000000002</v>
      </c>
      <c r="H1471">
        <v>0.74891784000000006</v>
      </c>
      <c r="I1471" t="s">
        <v>8</v>
      </c>
      <c r="J1471">
        <v>0.29499999999999998</v>
      </c>
      <c r="K1471">
        <v>0.22093076280000001</v>
      </c>
      <c r="L1471" t="s">
        <v>35</v>
      </c>
      <c r="M1471">
        <v>0.314</v>
      </c>
      <c r="N1471">
        <v>0.23516020176000002</v>
      </c>
    </row>
    <row r="1472" spans="1:14" x14ac:dyDescent="0.25">
      <c r="A1472" s="23">
        <v>44569</v>
      </c>
      <c r="B1472">
        <v>27.452999999999999</v>
      </c>
      <c r="C1472" t="s">
        <v>2</v>
      </c>
      <c r="D1472">
        <v>0.155</v>
      </c>
      <c r="E1472">
        <v>4.2552149999999997</v>
      </c>
      <c r="F1472" t="s">
        <v>13</v>
      </c>
      <c r="G1472">
        <v>0.17600000000000002</v>
      </c>
      <c r="H1472">
        <v>0.74891784000000006</v>
      </c>
      <c r="I1472" t="s">
        <v>10</v>
      </c>
      <c r="J1472">
        <v>6.7000000000000004E-2</v>
      </c>
      <c r="K1472">
        <v>5.0177495280000005E-2</v>
      </c>
      <c r="L1472" t="s">
        <v>36</v>
      </c>
      <c r="M1472">
        <v>0.27500000000000002</v>
      </c>
      <c r="N1472" t="e">
        <v>#REF!</v>
      </c>
    </row>
    <row r="1473" spans="1:14" x14ac:dyDescent="0.25">
      <c r="A1473" s="23">
        <v>44570</v>
      </c>
      <c r="B1473">
        <v>27.452999999999999</v>
      </c>
      <c r="C1473" t="s">
        <v>2</v>
      </c>
      <c r="D1473">
        <v>0.155</v>
      </c>
      <c r="E1473">
        <v>4.2552149999999997</v>
      </c>
      <c r="F1473" t="s">
        <v>13</v>
      </c>
      <c r="G1473">
        <v>0.17600000000000002</v>
      </c>
      <c r="H1473">
        <v>0.74891784000000006</v>
      </c>
      <c r="I1473" t="s">
        <v>9</v>
      </c>
      <c r="J1473">
        <v>0.23199999999999998</v>
      </c>
      <c r="K1473">
        <v>0.17374893888000001</v>
      </c>
      <c r="L1473" t="s">
        <v>37</v>
      </c>
      <c r="M1473">
        <v>0.20899999999999999</v>
      </c>
      <c r="N1473">
        <v>0.20595240600000003</v>
      </c>
    </row>
    <row r="1474" spans="1:14" x14ac:dyDescent="0.25">
      <c r="A1474" s="23">
        <v>44571</v>
      </c>
      <c r="B1474">
        <v>27.452999999999999</v>
      </c>
      <c r="C1474" t="s">
        <v>2</v>
      </c>
      <c r="D1474">
        <v>0.155</v>
      </c>
      <c r="E1474">
        <v>4.2552149999999997</v>
      </c>
      <c r="F1474" t="s">
        <v>13</v>
      </c>
      <c r="G1474">
        <v>0.17600000000000002</v>
      </c>
      <c r="H1474">
        <v>0.74891784000000006</v>
      </c>
      <c r="I1474" t="s">
        <v>55</v>
      </c>
      <c r="J1474">
        <v>8.0000000000000002E-3</v>
      </c>
      <c r="K1474">
        <v>5.9913427200000008E-3</v>
      </c>
      <c r="L1474" t="s">
        <v>38</v>
      </c>
      <c r="M1474">
        <v>0.02</v>
      </c>
      <c r="N1474">
        <v>0.15652382855999999</v>
      </c>
    </row>
    <row r="1475" spans="1:14" x14ac:dyDescent="0.25">
      <c r="A1475" s="23">
        <v>44572</v>
      </c>
      <c r="B1475">
        <v>27.452999999999999</v>
      </c>
      <c r="C1475" t="s">
        <v>2</v>
      </c>
      <c r="D1475">
        <v>0.155</v>
      </c>
      <c r="E1475">
        <v>4.2552149999999997</v>
      </c>
      <c r="F1475" t="s">
        <v>13</v>
      </c>
      <c r="G1475">
        <v>0.17600000000000002</v>
      </c>
      <c r="H1475">
        <v>0.74891784000000006</v>
      </c>
      <c r="L1475" t="s">
        <v>39</v>
      </c>
      <c r="M1475">
        <v>1.1000000000000001E-2</v>
      </c>
      <c r="N1475">
        <v>1.4978356800000002E-2</v>
      </c>
    </row>
    <row r="1476" spans="1:14" x14ac:dyDescent="0.25">
      <c r="A1476" s="23">
        <v>44573</v>
      </c>
      <c r="B1476">
        <v>27.452999999999999</v>
      </c>
      <c r="C1476" t="s">
        <v>2</v>
      </c>
      <c r="D1476">
        <v>0.155</v>
      </c>
      <c r="E1476">
        <v>4.2552149999999997</v>
      </c>
      <c r="F1476" t="s">
        <v>47</v>
      </c>
      <c r="G1476">
        <v>0.12300000000000001</v>
      </c>
      <c r="H1476">
        <v>0.52339144500000001</v>
      </c>
      <c r="I1476" t="s">
        <v>11</v>
      </c>
      <c r="J1476">
        <v>4.2000000000000003E-2</v>
      </c>
      <c r="K1476">
        <v>2.1982440690000001E-2</v>
      </c>
      <c r="L1476" t="s">
        <v>32</v>
      </c>
      <c r="M1476">
        <v>0</v>
      </c>
      <c r="N1476">
        <v>0</v>
      </c>
    </row>
    <row r="1477" spans="1:14" x14ac:dyDescent="0.25">
      <c r="A1477" s="23">
        <v>44574</v>
      </c>
      <c r="B1477">
        <v>27.452999999999999</v>
      </c>
      <c r="C1477" t="s">
        <v>2</v>
      </c>
      <c r="D1477">
        <v>0.155</v>
      </c>
      <c r="E1477">
        <v>4.2552149999999997</v>
      </c>
      <c r="F1477" t="s">
        <v>17</v>
      </c>
      <c r="G1477">
        <v>0.12300000000000001</v>
      </c>
      <c r="H1477">
        <v>0.52339144500000001</v>
      </c>
      <c r="I1477" t="s">
        <v>12</v>
      </c>
      <c r="J1477">
        <v>5.2999999999999999E-2</v>
      </c>
      <c r="K1477">
        <v>2.7739746584999999E-2</v>
      </c>
      <c r="L1477" t="s">
        <v>33</v>
      </c>
      <c r="M1477">
        <v>0.13699999999999998</v>
      </c>
      <c r="N1477">
        <v>7.170462796499999E-2</v>
      </c>
    </row>
    <row r="1478" spans="1:14" x14ac:dyDescent="0.25">
      <c r="A1478" s="23">
        <v>44575</v>
      </c>
      <c r="B1478">
        <v>27.452999999999999</v>
      </c>
      <c r="C1478" t="s">
        <v>2</v>
      </c>
      <c r="D1478">
        <v>0.155</v>
      </c>
      <c r="E1478">
        <v>4.2552149999999997</v>
      </c>
      <c r="F1478" t="s">
        <v>17</v>
      </c>
      <c r="G1478">
        <v>0.12300000000000001</v>
      </c>
      <c r="H1478">
        <v>0.52339144500000001</v>
      </c>
      <c r="I1478" t="s">
        <v>7</v>
      </c>
      <c r="J1478">
        <v>0</v>
      </c>
      <c r="K1478">
        <v>0</v>
      </c>
      <c r="L1478" t="s">
        <v>34</v>
      </c>
      <c r="M1478">
        <v>5.2999999999999999E-2</v>
      </c>
      <c r="N1478">
        <v>2.7739746584999999E-2</v>
      </c>
    </row>
    <row r="1479" spans="1:14" x14ac:dyDescent="0.25">
      <c r="A1479" s="23">
        <v>44576</v>
      </c>
      <c r="B1479">
        <v>27.452999999999999</v>
      </c>
      <c r="C1479" t="s">
        <v>2</v>
      </c>
      <c r="D1479">
        <v>0.155</v>
      </c>
      <c r="E1479">
        <v>4.2552149999999997</v>
      </c>
      <c r="F1479" t="s">
        <v>17</v>
      </c>
      <c r="G1479">
        <v>0.12300000000000001</v>
      </c>
      <c r="H1479">
        <v>0.52339144500000001</v>
      </c>
      <c r="I1479" t="s">
        <v>8</v>
      </c>
      <c r="J1479">
        <v>0.35799999999999998</v>
      </c>
      <c r="K1479">
        <v>0.18737413730999999</v>
      </c>
      <c r="L1479" t="s">
        <v>35</v>
      </c>
      <c r="M1479">
        <v>0.20899999999999999</v>
      </c>
      <c r="N1479">
        <v>0.109388812005</v>
      </c>
    </row>
    <row r="1480" spans="1:14" x14ac:dyDescent="0.25">
      <c r="A1480" s="23">
        <v>44577</v>
      </c>
      <c r="B1480">
        <v>27.452999999999999</v>
      </c>
      <c r="C1480" t="s">
        <v>2</v>
      </c>
      <c r="D1480">
        <v>0.155</v>
      </c>
      <c r="E1480">
        <v>4.2552149999999997</v>
      </c>
      <c r="F1480" t="s">
        <v>17</v>
      </c>
      <c r="G1480">
        <v>0.12300000000000001</v>
      </c>
      <c r="H1480">
        <v>0.52339144500000001</v>
      </c>
      <c r="I1480" t="s">
        <v>10</v>
      </c>
      <c r="J1480">
        <v>0.23199999999999998</v>
      </c>
      <c r="K1480">
        <v>0.12142681524</v>
      </c>
      <c r="L1480" t="s">
        <v>36</v>
      </c>
      <c r="M1480">
        <v>0.16800000000000001</v>
      </c>
      <c r="N1480">
        <v>8.7929762760000002E-2</v>
      </c>
    </row>
    <row r="1481" spans="1:14" x14ac:dyDescent="0.25">
      <c r="A1481" s="23">
        <v>44578</v>
      </c>
      <c r="B1481">
        <v>27.452999999999999</v>
      </c>
      <c r="C1481" t="s">
        <v>2</v>
      </c>
      <c r="D1481">
        <v>0.155</v>
      </c>
      <c r="E1481">
        <v>4.2552149999999997</v>
      </c>
      <c r="F1481" t="s">
        <v>17</v>
      </c>
      <c r="G1481">
        <v>0.12300000000000001</v>
      </c>
      <c r="H1481">
        <v>0.52339144500000001</v>
      </c>
      <c r="I1481" t="s">
        <v>9</v>
      </c>
      <c r="J1481">
        <v>0.316</v>
      </c>
      <c r="K1481">
        <v>0.16539169662</v>
      </c>
      <c r="L1481" t="s">
        <v>37</v>
      </c>
      <c r="M1481">
        <v>0.433</v>
      </c>
      <c r="N1481">
        <v>0.22662849568500001</v>
      </c>
    </row>
    <row r="1482" spans="1:14" x14ac:dyDescent="0.25">
      <c r="A1482" s="23">
        <v>44579</v>
      </c>
      <c r="B1482">
        <v>27.452999999999999</v>
      </c>
      <c r="C1482" t="s">
        <v>2</v>
      </c>
      <c r="D1482">
        <v>0.155</v>
      </c>
      <c r="E1482">
        <v>4.2552149999999997</v>
      </c>
      <c r="F1482" t="s">
        <v>17</v>
      </c>
      <c r="G1482">
        <v>0.12300000000000001</v>
      </c>
      <c r="H1482">
        <v>0.52339144500000001</v>
      </c>
      <c r="I1482" t="s">
        <v>55</v>
      </c>
      <c r="J1482">
        <v>0</v>
      </c>
      <c r="K1482">
        <v>0</v>
      </c>
      <c r="L1482" t="s">
        <v>38</v>
      </c>
      <c r="M1482">
        <v>0</v>
      </c>
      <c r="N1482">
        <v>0</v>
      </c>
    </row>
    <row r="1483" spans="1:14" x14ac:dyDescent="0.25">
      <c r="A1483" s="23">
        <v>44580</v>
      </c>
      <c r="B1483">
        <v>27.452999999999999</v>
      </c>
      <c r="C1483" t="s">
        <v>2</v>
      </c>
      <c r="D1483">
        <v>0.155</v>
      </c>
      <c r="E1483">
        <v>4.2552149999999997</v>
      </c>
      <c r="F1483" t="s">
        <v>17</v>
      </c>
      <c r="G1483">
        <v>0.12300000000000001</v>
      </c>
      <c r="H1483">
        <v>0.52339144500000001</v>
      </c>
      <c r="L1483" t="s">
        <v>39</v>
      </c>
      <c r="M1483">
        <v>0</v>
      </c>
      <c r="N1483">
        <v>0</v>
      </c>
    </row>
    <row r="1484" spans="1:14" x14ac:dyDescent="0.25">
      <c r="A1484" s="23">
        <v>44581</v>
      </c>
      <c r="B1484">
        <v>27.452999999999999</v>
      </c>
      <c r="C1484" t="s">
        <v>2</v>
      </c>
      <c r="D1484">
        <v>0.155</v>
      </c>
      <c r="E1484">
        <v>4.2552149999999997</v>
      </c>
      <c r="F1484" t="s">
        <v>18</v>
      </c>
      <c r="G1484">
        <v>8.5000000000000006E-2</v>
      </c>
      <c r="H1484">
        <v>0.36169327499999998</v>
      </c>
      <c r="I1484" t="s">
        <v>11</v>
      </c>
      <c r="J1484">
        <v>0.34299999999999997</v>
      </c>
      <c r="K1484">
        <v>0.12406079332499999</v>
      </c>
      <c r="L1484" t="s">
        <v>32</v>
      </c>
      <c r="M1484">
        <v>2.8999999999999998E-2</v>
      </c>
      <c r="N1484">
        <v>1.0489104974999998E-2</v>
      </c>
    </row>
    <row r="1485" spans="1:14" x14ac:dyDescent="0.25">
      <c r="A1485" s="23">
        <v>44582</v>
      </c>
      <c r="B1485">
        <v>27.452999999999999</v>
      </c>
      <c r="C1485" t="s">
        <v>2</v>
      </c>
      <c r="D1485">
        <v>0.155</v>
      </c>
      <c r="E1485">
        <v>4.2552149999999997</v>
      </c>
      <c r="F1485" t="s">
        <v>18</v>
      </c>
      <c r="G1485">
        <v>8.5000000000000006E-2</v>
      </c>
      <c r="H1485">
        <v>0.36169327499999998</v>
      </c>
      <c r="I1485" t="s">
        <v>12</v>
      </c>
      <c r="J1485">
        <v>0.04</v>
      </c>
      <c r="K1485">
        <v>1.4467730999999999E-2</v>
      </c>
      <c r="L1485" t="s">
        <v>33</v>
      </c>
      <c r="M1485">
        <v>7.400000000000001E-2</v>
      </c>
      <c r="N1485">
        <v>2.6765302350000002E-2</v>
      </c>
    </row>
    <row r="1486" spans="1:14" x14ac:dyDescent="0.25">
      <c r="A1486" s="23">
        <v>44583</v>
      </c>
      <c r="B1486">
        <v>27.452999999999999</v>
      </c>
      <c r="C1486" t="s">
        <v>2</v>
      </c>
      <c r="D1486">
        <v>0.155</v>
      </c>
      <c r="E1486">
        <v>4.2552149999999997</v>
      </c>
      <c r="F1486" t="s">
        <v>18</v>
      </c>
      <c r="G1486">
        <v>8.5000000000000006E-2</v>
      </c>
      <c r="H1486">
        <v>0.36169327499999998</v>
      </c>
      <c r="I1486" t="s">
        <v>7</v>
      </c>
      <c r="J1486">
        <v>5.7999999999999996E-2</v>
      </c>
      <c r="K1486">
        <v>2.0978209949999996E-2</v>
      </c>
      <c r="L1486" t="s">
        <v>34</v>
      </c>
      <c r="M1486">
        <v>9.5000000000000001E-2</v>
      </c>
      <c r="N1486">
        <v>3.4360861124999996E-2</v>
      </c>
    </row>
    <row r="1487" spans="1:14" x14ac:dyDescent="0.25">
      <c r="A1487" s="23">
        <v>44584</v>
      </c>
      <c r="B1487">
        <v>27.452999999999999</v>
      </c>
      <c r="C1487" t="s">
        <v>2</v>
      </c>
      <c r="D1487">
        <v>0.155</v>
      </c>
      <c r="E1487">
        <v>4.2552149999999997</v>
      </c>
      <c r="F1487" t="s">
        <v>18</v>
      </c>
      <c r="G1487">
        <v>8.5000000000000006E-2</v>
      </c>
      <c r="H1487">
        <v>0.36169327499999998</v>
      </c>
      <c r="I1487" t="s">
        <v>8</v>
      </c>
      <c r="J1487">
        <v>0.25900000000000001</v>
      </c>
      <c r="K1487">
        <v>0</v>
      </c>
      <c r="L1487" t="s">
        <v>35</v>
      </c>
      <c r="M1487">
        <v>0.313</v>
      </c>
      <c r="N1487">
        <v>0.113209995075</v>
      </c>
    </row>
    <row r="1488" spans="1:14" x14ac:dyDescent="0.25">
      <c r="A1488" s="23">
        <v>44585</v>
      </c>
      <c r="B1488">
        <v>27.452999999999999</v>
      </c>
      <c r="C1488" t="s">
        <v>2</v>
      </c>
      <c r="D1488">
        <v>0.155</v>
      </c>
      <c r="E1488">
        <v>4.2552149999999997</v>
      </c>
      <c r="F1488" t="s">
        <v>18</v>
      </c>
      <c r="G1488">
        <v>8.5000000000000006E-2</v>
      </c>
      <c r="H1488">
        <v>0.36169327499999998</v>
      </c>
      <c r="I1488" t="s">
        <v>10</v>
      </c>
      <c r="J1488">
        <v>6.2E-2</v>
      </c>
      <c r="K1488">
        <v>9.3678558225E-2</v>
      </c>
      <c r="L1488" t="s">
        <v>36</v>
      </c>
      <c r="M1488">
        <v>0.28399999999999997</v>
      </c>
      <c r="N1488">
        <v>0.10272089009999999</v>
      </c>
    </row>
    <row r="1489" spans="1:14" x14ac:dyDescent="0.25">
      <c r="A1489" s="23">
        <v>44586</v>
      </c>
      <c r="B1489">
        <v>27.452999999999999</v>
      </c>
      <c r="C1489" t="s">
        <v>2</v>
      </c>
      <c r="D1489">
        <v>0.155</v>
      </c>
      <c r="E1489">
        <v>4.2552149999999997</v>
      </c>
      <c r="F1489" t="s">
        <v>48</v>
      </c>
      <c r="G1489">
        <v>8.5000000000000006E-2</v>
      </c>
      <c r="H1489">
        <v>0.36169327499999998</v>
      </c>
      <c r="I1489" t="s">
        <v>9</v>
      </c>
      <c r="J1489">
        <v>0.23899999999999999</v>
      </c>
      <c r="K1489">
        <v>8.6444692724999994E-2</v>
      </c>
      <c r="L1489" t="s">
        <v>37</v>
      </c>
      <c r="M1489">
        <v>0.16800000000000001</v>
      </c>
      <c r="N1489">
        <v>6.0764470200000004E-2</v>
      </c>
    </row>
    <row r="1490" spans="1:14" x14ac:dyDescent="0.25">
      <c r="A1490" s="23">
        <v>44587</v>
      </c>
      <c r="B1490">
        <v>27.452999999999999</v>
      </c>
      <c r="C1490" t="s">
        <v>2</v>
      </c>
      <c r="D1490">
        <v>0.155</v>
      </c>
      <c r="E1490">
        <v>4.2552149999999997</v>
      </c>
      <c r="F1490" t="s">
        <v>18</v>
      </c>
      <c r="G1490">
        <v>8.5000000000000006E-2</v>
      </c>
      <c r="H1490">
        <v>0.36169327499999998</v>
      </c>
      <c r="I1490" t="s">
        <v>55</v>
      </c>
      <c r="J1490">
        <v>0</v>
      </c>
      <c r="K1490">
        <v>0</v>
      </c>
      <c r="L1490" t="s">
        <v>38</v>
      </c>
      <c r="M1490">
        <v>1.9E-2</v>
      </c>
      <c r="N1490">
        <v>6.8721722249999997E-3</v>
      </c>
    </row>
    <row r="1491" spans="1:14" x14ac:dyDescent="0.25">
      <c r="A1491" s="23">
        <v>44588</v>
      </c>
      <c r="B1491">
        <v>27.452999999999999</v>
      </c>
      <c r="C1491" t="s">
        <v>2</v>
      </c>
      <c r="D1491">
        <v>0.155</v>
      </c>
      <c r="E1491">
        <v>4.2552149999999997</v>
      </c>
      <c r="F1491" t="s">
        <v>18</v>
      </c>
      <c r="G1491">
        <v>8.5000000000000006E-2</v>
      </c>
      <c r="H1491">
        <v>0.36169327499999998</v>
      </c>
      <c r="L1491" t="s">
        <v>39</v>
      </c>
      <c r="M1491">
        <v>1.9E-2</v>
      </c>
      <c r="N1491">
        <v>6.8721722249999997E-3</v>
      </c>
    </row>
    <row r="1492" spans="1:14" x14ac:dyDescent="0.25">
      <c r="A1492" s="23">
        <v>44589</v>
      </c>
      <c r="B1492">
        <v>27.452999999999999</v>
      </c>
      <c r="C1492" t="s">
        <v>19</v>
      </c>
      <c r="D1492">
        <v>0.84499999999999997</v>
      </c>
      <c r="E1492">
        <v>23.197785</v>
      </c>
      <c r="F1492" t="s">
        <v>54</v>
      </c>
      <c r="G1492">
        <v>0.80200000000000005</v>
      </c>
      <c r="H1492">
        <v>18.604623570000001</v>
      </c>
      <c r="I1492" t="s">
        <v>11</v>
      </c>
      <c r="J1492">
        <v>0.12</v>
      </c>
      <c r="K1492">
        <v>2.2325548284000001</v>
      </c>
      <c r="L1492" t="s">
        <v>32</v>
      </c>
      <c r="M1492">
        <v>4.2000000000000003E-2</v>
      </c>
      <c r="N1492">
        <v>0.78139418994000009</v>
      </c>
    </row>
    <row r="1493" spans="1:14" x14ac:dyDescent="0.25">
      <c r="A1493" s="23">
        <v>44590</v>
      </c>
      <c r="B1493">
        <v>27.452999999999999</v>
      </c>
      <c r="C1493" t="s">
        <v>19</v>
      </c>
      <c r="D1493">
        <v>0.84499999999999997</v>
      </c>
      <c r="E1493">
        <v>23.197785</v>
      </c>
      <c r="F1493" t="s">
        <v>14</v>
      </c>
      <c r="G1493">
        <v>0.80200000000000005</v>
      </c>
      <c r="H1493">
        <v>18.604623570000001</v>
      </c>
      <c r="I1493" t="s">
        <v>12</v>
      </c>
      <c r="J1493">
        <v>0.11699999999999999</v>
      </c>
      <c r="K1493">
        <v>2.1767409576899999</v>
      </c>
      <c r="L1493" t="s">
        <v>33</v>
      </c>
      <c r="M1493">
        <v>8.3000000000000004E-2</v>
      </c>
      <c r="N1493">
        <v>1.5441837563100003</v>
      </c>
    </row>
    <row r="1494" spans="1:14" x14ac:dyDescent="0.25">
      <c r="A1494" s="23">
        <v>44591</v>
      </c>
      <c r="B1494">
        <v>27.452999999999999</v>
      </c>
      <c r="C1494" t="s">
        <v>19</v>
      </c>
      <c r="D1494">
        <v>0.84499999999999997</v>
      </c>
      <c r="E1494">
        <v>23.197785</v>
      </c>
      <c r="F1494" t="s">
        <v>14</v>
      </c>
      <c r="G1494">
        <v>0.80200000000000005</v>
      </c>
      <c r="H1494">
        <v>18.604623570000001</v>
      </c>
      <c r="I1494" t="s">
        <v>7</v>
      </c>
      <c r="J1494">
        <v>0.122</v>
      </c>
      <c r="K1494">
        <v>2.2697640755399999</v>
      </c>
      <c r="L1494" t="s">
        <v>34</v>
      </c>
      <c r="M1494">
        <v>0.12300000000000001</v>
      </c>
      <c r="N1494">
        <v>2.2883686991100003</v>
      </c>
    </row>
    <row r="1495" spans="1:14" x14ac:dyDescent="0.25">
      <c r="A1495" s="23">
        <v>44592</v>
      </c>
      <c r="B1495">
        <v>27.452999999999999</v>
      </c>
      <c r="C1495" t="s">
        <v>19</v>
      </c>
      <c r="D1495">
        <v>0.84499999999999997</v>
      </c>
      <c r="E1495">
        <v>23.197785</v>
      </c>
      <c r="F1495" t="s">
        <v>14</v>
      </c>
      <c r="G1495">
        <v>0.80200000000000005</v>
      </c>
      <c r="H1495">
        <v>18.604623570000001</v>
      </c>
      <c r="I1495" t="s">
        <v>8</v>
      </c>
      <c r="J1495">
        <v>0.34299999999999997</v>
      </c>
      <c r="K1495">
        <v>6.3813858845100002</v>
      </c>
      <c r="L1495" t="s">
        <v>35</v>
      </c>
      <c r="M1495">
        <v>0.28199999999999997</v>
      </c>
      <c r="N1495">
        <v>5.2465038467399996</v>
      </c>
    </row>
    <row r="1496" spans="1:14" x14ac:dyDescent="0.25">
      <c r="A1496" s="23">
        <v>44593</v>
      </c>
      <c r="B1496">
        <v>27.452999999999999</v>
      </c>
      <c r="C1496" t="s">
        <v>19</v>
      </c>
      <c r="D1496">
        <v>0.84499999999999997</v>
      </c>
      <c r="E1496">
        <v>23.197785</v>
      </c>
      <c r="F1496" t="s">
        <v>14</v>
      </c>
      <c r="G1496">
        <v>0.80200000000000005</v>
      </c>
      <c r="H1496">
        <v>18.604623570000001</v>
      </c>
      <c r="I1496" t="s">
        <v>10</v>
      </c>
      <c r="J1496">
        <v>4.2000000000000003E-2</v>
      </c>
      <c r="K1496">
        <v>0.78139418994000009</v>
      </c>
      <c r="L1496" t="s">
        <v>36</v>
      </c>
      <c r="M1496">
        <v>0.245</v>
      </c>
      <c r="N1496">
        <v>4.5581327746499998</v>
      </c>
    </row>
    <row r="1497" spans="1:14" x14ac:dyDescent="0.25">
      <c r="A1497" s="23">
        <v>44594</v>
      </c>
      <c r="B1497">
        <v>27.452999999999999</v>
      </c>
      <c r="C1497" t="s">
        <v>19</v>
      </c>
      <c r="D1497">
        <v>0.84499999999999997</v>
      </c>
      <c r="E1497">
        <v>23.197785</v>
      </c>
      <c r="F1497" t="s">
        <v>14</v>
      </c>
      <c r="G1497">
        <v>0.80200000000000005</v>
      </c>
      <c r="H1497">
        <v>18.604623570000001</v>
      </c>
      <c r="I1497" t="s">
        <v>9</v>
      </c>
      <c r="J1497">
        <v>0.23899999999999999</v>
      </c>
      <c r="K1497">
        <v>0.31627860069000002</v>
      </c>
      <c r="L1497" t="s">
        <v>37</v>
      </c>
      <c r="M1497">
        <v>0.18</v>
      </c>
      <c r="N1497">
        <v>3.3488322425999999</v>
      </c>
    </row>
    <row r="1498" spans="1:14" x14ac:dyDescent="0.25">
      <c r="A1498" s="23">
        <v>44595</v>
      </c>
      <c r="B1498">
        <v>27.452999999999999</v>
      </c>
      <c r="C1498" t="s">
        <v>19</v>
      </c>
      <c r="D1498">
        <v>0.84499999999999997</v>
      </c>
      <c r="E1498">
        <v>23.197785</v>
      </c>
      <c r="F1498" t="s">
        <v>14</v>
      </c>
      <c r="G1498">
        <v>0.80200000000000005</v>
      </c>
      <c r="H1498">
        <v>18.604623570000001</v>
      </c>
      <c r="I1498" t="s">
        <v>55</v>
      </c>
      <c r="J1498">
        <v>1.7000000000000001E-2</v>
      </c>
      <c r="K1498">
        <v>0.31627860069000002</v>
      </c>
      <c r="L1498" t="s">
        <v>38</v>
      </c>
      <c r="M1498">
        <v>2.5000000000000001E-2</v>
      </c>
      <c r="N1498">
        <v>0.46511558925000007</v>
      </c>
    </row>
    <row r="1499" spans="1:14" x14ac:dyDescent="0.25">
      <c r="A1499" s="23">
        <v>44596</v>
      </c>
      <c r="B1499">
        <v>27.452999999999999</v>
      </c>
      <c r="C1499" t="s">
        <v>19</v>
      </c>
      <c r="D1499">
        <v>0.84499999999999997</v>
      </c>
      <c r="E1499">
        <v>23.197785</v>
      </c>
      <c r="F1499" t="s">
        <v>14</v>
      </c>
      <c r="G1499">
        <v>0.80200000000000005</v>
      </c>
      <c r="H1499">
        <v>18.604623570000001</v>
      </c>
      <c r="L1499" t="s">
        <v>39</v>
      </c>
      <c r="M1499">
        <v>2.1000000000000001E-2</v>
      </c>
      <c r="N1499">
        <v>0.39069709497000005</v>
      </c>
    </row>
    <row r="1500" spans="1:14" x14ac:dyDescent="0.25">
      <c r="A1500" s="23">
        <v>44597</v>
      </c>
      <c r="B1500">
        <v>27.452999999999999</v>
      </c>
      <c r="C1500" t="s">
        <v>19</v>
      </c>
      <c r="D1500">
        <v>0.84499999999999997</v>
      </c>
      <c r="E1500">
        <v>23.197785</v>
      </c>
      <c r="F1500" t="s">
        <v>52</v>
      </c>
      <c r="G1500">
        <v>0.85099999999999998</v>
      </c>
      <c r="H1500">
        <v>19.741315035</v>
      </c>
      <c r="I1500" t="s">
        <v>11</v>
      </c>
      <c r="J1500">
        <v>6.4000000000000001E-2</v>
      </c>
      <c r="K1500">
        <v>1.2634441622399999</v>
      </c>
      <c r="L1500" t="s">
        <v>32</v>
      </c>
      <c r="M1500">
        <v>4.0000000000000001E-3</v>
      </c>
      <c r="N1500">
        <v>7.8965260139999993E-2</v>
      </c>
    </row>
    <row r="1501" spans="1:14" x14ac:dyDescent="0.25">
      <c r="A1501" s="23">
        <v>44598</v>
      </c>
      <c r="B1501">
        <v>27.452999999999999</v>
      </c>
      <c r="C1501" t="s">
        <v>19</v>
      </c>
      <c r="D1501">
        <v>0.84499999999999997</v>
      </c>
      <c r="E1501">
        <v>23.197785</v>
      </c>
      <c r="F1501" t="s">
        <v>15</v>
      </c>
      <c r="G1501">
        <v>0.85099999999999998</v>
      </c>
      <c r="H1501">
        <v>19.741315035</v>
      </c>
      <c r="I1501" t="s">
        <v>12</v>
      </c>
      <c r="J1501">
        <v>7.2000000000000008E-2</v>
      </c>
      <c r="K1501">
        <v>1.4213746825200002</v>
      </c>
      <c r="L1501" t="s">
        <v>33</v>
      </c>
      <c r="M1501">
        <v>9.0999999999999998E-2</v>
      </c>
      <c r="N1501">
        <v>1.7964596681849998</v>
      </c>
    </row>
    <row r="1502" spans="1:14" x14ac:dyDescent="0.25">
      <c r="A1502" s="23">
        <v>44599</v>
      </c>
      <c r="B1502">
        <v>27.452999999999999</v>
      </c>
      <c r="C1502" t="s">
        <v>19</v>
      </c>
      <c r="D1502">
        <v>0.84499999999999997</v>
      </c>
      <c r="E1502">
        <v>23.197785</v>
      </c>
      <c r="F1502" t="s">
        <v>15</v>
      </c>
      <c r="G1502">
        <v>0.85099999999999998</v>
      </c>
      <c r="H1502">
        <v>19.741315035</v>
      </c>
      <c r="I1502" t="s">
        <v>7</v>
      </c>
      <c r="J1502">
        <v>5.7000000000000002E-2</v>
      </c>
      <c r="K1502">
        <v>1.1252549569950001</v>
      </c>
      <c r="L1502" t="s">
        <v>34</v>
      </c>
      <c r="M1502">
        <v>0.13200000000000001</v>
      </c>
      <c r="N1502">
        <v>2.6058535846200002</v>
      </c>
    </row>
    <row r="1503" spans="1:14" x14ac:dyDescent="0.25">
      <c r="A1503" s="23">
        <v>44600</v>
      </c>
      <c r="B1503">
        <v>27.452999999999999</v>
      </c>
      <c r="C1503" t="s">
        <v>19</v>
      </c>
      <c r="D1503">
        <v>0.84499999999999997</v>
      </c>
      <c r="E1503">
        <v>23.197785</v>
      </c>
      <c r="F1503" t="s">
        <v>15</v>
      </c>
      <c r="G1503">
        <v>0.85099999999999998</v>
      </c>
      <c r="H1503">
        <v>19.741315035</v>
      </c>
      <c r="I1503" t="s">
        <v>8</v>
      </c>
      <c r="J1503">
        <v>0.48399999999999999</v>
      </c>
      <c r="K1503">
        <v>9.55479647694</v>
      </c>
      <c r="L1503" t="s">
        <v>35</v>
      </c>
      <c r="M1503">
        <v>0.25600000000000001</v>
      </c>
      <c r="N1503">
        <v>5.0537766489599996</v>
      </c>
    </row>
    <row r="1504" spans="1:14" x14ac:dyDescent="0.25">
      <c r="A1504" s="23">
        <v>44601</v>
      </c>
      <c r="B1504">
        <v>27.452999999999999</v>
      </c>
      <c r="C1504" t="s">
        <v>19</v>
      </c>
      <c r="D1504">
        <v>0.84499999999999997</v>
      </c>
      <c r="E1504">
        <v>23.197785</v>
      </c>
      <c r="F1504" t="s">
        <v>15</v>
      </c>
      <c r="G1504">
        <v>0.85099999999999998</v>
      </c>
      <c r="H1504">
        <v>19.741315035</v>
      </c>
      <c r="I1504" t="s">
        <v>10</v>
      </c>
      <c r="J1504">
        <v>6.3E-2</v>
      </c>
      <c r="K1504">
        <v>1.243702847205</v>
      </c>
      <c r="L1504" t="s">
        <v>36</v>
      </c>
      <c r="M1504">
        <v>0.28899999999999998</v>
      </c>
      <c r="N1504">
        <v>5.7052400451149996</v>
      </c>
    </row>
    <row r="1505" spans="1:14" x14ac:dyDescent="0.25">
      <c r="A1505" s="23">
        <v>44602</v>
      </c>
      <c r="B1505">
        <v>27.452999999999999</v>
      </c>
      <c r="C1505" t="s">
        <v>19</v>
      </c>
      <c r="D1505">
        <v>0.84499999999999997</v>
      </c>
      <c r="E1505">
        <v>23.197785</v>
      </c>
      <c r="F1505" t="s">
        <v>15</v>
      </c>
      <c r="G1505">
        <v>0.85099999999999998</v>
      </c>
      <c r="H1505">
        <v>19.741315035</v>
      </c>
      <c r="I1505" t="s">
        <v>9</v>
      </c>
      <c r="J1505">
        <v>0.25</v>
      </c>
      <c r="K1505">
        <v>4.9353287587499999</v>
      </c>
      <c r="L1505" t="s">
        <v>37</v>
      </c>
      <c r="M1505">
        <v>0.191</v>
      </c>
      <c r="N1505">
        <v>3.770591171685</v>
      </c>
    </row>
    <row r="1506" spans="1:14" x14ac:dyDescent="0.25">
      <c r="A1506" s="23">
        <v>44603</v>
      </c>
      <c r="B1506">
        <v>27.452999999999999</v>
      </c>
      <c r="C1506" t="s">
        <v>19</v>
      </c>
      <c r="D1506">
        <v>0.84499999999999997</v>
      </c>
      <c r="E1506">
        <v>23.197785</v>
      </c>
      <c r="F1506" t="s">
        <v>15</v>
      </c>
      <c r="G1506">
        <v>0.85099999999999998</v>
      </c>
      <c r="H1506">
        <v>19.741315035</v>
      </c>
      <c r="I1506" t="s">
        <v>55</v>
      </c>
      <c r="J1506">
        <v>1.1000000000000001E-2</v>
      </c>
      <c r="K1506">
        <v>0.21715446538500002</v>
      </c>
      <c r="L1506" t="s">
        <v>38</v>
      </c>
      <c r="M1506">
        <v>1.1000000000000001E-2</v>
      </c>
      <c r="N1506">
        <v>0.21715446538500002</v>
      </c>
    </row>
    <row r="1507" spans="1:14" x14ac:dyDescent="0.25">
      <c r="A1507" s="23">
        <v>44604</v>
      </c>
      <c r="B1507">
        <v>27.452999999999999</v>
      </c>
      <c r="C1507" t="s">
        <v>19</v>
      </c>
      <c r="D1507">
        <v>0.84499999999999997</v>
      </c>
      <c r="E1507">
        <v>23.197785</v>
      </c>
      <c r="F1507" t="s">
        <v>15</v>
      </c>
      <c r="G1507">
        <v>0.85099999999999998</v>
      </c>
      <c r="H1507">
        <v>19.741315035</v>
      </c>
      <c r="L1507" t="s">
        <v>39</v>
      </c>
      <c r="M1507">
        <v>2.6000000000000002E-2</v>
      </c>
      <c r="N1507">
        <v>0.51327419091000004</v>
      </c>
    </row>
    <row r="1508" spans="1:14" x14ac:dyDescent="0.25">
      <c r="A1508" s="23">
        <v>44605</v>
      </c>
      <c r="B1508">
        <v>27.452999999999999</v>
      </c>
      <c r="C1508" t="s">
        <v>19</v>
      </c>
      <c r="D1508">
        <v>0.84499999999999997</v>
      </c>
      <c r="E1508">
        <v>23.197785</v>
      </c>
      <c r="F1508" t="s">
        <v>53</v>
      </c>
      <c r="G1508">
        <v>0.83200000000000007</v>
      </c>
      <c r="H1508">
        <v>19.300557120000001</v>
      </c>
      <c r="I1508" t="s">
        <v>11</v>
      </c>
      <c r="J1508">
        <v>0.13100000000000001</v>
      </c>
      <c r="K1508">
        <v>2.5283729827200001</v>
      </c>
      <c r="L1508" t="s">
        <v>32</v>
      </c>
      <c r="M1508">
        <v>3.7999999999999999E-2</v>
      </c>
      <c r="N1508">
        <v>0.73342117056</v>
      </c>
    </row>
    <row r="1509" spans="1:14" x14ac:dyDescent="0.25">
      <c r="A1509" s="23">
        <v>44606</v>
      </c>
      <c r="B1509">
        <v>27.452999999999999</v>
      </c>
      <c r="C1509" t="s">
        <v>19</v>
      </c>
      <c r="D1509">
        <v>0.84499999999999997</v>
      </c>
      <c r="E1509">
        <v>23.197785</v>
      </c>
      <c r="F1509" t="s">
        <v>16</v>
      </c>
      <c r="G1509">
        <v>0.83200000000000007</v>
      </c>
      <c r="H1509">
        <v>19.300557120000001</v>
      </c>
      <c r="I1509" t="s">
        <v>12</v>
      </c>
      <c r="J1509">
        <v>0.105</v>
      </c>
      <c r="K1509">
        <v>2.0265584976</v>
      </c>
      <c r="L1509" t="s">
        <v>33</v>
      </c>
      <c r="M1509">
        <v>9.4E-2</v>
      </c>
      <c r="N1509">
        <v>1.8142523692800001</v>
      </c>
    </row>
    <row r="1510" spans="1:14" x14ac:dyDescent="0.25">
      <c r="A1510" s="23">
        <v>44607</v>
      </c>
      <c r="B1510">
        <v>27.452999999999999</v>
      </c>
      <c r="C1510" t="s">
        <v>19</v>
      </c>
      <c r="D1510">
        <v>0.84499999999999997</v>
      </c>
      <c r="E1510">
        <v>23.197785</v>
      </c>
      <c r="F1510" t="s">
        <v>16</v>
      </c>
      <c r="G1510">
        <v>0.83200000000000007</v>
      </c>
      <c r="H1510">
        <v>19.300557120000001</v>
      </c>
      <c r="I1510" t="s">
        <v>7</v>
      </c>
      <c r="J1510">
        <v>0.11599999999999999</v>
      </c>
      <c r="K1510">
        <v>2.2388646259199998</v>
      </c>
      <c r="L1510" t="s">
        <v>34</v>
      </c>
      <c r="M1510">
        <v>0.126</v>
      </c>
      <c r="N1510">
        <v>2.4318701971200003</v>
      </c>
    </row>
    <row r="1511" spans="1:14" x14ac:dyDescent="0.25">
      <c r="A1511" s="23">
        <v>44608</v>
      </c>
      <c r="B1511">
        <v>27.452999999999999</v>
      </c>
      <c r="C1511" t="s">
        <v>19</v>
      </c>
      <c r="D1511">
        <v>0.84499999999999997</v>
      </c>
      <c r="E1511">
        <v>23.197785</v>
      </c>
      <c r="F1511" t="s">
        <v>16</v>
      </c>
      <c r="G1511">
        <v>0.83200000000000007</v>
      </c>
      <c r="H1511">
        <v>19.300557120000001</v>
      </c>
      <c r="I1511" t="s">
        <v>8</v>
      </c>
      <c r="J1511">
        <v>0.35899999999999999</v>
      </c>
      <c r="K1511">
        <v>6.9289000060800001</v>
      </c>
      <c r="L1511" t="s">
        <v>35</v>
      </c>
      <c r="M1511">
        <v>0.28600000000000003</v>
      </c>
      <c r="N1511">
        <v>5.5199593363200004</v>
      </c>
    </row>
    <row r="1512" spans="1:14" x14ac:dyDescent="0.25">
      <c r="A1512" s="23">
        <v>44609</v>
      </c>
      <c r="B1512">
        <v>27.452999999999999</v>
      </c>
      <c r="C1512" t="s">
        <v>19</v>
      </c>
      <c r="D1512">
        <v>0.84499999999999997</v>
      </c>
      <c r="E1512">
        <v>23.197785</v>
      </c>
      <c r="F1512" t="s">
        <v>16</v>
      </c>
      <c r="G1512">
        <v>0.83200000000000007</v>
      </c>
      <c r="H1512">
        <v>19.300557120000001</v>
      </c>
      <c r="I1512" t="s">
        <v>10</v>
      </c>
      <c r="J1512">
        <v>4.7E-2</v>
      </c>
      <c r="K1512">
        <v>0.90712618464000006</v>
      </c>
      <c r="L1512" t="s">
        <v>36</v>
      </c>
      <c r="M1512">
        <v>0.24600000000000002</v>
      </c>
      <c r="N1512">
        <v>4.747937051520001</v>
      </c>
    </row>
    <row r="1513" spans="1:14" x14ac:dyDescent="0.25">
      <c r="A1513" s="23">
        <v>44610</v>
      </c>
      <c r="B1513">
        <v>27.452999999999999</v>
      </c>
      <c r="C1513" t="s">
        <v>19</v>
      </c>
      <c r="D1513">
        <v>0.84499999999999997</v>
      </c>
      <c r="E1513">
        <v>23.197785</v>
      </c>
      <c r="F1513" t="s">
        <v>16</v>
      </c>
      <c r="G1513">
        <v>0.83200000000000007</v>
      </c>
      <c r="H1513">
        <v>19.300557120000001</v>
      </c>
      <c r="I1513" t="s">
        <v>9</v>
      </c>
      <c r="J1513">
        <v>0.22699999999999998</v>
      </c>
      <c r="K1513">
        <v>4.3812264662399993</v>
      </c>
      <c r="L1513" t="s">
        <v>37</v>
      </c>
      <c r="M1513">
        <v>0.17300000000000001</v>
      </c>
      <c r="N1513">
        <v>3.3389963817600004</v>
      </c>
    </row>
    <row r="1514" spans="1:14" x14ac:dyDescent="0.25">
      <c r="A1514" s="23">
        <v>44611</v>
      </c>
      <c r="B1514">
        <v>27.452999999999999</v>
      </c>
      <c r="C1514" t="s">
        <v>19</v>
      </c>
      <c r="D1514">
        <v>0.84499999999999997</v>
      </c>
      <c r="E1514">
        <v>23.197785</v>
      </c>
      <c r="F1514" t="s">
        <v>16</v>
      </c>
      <c r="G1514">
        <v>0.83200000000000007</v>
      </c>
      <c r="H1514">
        <v>19.300557120000001</v>
      </c>
      <c r="I1514" t="s">
        <v>55</v>
      </c>
      <c r="J1514">
        <v>1.4999999999999999E-2</v>
      </c>
      <c r="K1514">
        <v>0.28950835679999998</v>
      </c>
      <c r="L1514" t="s">
        <v>38</v>
      </c>
      <c r="M1514">
        <v>1.9E-2</v>
      </c>
      <c r="N1514">
        <v>0.36671058528</v>
      </c>
    </row>
    <row r="1515" spans="1:14" x14ac:dyDescent="0.25">
      <c r="A1515" s="23">
        <v>44612</v>
      </c>
      <c r="B1515">
        <v>27.452999999999999</v>
      </c>
      <c r="C1515" t="s">
        <v>19</v>
      </c>
      <c r="D1515">
        <v>0.84499999999999997</v>
      </c>
      <c r="E1515">
        <v>23.197785</v>
      </c>
      <c r="F1515" t="s">
        <v>16</v>
      </c>
      <c r="G1515">
        <v>0.83200000000000007</v>
      </c>
      <c r="H1515">
        <v>19.300557120000001</v>
      </c>
      <c r="L1515" t="s">
        <v>39</v>
      </c>
      <c r="M1515">
        <v>1.8000000000000002E-2</v>
      </c>
      <c r="N1515">
        <v>0.34741002816000005</v>
      </c>
    </row>
    <row r="1516" spans="1:14" x14ac:dyDescent="0.25">
      <c r="A1516" s="23">
        <v>44613</v>
      </c>
      <c r="B1516">
        <v>27.452999999999999</v>
      </c>
      <c r="C1516" t="s">
        <v>19</v>
      </c>
      <c r="D1516">
        <v>0.84499999999999997</v>
      </c>
      <c r="E1516">
        <v>23.197785</v>
      </c>
      <c r="F1516" t="s">
        <v>51</v>
      </c>
      <c r="G1516">
        <v>0.82400000000000007</v>
      </c>
      <c r="H1516">
        <v>19.114974840000002</v>
      </c>
      <c r="I1516" t="s">
        <v>11</v>
      </c>
      <c r="J1516">
        <v>0.16699999999999998</v>
      </c>
      <c r="K1516">
        <v>3.19220079828</v>
      </c>
      <c r="L1516" t="s">
        <v>32</v>
      </c>
      <c r="M1516">
        <v>0.05</v>
      </c>
      <c r="N1516">
        <v>0.95574874200000015</v>
      </c>
    </row>
    <row r="1517" spans="1:14" x14ac:dyDescent="0.25">
      <c r="A1517" s="23">
        <v>44614</v>
      </c>
      <c r="B1517">
        <v>27.452999999999999</v>
      </c>
      <c r="C1517" t="s">
        <v>19</v>
      </c>
      <c r="D1517">
        <v>0.84499999999999997</v>
      </c>
      <c r="E1517">
        <v>23.197785</v>
      </c>
      <c r="F1517" t="s">
        <v>13</v>
      </c>
      <c r="G1517">
        <v>0.82400000000000007</v>
      </c>
      <c r="H1517">
        <v>19.114974840000002</v>
      </c>
      <c r="I1517" t="s">
        <v>12</v>
      </c>
      <c r="J1517">
        <v>0.125</v>
      </c>
      <c r="K1517">
        <v>2.3893718550000003</v>
      </c>
      <c r="L1517" t="s">
        <v>33</v>
      </c>
      <c r="M1517">
        <v>0.10099999999999999</v>
      </c>
      <c r="N1517">
        <v>1.93061245884</v>
      </c>
    </row>
    <row r="1518" spans="1:14" x14ac:dyDescent="0.25">
      <c r="A1518" s="23">
        <v>44615</v>
      </c>
      <c r="B1518">
        <v>27.452999999999999</v>
      </c>
      <c r="C1518" t="s">
        <v>19</v>
      </c>
      <c r="D1518">
        <v>0.84499999999999997</v>
      </c>
      <c r="E1518">
        <v>23.197785</v>
      </c>
      <c r="F1518" t="s">
        <v>13</v>
      </c>
      <c r="G1518">
        <v>0.82400000000000007</v>
      </c>
      <c r="H1518">
        <v>19.114974840000002</v>
      </c>
      <c r="I1518" t="s">
        <v>7</v>
      </c>
      <c r="J1518">
        <v>0.13200000000000001</v>
      </c>
      <c r="K1518">
        <v>2.5231766788800005</v>
      </c>
      <c r="L1518" t="s">
        <v>34</v>
      </c>
      <c r="M1518">
        <v>0.113</v>
      </c>
      <c r="N1518">
        <v>2.1599921569200005</v>
      </c>
    </row>
    <row r="1519" spans="1:14" x14ac:dyDescent="0.25">
      <c r="A1519" s="23">
        <v>44616</v>
      </c>
      <c r="B1519">
        <v>27.452999999999999</v>
      </c>
      <c r="C1519" t="s">
        <v>19</v>
      </c>
      <c r="D1519">
        <v>0.84499999999999997</v>
      </c>
      <c r="E1519">
        <v>23.197785</v>
      </c>
      <c r="F1519" t="s">
        <v>13</v>
      </c>
      <c r="G1519">
        <v>0.82400000000000007</v>
      </c>
      <c r="H1519">
        <v>19.114974840000002</v>
      </c>
      <c r="I1519" t="s">
        <v>8</v>
      </c>
      <c r="J1519">
        <v>0.38600000000000001</v>
      </c>
      <c r="K1519">
        <v>7.3783802882400007</v>
      </c>
      <c r="L1519" t="s">
        <v>35</v>
      </c>
      <c r="M1519">
        <v>0.29600000000000004</v>
      </c>
      <c r="N1519">
        <v>5.6580325526400017</v>
      </c>
    </row>
    <row r="1520" spans="1:14" x14ac:dyDescent="0.25">
      <c r="A1520" s="23">
        <v>44617</v>
      </c>
      <c r="B1520">
        <v>27.452999999999999</v>
      </c>
      <c r="C1520" t="s">
        <v>19</v>
      </c>
      <c r="D1520">
        <v>0.84499999999999997</v>
      </c>
      <c r="E1520">
        <v>23.197785</v>
      </c>
      <c r="F1520" t="s">
        <v>13</v>
      </c>
      <c r="G1520">
        <v>0.82400000000000007</v>
      </c>
      <c r="H1520">
        <v>19.114974840000002</v>
      </c>
      <c r="I1520" t="s">
        <v>10</v>
      </c>
      <c r="J1520">
        <v>3.3000000000000002E-2</v>
      </c>
      <c r="K1520">
        <v>0.63079416972000013</v>
      </c>
      <c r="L1520" t="s">
        <v>36</v>
      </c>
      <c r="M1520">
        <v>0.223</v>
      </c>
      <c r="N1520">
        <v>4.2626393893200003</v>
      </c>
    </row>
    <row r="1521" spans="1:14" x14ac:dyDescent="0.25">
      <c r="A1521" s="23">
        <v>44618</v>
      </c>
      <c r="B1521">
        <v>27.452999999999999</v>
      </c>
      <c r="C1521" t="s">
        <v>19</v>
      </c>
      <c r="D1521">
        <v>0.84499999999999997</v>
      </c>
      <c r="E1521">
        <v>23.197785</v>
      </c>
      <c r="F1521" t="s">
        <v>13</v>
      </c>
      <c r="G1521">
        <v>0.82400000000000007</v>
      </c>
      <c r="H1521">
        <v>19.114974840000002</v>
      </c>
      <c r="I1521" t="s">
        <v>9</v>
      </c>
      <c r="J1521">
        <v>0.13600000000000001</v>
      </c>
      <c r="K1521">
        <v>2.5996365782400006</v>
      </c>
      <c r="L1521" t="s">
        <v>37</v>
      </c>
      <c r="M1521">
        <v>0.16399999999999998</v>
      </c>
      <c r="N1521">
        <v>3.1348558737599999</v>
      </c>
    </row>
    <row r="1522" spans="1:14" x14ac:dyDescent="0.25">
      <c r="A1522" s="23">
        <v>44619</v>
      </c>
      <c r="B1522">
        <v>27.452999999999999</v>
      </c>
      <c r="C1522" t="s">
        <v>19</v>
      </c>
      <c r="D1522">
        <v>0.84499999999999997</v>
      </c>
      <c r="E1522">
        <v>23.197785</v>
      </c>
      <c r="F1522" t="s">
        <v>13</v>
      </c>
      <c r="G1522">
        <v>0.82400000000000007</v>
      </c>
      <c r="H1522">
        <v>19.114974840000002</v>
      </c>
      <c r="I1522" t="s">
        <v>55</v>
      </c>
      <c r="J1522">
        <v>2.2000000000000002E-2</v>
      </c>
      <c r="K1522">
        <v>0.42052944648000007</v>
      </c>
      <c r="L1522" t="s">
        <v>38</v>
      </c>
      <c r="M1522">
        <v>0.03</v>
      </c>
      <c r="N1522">
        <v>0.57344924520000007</v>
      </c>
    </row>
    <row r="1523" spans="1:14" x14ac:dyDescent="0.25">
      <c r="A1523" s="23">
        <v>44620</v>
      </c>
      <c r="B1523">
        <v>27.452999999999999</v>
      </c>
      <c r="C1523" t="s">
        <v>19</v>
      </c>
      <c r="D1523">
        <v>0.84499999999999997</v>
      </c>
      <c r="E1523">
        <v>23.197785</v>
      </c>
      <c r="F1523" t="s">
        <v>13</v>
      </c>
      <c r="G1523">
        <v>0.82400000000000007</v>
      </c>
      <c r="H1523">
        <v>19.114974840000002</v>
      </c>
      <c r="L1523" t="s">
        <v>39</v>
      </c>
      <c r="M1523">
        <v>2.4E-2</v>
      </c>
      <c r="N1523">
        <v>0.45875939616000005</v>
      </c>
    </row>
    <row r="1524" spans="1:14" x14ac:dyDescent="0.25">
      <c r="A1524" s="23">
        <v>44621</v>
      </c>
      <c r="B1524">
        <v>27.452999999999999</v>
      </c>
      <c r="C1524" t="s">
        <v>19</v>
      </c>
      <c r="D1524">
        <v>0.84499999999999997</v>
      </c>
      <c r="E1524">
        <v>23.197785</v>
      </c>
      <c r="F1524" t="s">
        <v>50</v>
      </c>
      <c r="G1524">
        <v>0.877</v>
      </c>
      <c r="H1524">
        <v>20.344457445</v>
      </c>
      <c r="I1524" t="s">
        <v>11</v>
      </c>
      <c r="J1524">
        <v>0.20899999999999999</v>
      </c>
      <c r="K1524">
        <v>4.2519916060049994</v>
      </c>
      <c r="L1524" t="s">
        <v>32</v>
      </c>
      <c r="M1524">
        <v>0.02</v>
      </c>
      <c r="N1524">
        <v>0.4068891489</v>
      </c>
    </row>
    <row r="1525" spans="1:14" x14ac:dyDescent="0.25">
      <c r="A1525" s="23">
        <v>44622</v>
      </c>
      <c r="B1525">
        <v>27.452999999999999</v>
      </c>
      <c r="C1525" t="s">
        <v>19</v>
      </c>
      <c r="D1525">
        <v>0.84499999999999997</v>
      </c>
      <c r="E1525">
        <v>23.197785</v>
      </c>
      <c r="F1525" t="s">
        <v>17</v>
      </c>
      <c r="G1525">
        <v>0.877</v>
      </c>
      <c r="H1525">
        <v>20.344457445</v>
      </c>
      <c r="I1525" t="s">
        <v>12</v>
      </c>
      <c r="J1525">
        <v>0.20800000000000002</v>
      </c>
      <c r="K1525">
        <v>4.2316471485600005</v>
      </c>
      <c r="L1525" t="s">
        <v>33</v>
      </c>
      <c r="M1525">
        <v>0.10099999999999999</v>
      </c>
      <c r="N1525">
        <v>2.054790201945</v>
      </c>
    </row>
    <row r="1526" spans="1:14" x14ac:dyDescent="0.25">
      <c r="A1526" s="23">
        <v>44623</v>
      </c>
      <c r="B1526">
        <v>27.452999999999999</v>
      </c>
      <c r="C1526" t="s">
        <v>19</v>
      </c>
      <c r="D1526">
        <v>0.84499999999999997</v>
      </c>
      <c r="E1526">
        <v>23.197785</v>
      </c>
      <c r="F1526" t="s">
        <v>17</v>
      </c>
      <c r="G1526">
        <v>0.877</v>
      </c>
      <c r="H1526">
        <v>20.344457445</v>
      </c>
      <c r="I1526" t="s">
        <v>7</v>
      </c>
      <c r="J1526">
        <v>0.13100000000000001</v>
      </c>
      <c r="K1526">
        <v>2.6651239252950001</v>
      </c>
      <c r="L1526" t="s">
        <v>34</v>
      </c>
      <c r="M1526">
        <v>0.16200000000000001</v>
      </c>
      <c r="N1526">
        <v>3.29580210609</v>
      </c>
    </row>
    <row r="1527" spans="1:14" x14ac:dyDescent="0.25">
      <c r="A1527" s="23">
        <v>44624</v>
      </c>
      <c r="B1527">
        <v>27.452999999999999</v>
      </c>
      <c r="C1527" t="s">
        <v>19</v>
      </c>
      <c r="D1527">
        <v>0.84499999999999997</v>
      </c>
      <c r="E1527">
        <v>23.197785</v>
      </c>
      <c r="F1527" t="s">
        <v>17</v>
      </c>
      <c r="G1527">
        <v>0.877</v>
      </c>
      <c r="H1527">
        <v>20.344457445</v>
      </c>
      <c r="I1527" t="s">
        <v>8</v>
      </c>
      <c r="J1527">
        <v>0.36099999999999999</v>
      </c>
      <c r="K1527">
        <v>7.3443491376449996</v>
      </c>
      <c r="L1527" t="s">
        <v>35</v>
      </c>
      <c r="M1527">
        <v>0.247</v>
      </c>
      <c r="N1527">
        <v>5.0250809889149997</v>
      </c>
    </row>
    <row r="1528" spans="1:14" x14ac:dyDescent="0.25">
      <c r="A1528" s="23">
        <v>44625</v>
      </c>
      <c r="B1528">
        <v>27.452999999999999</v>
      </c>
      <c r="C1528" t="s">
        <v>19</v>
      </c>
      <c r="D1528">
        <v>0.84499999999999997</v>
      </c>
      <c r="E1528">
        <v>23.197785</v>
      </c>
      <c r="F1528" t="s">
        <v>17</v>
      </c>
      <c r="G1528">
        <v>0.877</v>
      </c>
      <c r="H1528">
        <v>20.344457445</v>
      </c>
      <c r="I1528" t="s">
        <v>10</v>
      </c>
      <c r="J1528">
        <v>3.6000000000000004E-2</v>
      </c>
      <c r="K1528">
        <v>0.73240046802000003</v>
      </c>
      <c r="L1528" t="s">
        <v>36</v>
      </c>
      <c r="M1528">
        <v>0.29499999999999998</v>
      </c>
      <c r="N1528">
        <v>5.0250809889149997</v>
      </c>
    </row>
    <row r="1529" spans="1:14" x14ac:dyDescent="0.25">
      <c r="A1529" s="23">
        <v>44626</v>
      </c>
      <c r="B1529">
        <v>27.452999999999999</v>
      </c>
      <c r="C1529" t="s">
        <v>19</v>
      </c>
      <c r="D1529">
        <v>0.84499999999999997</v>
      </c>
      <c r="E1529">
        <v>23.197785</v>
      </c>
      <c r="F1529" t="s">
        <v>17</v>
      </c>
      <c r="G1529">
        <v>0.877</v>
      </c>
      <c r="H1529">
        <v>20.344457445</v>
      </c>
      <c r="I1529" t="s">
        <v>9</v>
      </c>
      <c r="J1529">
        <v>4.7E-2</v>
      </c>
      <c r="K1529">
        <v>0.95618949991500002</v>
      </c>
      <c r="L1529" t="s">
        <v>37</v>
      </c>
      <c r="M1529">
        <v>0.153</v>
      </c>
      <c r="N1529">
        <v>6.0016149462749997</v>
      </c>
    </row>
    <row r="1530" spans="1:14" x14ac:dyDescent="0.25">
      <c r="A1530" s="23">
        <v>44627</v>
      </c>
      <c r="B1530">
        <v>27.452999999999999</v>
      </c>
      <c r="C1530" t="s">
        <v>19</v>
      </c>
      <c r="D1530">
        <v>0.84499999999999997</v>
      </c>
      <c r="E1530">
        <v>23.197785</v>
      </c>
      <c r="F1530" t="s">
        <v>17</v>
      </c>
      <c r="G1530">
        <v>0.877</v>
      </c>
      <c r="H1530">
        <v>20.344457445</v>
      </c>
      <c r="I1530" t="s">
        <v>55</v>
      </c>
      <c r="J1530">
        <v>0.08</v>
      </c>
      <c r="K1530">
        <v>1.6275565956</v>
      </c>
      <c r="L1530" t="s">
        <v>38</v>
      </c>
      <c r="M1530">
        <v>1.3000000000000001E-2</v>
      </c>
      <c r="N1530">
        <v>3.1127019890850001</v>
      </c>
    </row>
    <row r="1531" spans="1:14" x14ac:dyDescent="0.25">
      <c r="A1531" s="23">
        <v>44628</v>
      </c>
      <c r="B1531">
        <v>27.452999999999999</v>
      </c>
      <c r="C1531" t="s">
        <v>19</v>
      </c>
      <c r="D1531">
        <v>0.84499999999999997</v>
      </c>
      <c r="E1531">
        <v>23.197785</v>
      </c>
      <c r="F1531" t="s">
        <v>17</v>
      </c>
      <c r="G1531">
        <v>0.877</v>
      </c>
      <c r="H1531">
        <v>20.344457445</v>
      </c>
      <c r="L1531" t="s">
        <v>39</v>
      </c>
      <c r="M1531">
        <v>8.0000000000000002E-3</v>
      </c>
      <c r="N1531">
        <v>0.26447794678500003</v>
      </c>
    </row>
    <row r="1532" spans="1:14" x14ac:dyDescent="0.25">
      <c r="A1532" s="23">
        <v>44629</v>
      </c>
      <c r="B1532">
        <v>27.452999999999999</v>
      </c>
      <c r="C1532" t="s">
        <v>19</v>
      </c>
      <c r="D1532">
        <v>0.84499999999999997</v>
      </c>
      <c r="E1532">
        <v>23.197785</v>
      </c>
      <c r="F1532" t="s">
        <v>49</v>
      </c>
      <c r="G1532">
        <v>0.91500000000000004</v>
      </c>
      <c r="H1532">
        <v>21.225973275000001</v>
      </c>
      <c r="I1532" t="s">
        <v>11</v>
      </c>
      <c r="J1532">
        <v>0.21100000000000002</v>
      </c>
      <c r="K1532">
        <v>4.4786803610250008</v>
      </c>
      <c r="L1532" t="s">
        <v>32</v>
      </c>
      <c r="M1532">
        <v>6.9000000000000006E-2</v>
      </c>
      <c r="N1532">
        <v>1.4645921559750001</v>
      </c>
    </row>
    <row r="1533" spans="1:14" x14ac:dyDescent="0.25">
      <c r="A1533" s="23">
        <v>44630</v>
      </c>
      <c r="B1533">
        <v>27.452999999999999</v>
      </c>
      <c r="C1533" t="s">
        <v>19</v>
      </c>
      <c r="D1533">
        <v>0.84499999999999997</v>
      </c>
      <c r="E1533">
        <v>23.197785</v>
      </c>
      <c r="F1533" t="s">
        <v>18</v>
      </c>
      <c r="G1533">
        <v>0.91500000000000004</v>
      </c>
      <c r="H1533">
        <v>21.225973275000001</v>
      </c>
      <c r="I1533" t="s">
        <v>12</v>
      </c>
      <c r="J1533">
        <v>0.12300000000000001</v>
      </c>
      <c r="K1533">
        <v>2.6107947128250002</v>
      </c>
      <c r="L1533" t="s">
        <v>33</v>
      </c>
      <c r="M1533">
        <v>0.12300000000000001</v>
      </c>
      <c r="N1533">
        <v>2.6107947128250002</v>
      </c>
    </row>
    <row r="1534" spans="1:14" x14ac:dyDescent="0.25">
      <c r="A1534" s="23">
        <v>44631</v>
      </c>
      <c r="B1534">
        <v>27.452999999999999</v>
      </c>
      <c r="C1534" t="s">
        <v>19</v>
      </c>
      <c r="D1534">
        <v>0.84499999999999997</v>
      </c>
      <c r="E1534">
        <v>23.197785</v>
      </c>
      <c r="F1534" t="s">
        <v>18</v>
      </c>
      <c r="G1534">
        <v>0.91500000000000004</v>
      </c>
      <c r="H1534">
        <v>21.225973275000001</v>
      </c>
      <c r="I1534" t="s">
        <v>7</v>
      </c>
      <c r="J1534">
        <v>0.15</v>
      </c>
      <c r="K1534">
        <v>3.18389599125</v>
      </c>
      <c r="L1534" t="s">
        <v>34</v>
      </c>
      <c r="M1534">
        <v>0.13699999999999998</v>
      </c>
      <c r="N1534">
        <v>2.9079583386749999</v>
      </c>
    </row>
    <row r="1535" spans="1:14" x14ac:dyDescent="0.25">
      <c r="A1535" s="23">
        <v>44632</v>
      </c>
      <c r="B1535">
        <v>27.452999999999999</v>
      </c>
      <c r="C1535" t="s">
        <v>19</v>
      </c>
      <c r="D1535">
        <v>0.84499999999999997</v>
      </c>
      <c r="E1535">
        <v>23.197785</v>
      </c>
      <c r="F1535" t="s">
        <v>18</v>
      </c>
      <c r="G1535">
        <v>0.91500000000000004</v>
      </c>
      <c r="H1535">
        <v>21.225973275000001</v>
      </c>
      <c r="I1535" t="s">
        <v>8</v>
      </c>
      <c r="J1535">
        <v>0.38</v>
      </c>
      <c r="K1535">
        <v>8.0658698444999999</v>
      </c>
      <c r="L1535" t="s">
        <v>35</v>
      </c>
      <c r="M1535">
        <v>0.28600000000000003</v>
      </c>
      <c r="N1535">
        <v>6.0706283566500012</v>
      </c>
    </row>
    <row r="1536" spans="1:14" x14ac:dyDescent="0.25">
      <c r="A1536" s="23">
        <v>44633</v>
      </c>
      <c r="B1536">
        <v>27.452999999999999</v>
      </c>
      <c r="C1536" t="s">
        <v>19</v>
      </c>
      <c r="D1536">
        <v>0.84499999999999997</v>
      </c>
      <c r="E1536">
        <v>23.197785</v>
      </c>
      <c r="F1536" t="s">
        <v>18</v>
      </c>
      <c r="G1536">
        <v>0.91500000000000004</v>
      </c>
      <c r="H1536">
        <v>21.225973275000001</v>
      </c>
      <c r="I1536" t="s">
        <v>10</v>
      </c>
      <c r="J1536">
        <v>0.03</v>
      </c>
      <c r="K1536">
        <v>0.63677919825000007</v>
      </c>
      <c r="L1536" t="s">
        <v>36</v>
      </c>
      <c r="M1536">
        <v>0.19500000000000001</v>
      </c>
      <c r="N1536">
        <v>4.1390647886250003</v>
      </c>
    </row>
    <row r="1537" spans="1:14" x14ac:dyDescent="0.25">
      <c r="A1537" s="23">
        <v>44634</v>
      </c>
      <c r="B1537">
        <v>27.452999999999999</v>
      </c>
      <c r="C1537" t="s">
        <v>19</v>
      </c>
      <c r="D1537">
        <v>0.84499999999999997</v>
      </c>
      <c r="E1537">
        <v>23.197785</v>
      </c>
      <c r="F1537" t="s">
        <v>18</v>
      </c>
      <c r="G1537">
        <v>0.91500000000000004</v>
      </c>
      <c r="H1537">
        <v>21.225973275000001</v>
      </c>
      <c r="I1537" t="s">
        <v>9</v>
      </c>
      <c r="J1537">
        <v>9.1999999999999998E-2</v>
      </c>
      <c r="K1537">
        <v>1.9527895413</v>
      </c>
      <c r="L1537" t="s">
        <v>37</v>
      </c>
      <c r="M1537">
        <v>0.14499999999999999</v>
      </c>
      <c r="N1537">
        <v>3.0777661248750001</v>
      </c>
    </row>
    <row r="1538" spans="1:14" x14ac:dyDescent="0.25">
      <c r="A1538" s="23">
        <v>44635</v>
      </c>
      <c r="B1538">
        <v>27.452999999999999</v>
      </c>
      <c r="C1538" t="s">
        <v>19</v>
      </c>
      <c r="D1538">
        <v>0.84499999999999997</v>
      </c>
      <c r="E1538">
        <v>23.197785</v>
      </c>
      <c r="F1538" t="s">
        <v>18</v>
      </c>
      <c r="G1538">
        <v>0.91500000000000004</v>
      </c>
      <c r="H1538">
        <v>21.225973275000001</v>
      </c>
      <c r="I1538" t="s">
        <v>55</v>
      </c>
      <c r="J1538">
        <v>1.3999999999999999E-2</v>
      </c>
      <c r="K1538">
        <v>0.29716362585</v>
      </c>
      <c r="L1538" t="s">
        <v>38</v>
      </c>
      <c r="M1538">
        <v>2.7999999999999997E-2</v>
      </c>
      <c r="N1538">
        <v>0.5943272517</v>
      </c>
    </row>
    <row r="1539" spans="1:14" x14ac:dyDescent="0.25">
      <c r="A1539" s="23">
        <v>44636</v>
      </c>
      <c r="B1539">
        <v>27.452999999999999</v>
      </c>
      <c r="C1539" t="s">
        <v>19</v>
      </c>
      <c r="D1539">
        <v>0.84499999999999997</v>
      </c>
      <c r="E1539">
        <v>23.197785</v>
      </c>
      <c r="F1539" t="s">
        <v>18</v>
      </c>
      <c r="G1539">
        <v>0.91500000000000004</v>
      </c>
      <c r="H1539">
        <v>21.225973275000001</v>
      </c>
      <c r="L1539" t="s">
        <v>39</v>
      </c>
      <c r="M1539">
        <v>1.7000000000000001E-2</v>
      </c>
      <c r="N1539">
        <v>0.36084154567500004</v>
      </c>
    </row>
    <row r="1540" spans="1:14" x14ac:dyDescent="0.25">
      <c r="A1540" s="23">
        <v>44637</v>
      </c>
      <c r="B1540">
        <v>27.75</v>
      </c>
      <c r="C1540" t="s">
        <v>2</v>
      </c>
      <c r="D1540">
        <v>0.155</v>
      </c>
      <c r="E1540">
        <v>4.3012499999999996</v>
      </c>
      <c r="F1540" t="s">
        <v>14</v>
      </c>
      <c r="G1540">
        <v>0.19</v>
      </c>
      <c r="H1540">
        <v>0.81723749999999995</v>
      </c>
      <c r="I1540" t="s">
        <v>11</v>
      </c>
      <c r="J1540">
        <v>8.3000000000000004E-2</v>
      </c>
      <c r="K1540">
        <v>6.7830712500000001E-2</v>
      </c>
      <c r="L1540" t="s">
        <v>32</v>
      </c>
      <c r="M1540">
        <v>8.0000000000000002E-3</v>
      </c>
      <c r="N1540">
        <v>6.5379000000000001E-3</v>
      </c>
    </row>
    <row r="1541" spans="1:14" x14ac:dyDescent="0.25">
      <c r="A1541" s="23">
        <v>44638</v>
      </c>
      <c r="B1541">
        <v>27.75</v>
      </c>
      <c r="C1541" t="s">
        <v>2</v>
      </c>
      <c r="D1541">
        <v>0.155</v>
      </c>
      <c r="E1541">
        <v>4.3012499999999996</v>
      </c>
      <c r="F1541" t="s">
        <v>43</v>
      </c>
      <c r="G1541">
        <v>0.19</v>
      </c>
      <c r="H1541">
        <v>0.81723749999999995</v>
      </c>
      <c r="I1541" t="s">
        <v>12</v>
      </c>
      <c r="J1541">
        <v>2.7000000000000003E-2</v>
      </c>
      <c r="K1541">
        <v>2.2065412500000003E-2</v>
      </c>
      <c r="L1541" t="s">
        <v>33</v>
      </c>
      <c r="M1541">
        <v>5.5999999999999994E-2</v>
      </c>
      <c r="N1541">
        <v>4.5765299999999995E-2</v>
      </c>
    </row>
    <row r="1542" spans="1:14" x14ac:dyDescent="0.25">
      <c r="A1542" s="23">
        <v>44639</v>
      </c>
      <c r="B1542">
        <v>27.75</v>
      </c>
      <c r="C1542" t="s">
        <v>2</v>
      </c>
      <c r="D1542">
        <v>0.155</v>
      </c>
      <c r="E1542">
        <v>4.3012499999999996</v>
      </c>
      <c r="F1542" t="s">
        <v>14</v>
      </c>
      <c r="G1542">
        <v>0.19</v>
      </c>
      <c r="H1542">
        <v>0.81723749999999995</v>
      </c>
      <c r="I1542" t="s">
        <v>7</v>
      </c>
      <c r="J1542">
        <v>5.4000000000000006E-2</v>
      </c>
      <c r="K1542">
        <v>4.4130825000000005E-2</v>
      </c>
      <c r="L1542" t="s">
        <v>34</v>
      </c>
      <c r="M1542">
        <v>9.5000000000000001E-2</v>
      </c>
      <c r="N1542">
        <v>7.7637562499999993E-2</v>
      </c>
    </row>
    <row r="1543" spans="1:14" x14ac:dyDescent="0.25">
      <c r="A1543" s="23">
        <v>44640</v>
      </c>
      <c r="B1543">
        <v>27.75</v>
      </c>
      <c r="C1543" t="s">
        <v>2</v>
      </c>
      <c r="D1543">
        <v>0.155</v>
      </c>
      <c r="E1543">
        <v>4.3012499999999996</v>
      </c>
      <c r="F1543" t="s">
        <v>14</v>
      </c>
      <c r="G1543">
        <v>0.19</v>
      </c>
      <c r="H1543">
        <v>0.81723749999999995</v>
      </c>
      <c r="I1543" t="s">
        <v>8</v>
      </c>
      <c r="J1543">
        <v>0.28399999999999997</v>
      </c>
      <c r="K1543">
        <v>0.23209544999999995</v>
      </c>
      <c r="L1543" t="s">
        <v>35</v>
      </c>
      <c r="M1543">
        <v>0.27200000000000002</v>
      </c>
      <c r="N1543">
        <v>0.2222886</v>
      </c>
    </row>
    <row r="1544" spans="1:14" x14ac:dyDescent="0.25">
      <c r="A1544" s="23">
        <v>44641</v>
      </c>
      <c r="B1544">
        <v>27.75</v>
      </c>
      <c r="C1544" t="s">
        <v>2</v>
      </c>
      <c r="D1544">
        <v>0.155</v>
      </c>
      <c r="E1544">
        <v>4.3012499999999996</v>
      </c>
      <c r="F1544" t="s">
        <v>14</v>
      </c>
      <c r="G1544">
        <v>0.19</v>
      </c>
      <c r="H1544">
        <v>0.81723749999999995</v>
      </c>
      <c r="I1544" t="s">
        <v>10</v>
      </c>
      <c r="J1544">
        <v>5.7000000000000002E-2</v>
      </c>
      <c r="K1544">
        <v>4.65825375E-2</v>
      </c>
      <c r="L1544" t="s">
        <v>36</v>
      </c>
      <c r="M1544">
        <v>0.27200000000000002</v>
      </c>
      <c r="N1544">
        <v>0.2222886</v>
      </c>
    </row>
    <row r="1545" spans="1:14" x14ac:dyDescent="0.25">
      <c r="A1545" s="23">
        <v>44642</v>
      </c>
      <c r="B1545">
        <v>27.75</v>
      </c>
      <c r="C1545" t="s">
        <v>2</v>
      </c>
      <c r="D1545">
        <v>0.155</v>
      </c>
      <c r="E1545">
        <v>4.3012499999999996</v>
      </c>
      <c r="F1545" t="s">
        <v>14</v>
      </c>
      <c r="G1545">
        <v>0.19</v>
      </c>
      <c r="H1545">
        <v>0.81723749999999995</v>
      </c>
      <c r="I1545" t="s">
        <v>9</v>
      </c>
      <c r="J1545">
        <v>0.48399999999999999</v>
      </c>
      <c r="K1545">
        <v>0.39554294999999995</v>
      </c>
      <c r="L1545" t="s">
        <v>37</v>
      </c>
      <c r="M1545">
        <v>0.27300000000000002</v>
      </c>
      <c r="N1545">
        <v>0.22310583750000001</v>
      </c>
    </row>
    <row r="1546" spans="1:14" x14ac:dyDescent="0.25">
      <c r="A1546" s="23">
        <v>44643</v>
      </c>
      <c r="B1546">
        <v>27.75</v>
      </c>
      <c r="C1546" t="s">
        <v>2</v>
      </c>
      <c r="D1546">
        <v>0.155</v>
      </c>
      <c r="E1546">
        <v>4.3012499999999996</v>
      </c>
      <c r="F1546" t="s">
        <v>14</v>
      </c>
      <c r="G1546">
        <v>0.19</v>
      </c>
      <c r="H1546">
        <v>0.81723749999999995</v>
      </c>
      <c r="I1546" t="s">
        <v>58</v>
      </c>
      <c r="J1546">
        <v>0.01</v>
      </c>
      <c r="K1546">
        <v>8.1723749999999991E-3</v>
      </c>
      <c r="L1546" t="s">
        <v>38</v>
      </c>
      <c r="M1546">
        <v>1.4999999999999999E-2</v>
      </c>
      <c r="N1546">
        <v>1.2258562499999999E-2</v>
      </c>
    </row>
    <row r="1547" spans="1:14" x14ac:dyDescent="0.25">
      <c r="A1547" s="23">
        <v>44644</v>
      </c>
      <c r="B1547">
        <v>27.75</v>
      </c>
      <c r="C1547" t="s">
        <v>2</v>
      </c>
      <c r="D1547">
        <v>0.155</v>
      </c>
      <c r="E1547">
        <v>4.3012499999999996</v>
      </c>
      <c r="F1547" t="s">
        <v>14</v>
      </c>
      <c r="G1547">
        <v>0.19</v>
      </c>
      <c r="H1547">
        <v>0.81723749999999995</v>
      </c>
      <c r="L1547" t="s">
        <v>39</v>
      </c>
      <c r="M1547">
        <v>8.0000000000000002E-3</v>
      </c>
      <c r="N1547">
        <v>6.5379000000000001E-3</v>
      </c>
    </row>
    <row r="1548" spans="1:14" x14ac:dyDescent="0.25">
      <c r="A1548" s="23">
        <v>44645</v>
      </c>
      <c r="B1548">
        <v>27.75</v>
      </c>
      <c r="C1548" t="s">
        <v>2</v>
      </c>
      <c r="D1548">
        <v>0.155</v>
      </c>
      <c r="E1548">
        <v>4.3012499999999996</v>
      </c>
      <c r="F1548" t="s">
        <v>44</v>
      </c>
      <c r="G1548">
        <v>0.16800000000000001</v>
      </c>
      <c r="H1548">
        <v>0.72260999999999997</v>
      </c>
      <c r="I1548" t="s">
        <v>11</v>
      </c>
      <c r="J1548">
        <v>1.3999999999999999E-2</v>
      </c>
      <c r="K1548">
        <v>1.0116539999999999E-2</v>
      </c>
      <c r="L1548" t="s">
        <v>32</v>
      </c>
      <c r="M1548">
        <v>0</v>
      </c>
      <c r="N1548">
        <v>0</v>
      </c>
    </row>
    <row r="1549" spans="1:14" x14ac:dyDescent="0.25">
      <c r="A1549" s="23">
        <v>44646</v>
      </c>
      <c r="B1549">
        <v>27.75</v>
      </c>
      <c r="C1549" t="s">
        <v>2</v>
      </c>
      <c r="D1549">
        <v>0.155</v>
      </c>
      <c r="E1549">
        <v>4.3012499999999996</v>
      </c>
      <c r="F1549" t="s">
        <v>15</v>
      </c>
      <c r="G1549">
        <v>0.16800000000000001</v>
      </c>
      <c r="H1549">
        <v>0.72260999999999997</v>
      </c>
      <c r="I1549" t="s">
        <v>12</v>
      </c>
      <c r="J1549">
        <v>1.4999999999999999E-2</v>
      </c>
      <c r="K1549">
        <v>1.0839149999999999E-2</v>
      </c>
      <c r="L1549" t="s">
        <v>33</v>
      </c>
      <c r="M1549">
        <v>4.7E-2</v>
      </c>
      <c r="N1549">
        <v>3.396267E-2</v>
      </c>
    </row>
    <row r="1550" spans="1:14" x14ac:dyDescent="0.25">
      <c r="A1550" s="23">
        <v>44647</v>
      </c>
      <c r="B1550">
        <v>27.75</v>
      </c>
      <c r="C1550" t="s">
        <v>2</v>
      </c>
      <c r="D1550">
        <v>0.155</v>
      </c>
      <c r="E1550">
        <v>4.3012499999999996</v>
      </c>
      <c r="F1550" t="s">
        <v>15</v>
      </c>
      <c r="G1550">
        <v>0.16800000000000001</v>
      </c>
      <c r="H1550">
        <v>0.72260999999999997</v>
      </c>
      <c r="I1550" t="s">
        <v>7</v>
      </c>
      <c r="J1550">
        <v>0</v>
      </c>
      <c r="K1550">
        <v>0</v>
      </c>
      <c r="L1550" t="s">
        <v>34</v>
      </c>
      <c r="M1550">
        <v>0.13300000000000001</v>
      </c>
      <c r="N1550">
        <v>9.6107129999999999E-2</v>
      </c>
    </row>
    <row r="1551" spans="1:14" x14ac:dyDescent="0.25">
      <c r="A1551" s="23">
        <v>44648</v>
      </c>
      <c r="B1551">
        <v>27.75</v>
      </c>
      <c r="C1551" t="s">
        <v>2</v>
      </c>
      <c r="D1551">
        <v>0.155</v>
      </c>
      <c r="E1551">
        <v>4.3012499999999996</v>
      </c>
      <c r="F1551" t="s">
        <v>15</v>
      </c>
      <c r="G1551">
        <v>0.16800000000000001</v>
      </c>
      <c r="H1551">
        <v>0.72260999999999997</v>
      </c>
      <c r="I1551" t="s">
        <v>8</v>
      </c>
      <c r="J1551">
        <v>0.26</v>
      </c>
      <c r="K1551">
        <v>0.18787860000000001</v>
      </c>
      <c r="L1551" t="s">
        <v>35</v>
      </c>
      <c r="M1551">
        <v>0.309</v>
      </c>
      <c r="N1551">
        <v>0.22328648999999998</v>
      </c>
    </row>
    <row r="1552" spans="1:14" x14ac:dyDescent="0.25">
      <c r="A1552" s="23">
        <v>44649</v>
      </c>
      <c r="B1552">
        <v>27.75</v>
      </c>
      <c r="C1552" t="s">
        <v>2</v>
      </c>
      <c r="D1552">
        <v>0.155</v>
      </c>
      <c r="E1552">
        <v>4.3012499999999996</v>
      </c>
      <c r="F1552" t="s">
        <v>15</v>
      </c>
      <c r="G1552">
        <v>0.16800000000000001</v>
      </c>
      <c r="H1552">
        <v>0.72260999999999997</v>
      </c>
      <c r="I1552" t="s">
        <v>10</v>
      </c>
      <c r="J1552">
        <v>0.13400000000000001</v>
      </c>
      <c r="K1552">
        <v>9.6829739999999997E-2</v>
      </c>
      <c r="L1552" t="s">
        <v>36</v>
      </c>
      <c r="M1552">
        <v>0.23899999999999999</v>
      </c>
      <c r="N1552">
        <v>0.17270379</v>
      </c>
    </row>
    <row r="1553" spans="1:14" x14ac:dyDescent="0.25">
      <c r="A1553" s="23">
        <v>44650</v>
      </c>
      <c r="B1553">
        <v>27.75</v>
      </c>
      <c r="C1553" t="s">
        <v>2</v>
      </c>
      <c r="D1553">
        <v>0.155</v>
      </c>
      <c r="E1553">
        <v>4.3012499999999996</v>
      </c>
      <c r="F1553" t="s">
        <v>15</v>
      </c>
      <c r="G1553">
        <v>0.16800000000000001</v>
      </c>
      <c r="H1553">
        <v>0.72260999999999997</v>
      </c>
      <c r="I1553" t="s">
        <v>9</v>
      </c>
      <c r="J1553">
        <v>0.56399999999999995</v>
      </c>
      <c r="K1553">
        <v>0.40755203999999995</v>
      </c>
      <c r="L1553" t="s">
        <v>37</v>
      </c>
      <c r="M1553">
        <v>0.27100000000000002</v>
      </c>
      <c r="N1553">
        <v>0.19582731</v>
      </c>
    </row>
    <row r="1554" spans="1:14" x14ac:dyDescent="0.25">
      <c r="A1554" s="23">
        <v>44651</v>
      </c>
      <c r="B1554">
        <v>27.75</v>
      </c>
      <c r="C1554" t="s">
        <v>2</v>
      </c>
      <c r="D1554">
        <v>0.155</v>
      </c>
      <c r="E1554">
        <v>4.3012499999999996</v>
      </c>
      <c r="F1554" t="s">
        <v>15</v>
      </c>
      <c r="G1554">
        <v>0.16800000000000001</v>
      </c>
      <c r="H1554">
        <v>0.72260999999999997</v>
      </c>
      <c r="I1554" t="s">
        <v>58</v>
      </c>
      <c r="J1554">
        <v>1.3999999999999999E-2</v>
      </c>
      <c r="K1554">
        <v>1.0116539999999999E-2</v>
      </c>
      <c r="L1554" t="s">
        <v>38</v>
      </c>
      <c r="M1554">
        <v>0</v>
      </c>
      <c r="N1554">
        <v>0</v>
      </c>
    </row>
    <row r="1555" spans="1:14" x14ac:dyDescent="0.25">
      <c r="A1555" s="23">
        <v>44652</v>
      </c>
      <c r="B1555">
        <v>27.75</v>
      </c>
      <c r="C1555" t="s">
        <v>2</v>
      </c>
      <c r="D1555">
        <v>0.155</v>
      </c>
      <c r="E1555">
        <v>4.3012499999999996</v>
      </c>
      <c r="F1555" t="s">
        <v>15</v>
      </c>
      <c r="G1555">
        <v>0.16800000000000001</v>
      </c>
      <c r="H1555">
        <v>0.72260999999999997</v>
      </c>
      <c r="L1555" t="s">
        <v>39</v>
      </c>
      <c r="M1555">
        <v>0</v>
      </c>
      <c r="N1555">
        <v>0</v>
      </c>
    </row>
    <row r="1556" spans="1:14" x14ac:dyDescent="0.25">
      <c r="A1556" s="23">
        <v>44653</v>
      </c>
      <c r="B1556">
        <v>27.75</v>
      </c>
      <c r="C1556" t="s">
        <v>2</v>
      </c>
      <c r="D1556">
        <v>0.155</v>
      </c>
      <c r="E1556">
        <v>4.3012499999999996</v>
      </c>
      <c r="F1556" t="s">
        <v>45</v>
      </c>
      <c r="G1556">
        <v>0.16800000000000001</v>
      </c>
      <c r="H1556">
        <v>0.72260999999999997</v>
      </c>
      <c r="I1556" t="s">
        <v>11</v>
      </c>
      <c r="J1556">
        <v>0.124</v>
      </c>
      <c r="K1556">
        <v>8.9603639999999998E-2</v>
      </c>
      <c r="L1556" t="s">
        <v>32</v>
      </c>
      <c r="M1556">
        <v>2.5000000000000001E-2</v>
      </c>
      <c r="N1556">
        <v>1.8065250000000001E-2</v>
      </c>
    </row>
    <row r="1557" spans="1:14" x14ac:dyDescent="0.25">
      <c r="A1557" s="23">
        <v>44654</v>
      </c>
      <c r="B1557">
        <v>27.75</v>
      </c>
      <c r="C1557" t="s">
        <v>2</v>
      </c>
      <c r="D1557">
        <v>0.155</v>
      </c>
      <c r="E1557">
        <v>4.3012499999999996</v>
      </c>
      <c r="F1557" t="s">
        <v>16</v>
      </c>
      <c r="G1557">
        <v>0.16800000000000001</v>
      </c>
      <c r="H1557">
        <v>0.72260999999999997</v>
      </c>
      <c r="I1557" t="s">
        <v>12</v>
      </c>
      <c r="J1557">
        <v>3.2000000000000001E-2</v>
      </c>
      <c r="K1557">
        <v>2.3123519999999998E-2</v>
      </c>
      <c r="L1557" t="s">
        <v>33</v>
      </c>
      <c r="M1557">
        <v>6.2E-2</v>
      </c>
      <c r="N1557">
        <v>4.4801819999999999E-2</v>
      </c>
    </row>
    <row r="1558" spans="1:14" x14ac:dyDescent="0.25">
      <c r="A1558" s="23">
        <v>44655</v>
      </c>
      <c r="B1558">
        <v>27.75</v>
      </c>
      <c r="C1558" t="s">
        <v>2</v>
      </c>
      <c r="D1558">
        <v>0.155</v>
      </c>
      <c r="E1558">
        <v>4.3012499999999996</v>
      </c>
      <c r="F1558" t="s">
        <v>16</v>
      </c>
      <c r="G1558">
        <v>0.16800000000000001</v>
      </c>
      <c r="H1558">
        <v>0.72260999999999997</v>
      </c>
      <c r="I1558" t="s">
        <v>7</v>
      </c>
      <c r="J1558">
        <v>0.05</v>
      </c>
      <c r="K1558">
        <v>3.6130500000000003E-2</v>
      </c>
      <c r="L1558" t="s">
        <v>34</v>
      </c>
      <c r="M1558">
        <v>0.114</v>
      </c>
      <c r="N1558">
        <v>8.2377539999999999E-2</v>
      </c>
    </row>
    <row r="1559" spans="1:14" x14ac:dyDescent="0.25">
      <c r="A1559" s="23">
        <v>44656</v>
      </c>
      <c r="B1559">
        <v>27.75</v>
      </c>
      <c r="C1559" t="s">
        <v>2</v>
      </c>
      <c r="D1559">
        <v>0.155</v>
      </c>
      <c r="E1559">
        <v>4.3012499999999996</v>
      </c>
      <c r="F1559" t="s">
        <v>16</v>
      </c>
      <c r="G1559">
        <v>0.16800000000000001</v>
      </c>
      <c r="H1559">
        <v>0.72260999999999997</v>
      </c>
      <c r="I1559" t="s">
        <v>8</v>
      </c>
      <c r="J1559">
        <v>0.245</v>
      </c>
      <c r="K1559">
        <v>0.17703944999999999</v>
      </c>
      <c r="L1559" t="s">
        <v>35</v>
      </c>
      <c r="M1559">
        <v>0.30399999999999999</v>
      </c>
      <c r="N1559">
        <v>0.21967344</v>
      </c>
    </row>
    <row r="1560" spans="1:14" x14ac:dyDescent="0.25">
      <c r="A1560" s="23">
        <v>44657</v>
      </c>
      <c r="B1560">
        <v>27.75</v>
      </c>
      <c r="C1560" t="s">
        <v>2</v>
      </c>
      <c r="D1560">
        <v>0.155</v>
      </c>
      <c r="E1560">
        <v>4.3012499999999996</v>
      </c>
      <c r="F1560" t="s">
        <v>16</v>
      </c>
      <c r="G1560">
        <v>0.16800000000000001</v>
      </c>
      <c r="H1560">
        <v>0.72260999999999997</v>
      </c>
      <c r="I1560" t="s">
        <v>10</v>
      </c>
      <c r="J1560">
        <v>4.2999999999999997E-2</v>
      </c>
      <c r="K1560">
        <v>3.1072229999999996E-2</v>
      </c>
      <c r="L1560" t="s">
        <v>36</v>
      </c>
      <c r="M1560">
        <v>0.27500000000000002</v>
      </c>
      <c r="N1560">
        <v>0.19871775</v>
      </c>
    </row>
    <row r="1561" spans="1:14" x14ac:dyDescent="0.25">
      <c r="A1561" s="23">
        <v>44658</v>
      </c>
      <c r="B1561">
        <v>27.75</v>
      </c>
      <c r="C1561" t="s">
        <v>2</v>
      </c>
      <c r="D1561">
        <v>0.155</v>
      </c>
      <c r="E1561">
        <v>4.3012499999999996</v>
      </c>
      <c r="F1561" t="s">
        <v>16</v>
      </c>
      <c r="G1561">
        <v>0.16800000000000001</v>
      </c>
      <c r="H1561">
        <v>0.72260999999999997</v>
      </c>
      <c r="I1561" t="s">
        <v>9</v>
      </c>
      <c r="J1561">
        <v>0.48299999999999998</v>
      </c>
      <c r="K1561">
        <v>0.34902063</v>
      </c>
      <c r="L1561" t="s">
        <v>37</v>
      </c>
      <c r="M1561">
        <v>0.20399999999999999</v>
      </c>
      <c r="N1561">
        <v>0.14741243999999998</v>
      </c>
    </row>
    <row r="1562" spans="1:14" x14ac:dyDescent="0.25">
      <c r="A1562" s="23">
        <v>44659</v>
      </c>
      <c r="B1562">
        <v>27.75</v>
      </c>
      <c r="C1562" t="s">
        <v>2</v>
      </c>
      <c r="D1562">
        <v>0.155</v>
      </c>
      <c r="E1562">
        <v>4.3012499999999996</v>
      </c>
      <c r="F1562" t="s">
        <v>16</v>
      </c>
      <c r="G1562">
        <v>0.16800000000000001</v>
      </c>
      <c r="H1562">
        <v>0.72260999999999997</v>
      </c>
      <c r="I1562" t="s">
        <v>58</v>
      </c>
      <c r="J1562">
        <v>2.3E-2</v>
      </c>
      <c r="K1562">
        <v>1.6620029999999997E-2</v>
      </c>
      <c r="L1562" t="s">
        <v>38</v>
      </c>
      <c r="M1562">
        <v>8.0000000000000002E-3</v>
      </c>
      <c r="N1562">
        <v>5.7808799999999995E-3</v>
      </c>
    </row>
    <row r="1563" spans="1:14" x14ac:dyDescent="0.25">
      <c r="A1563" s="23">
        <v>44660</v>
      </c>
      <c r="B1563">
        <v>27.75</v>
      </c>
      <c r="C1563" t="s">
        <v>2</v>
      </c>
      <c r="D1563">
        <v>0.155</v>
      </c>
      <c r="E1563">
        <v>4.3012499999999996</v>
      </c>
      <c r="F1563" t="s">
        <v>16</v>
      </c>
      <c r="G1563">
        <v>0.16800000000000001</v>
      </c>
      <c r="H1563">
        <v>0.72260999999999997</v>
      </c>
      <c r="L1563" t="s">
        <v>39</v>
      </c>
      <c r="M1563">
        <v>6.9999999999999993E-3</v>
      </c>
      <c r="N1563">
        <v>5.0582699999999993E-3</v>
      </c>
    </row>
    <row r="1564" spans="1:14" x14ac:dyDescent="0.25">
      <c r="A1564" s="23">
        <v>44661</v>
      </c>
      <c r="B1564">
        <v>27.75</v>
      </c>
      <c r="C1564" t="s">
        <v>2</v>
      </c>
      <c r="D1564">
        <v>0.155</v>
      </c>
      <c r="E1564">
        <v>4.3012499999999996</v>
      </c>
      <c r="F1564" t="s">
        <v>46</v>
      </c>
      <c r="G1564">
        <v>0.17399999999999999</v>
      </c>
      <c r="H1564">
        <v>0.74841749999999985</v>
      </c>
      <c r="I1564" t="s">
        <v>11</v>
      </c>
      <c r="J1564">
        <v>0.253</v>
      </c>
      <c r="K1564">
        <v>0.18934962749999995</v>
      </c>
      <c r="L1564" t="s">
        <v>32</v>
      </c>
      <c r="M1564">
        <v>2.3E-2</v>
      </c>
      <c r="N1564">
        <v>1.7213602499999998E-2</v>
      </c>
    </row>
    <row r="1565" spans="1:14" x14ac:dyDescent="0.25">
      <c r="A1565" s="23">
        <v>44662</v>
      </c>
      <c r="B1565">
        <v>27.75</v>
      </c>
      <c r="C1565" t="s">
        <v>2</v>
      </c>
      <c r="D1565">
        <v>0.155</v>
      </c>
      <c r="E1565">
        <v>4.3012499999999996</v>
      </c>
      <c r="F1565" t="s">
        <v>13</v>
      </c>
      <c r="G1565">
        <v>0.17399999999999999</v>
      </c>
      <c r="H1565">
        <v>0.74841749999999985</v>
      </c>
      <c r="I1565" t="s">
        <v>12</v>
      </c>
      <c r="J1565">
        <v>5.5999999999999994E-2</v>
      </c>
      <c r="K1565">
        <v>4.1911379999999984E-2</v>
      </c>
      <c r="L1565" t="s">
        <v>33</v>
      </c>
      <c r="M1565">
        <v>5.7999999999999996E-2</v>
      </c>
      <c r="N1565">
        <v>4.3408214999999986E-2</v>
      </c>
    </row>
    <row r="1566" spans="1:14" x14ac:dyDescent="0.25">
      <c r="A1566" s="23">
        <v>44663</v>
      </c>
      <c r="B1566">
        <v>27.75</v>
      </c>
      <c r="C1566" t="s">
        <v>2</v>
      </c>
      <c r="D1566">
        <v>0.155</v>
      </c>
      <c r="E1566">
        <v>4.3012499999999996</v>
      </c>
      <c r="F1566" t="s">
        <v>13</v>
      </c>
      <c r="G1566">
        <v>0.17399999999999999</v>
      </c>
      <c r="H1566">
        <v>0.74841749999999985</v>
      </c>
      <c r="I1566" t="s">
        <v>7</v>
      </c>
      <c r="J1566">
        <v>8.900000000000001E-2</v>
      </c>
      <c r="K1566">
        <v>6.6609157499999988E-2</v>
      </c>
      <c r="L1566" t="s">
        <v>34</v>
      </c>
      <c r="M1566">
        <v>0.1</v>
      </c>
      <c r="N1566">
        <v>7.4841749999999985E-2</v>
      </c>
    </row>
    <row r="1567" spans="1:14" x14ac:dyDescent="0.25">
      <c r="A1567" s="23">
        <v>44664</v>
      </c>
      <c r="B1567">
        <v>27.75</v>
      </c>
      <c r="C1567" t="s">
        <v>2</v>
      </c>
      <c r="D1567">
        <v>0.155</v>
      </c>
      <c r="E1567">
        <v>4.3012499999999996</v>
      </c>
      <c r="F1567" t="s">
        <v>13</v>
      </c>
      <c r="G1567">
        <v>0.17399999999999999</v>
      </c>
      <c r="H1567">
        <v>0.74841749999999985</v>
      </c>
      <c r="I1567" t="s">
        <v>8</v>
      </c>
      <c r="J1567">
        <v>0.28999999999999998</v>
      </c>
      <c r="K1567">
        <v>0.21704107499999994</v>
      </c>
      <c r="L1567" t="s">
        <v>35</v>
      </c>
      <c r="M1567">
        <v>0.28899999999999998</v>
      </c>
      <c r="N1567">
        <v>0.21629265749999993</v>
      </c>
    </row>
    <row r="1568" spans="1:14" x14ac:dyDescent="0.25">
      <c r="A1568" s="23">
        <v>44665</v>
      </c>
      <c r="B1568">
        <v>27.75</v>
      </c>
      <c r="C1568" t="s">
        <v>2</v>
      </c>
      <c r="D1568">
        <v>0.155</v>
      </c>
      <c r="E1568">
        <v>4.3012499999999996</v>
      </c>
      <c r="F1568" t="s">
        <v>13</v>
      </c>
      <c r="G1568">
        <v>0.17399999999999999</v>
      </c>
      <c r="H1568">
        <v>0.74841749999999985</v>
      </c>
      <c r="I1568" t="s">
        <v>10</v>
      </c>
      <c r="J1568">
        <v>6.6000000000000003E-2</v>
      </c>
      <c r="K1568">
        <v>4.9395554999999994E-2</v>
      </c>
      <c r="L1568" t="s">
        <v>36</v>
      </c>
      <c r="M1568">
        <v>0.28600000000000003</v>
      </c>
      <c r="N1568">
        <v>0.21404740499999997</v>
      </c>
    </row>
    <row r="1569" spans="1:14" x14ac:dyDescent="0.25">
      <c r="A1569" s="23">
        <v>44666</v>
      </c>
      <c r="B1569">
        <v>27.75</v>
      </c>
      <c r="C1569" t="s">
        <v>2</v>
      </c>
      <c r="D1569">
        <v>0.155</v>
      </c>
      <c r="E1569">
        <v>4.3012499999999996</v>
      </c>
      <c r="F1569" t="s">
        <v>13</v>
      </c>
      <c r="G1569">
        <v>0.17399999999999999</v>
      </c>
      <c r="H1569">
        <v>0.74841749999999985</v>
      </c>
      <c r="I1569" t="s">
        <v>9</v>
      </c>
      <c r="J1569">
        <v>0.23600000000000002</v>
      </c>
      <c r="K1569">
        <v>0.17662652999999998</v>
      </c>
      <c r="L1569" t="s">
        <v>37</v>
      </c>
      <c r="M1569">
        <v>0.21100000000000002</v>
      </c>
      <c r="N1569">
        <v>0.15791609249999999</v>
      </c>
    </row>
    <row r="1570" spans="1:14" x14ac:dyDescent="0.25">
      <c r="A1570" s="23">
        <v>44667</v>
      </c>
      <c r="B1570">
        <v>27.75</v>
      </c>
      <c r="C1570" t="s">
        <v>2</v>
      </c>
      <c r="D1570">
        <v>0.155</v>
      </c>
      <c r="E1570">
        <v>4.3012499999999996</v>
      </c>
      <c r="F1570" t="s">
        <v>13</v>
      </c>
      <c r="G1570">
        <v>0.17399999999999999</v>
      </c>
      <c r="H1570">
        <v>0.74841749999999985</v>
      </c>
      <c r="I1570" t="s">
        <v>58</v>
      </c>
      <c r="J1570">
        <v>0.01</v>
      </c>
      <c r="K1570">
        <v>7.4841749999999983E-3</v>
      </c>
      <c r="L1570" t="s">
        <v>38</v>
      </c>
      <c r="M1570">
        <v>2.6000000000000002E-2</v>
      </c>
      <c r="N1570">
        <v>1.9458854999999997E-2</v>
      </c>
    </row>
    <row r="1571" spans="1:14" x14ac:dyDescent="0.25">
      <c r="A1571" s="23">
        <v>44668</v>
      </c>
      <c r="B1571">
        <v>27.75</v>
      </c>
      <c r="C1571" t="s">
        <v>2</v>
      </c>
      <c r="D1571">
        <v>0.155</v>
      </c>
      <c r="E1571">
        <v>4.3012499999999996</v>
      </c>
      <c r="F1571" t="s">
        <v>13</v>
      </c>
      <c r="G1571">
        <v>0.17399999999999999</v>
      </c>
      <c r="H1571">
        <v>0.74841749999999985</v>
      </c>
      <c r="L1571" t="s">
        <v>39</v>
      </c>
      <c r="M1571">
        <v>6.9999999999999993E-3</v>
      </c>
      <c r="N1571">
        <v>5.238922499999998E-3</v>
      </c>
    </row>
    <row r="1572" spans="1:14" x14ac:dyDescent="0.25">
      <c r="A1572" s="23">
        <v>44669</v>
      </c>
      <c r="B1572">
        <v>27.75</v>
      </c>
      <c r="C1572" t="s">
        <v>2</v>
      </c>
      <c r="D1572">
        <v>0.155</v>
      </c>
      <c r="E1572">
        <v>4.3012499999999996</v>
      </c>
      <c r="F1572" t="s">
        <v>47</v>
      </c>
      <c r="G1572">
        <v>0.09</v>
      </c>
      <c r="H1572">
        <v>0.38711249999999997</v>
      </c>
      <c r="I1572" t="s">
        <v>11</v>
      </c>
      <c r="J1572">
        <v>0</v>
      </c>
      <c r="K1572">
        <v>0</v>
      </c>
      <c r="L1572" t="s">
        <v>32</v>
      </c>
      <c r="M1572">
        <v>0</v>
      </c>
      <c r="N1572">
        <v>0</v>
      </c>
    </row>
    <row r="1573" spans="1:14" x14ac:dyDescent="0.25">
      <c r="A1573" s="23">
        <v>44670</v>
      </c>
      <c r="B1573">
        <v>27.75</v>
      </c>
      <c r="C1573" t="s">
        <v>2</v>
      </c>
      <c r="D1573">
        <v>0.155</v>
      </c>
      <c r="E1573">
        <v>4.3012499999999996</v>
      </c>
      <c r="F1573" t="s">
        <v>17</v>
      </c>
      <c r="G1573">
        <v>0.09</v>
      </c>
      <c r="H1573">
        <v>0.38711249999999997</v>
      </c>
      <c r="I1573" t="s">
        <v>12</v>
      </c>
      <c r="J1573">
        <v>0</v>
      </c>
      <c r="K1573">
        <v>0</v>
      </c>
      <c r="L1573" t="s">
        <v>33</v>
      </c>
      <c r="M1573">
        <v>5.9000000000000004E-2</v>
      </c>
      <c r="N1573">
        <v>2.2839637499999999E-2</v>
      </c>
    </row>
    <row r="1574" spans="1:14" x14ac:dyDescent="0.25">
      <c r="A1574" s="23">
        <v>44671</v>
      </c>
      <c r="B1574">
        <v>27.75</v>
      </c>
      <c r="C1574" t="s">
        <v>2</v>
      </c>
      <c r="D1574">
        <v>0.155</v>
      </c>
      <c r="E1574">
        <v>4.3012499999999996</v>
      </c>
      <c r="F1574" t="s">
        <v>17</v>
      </c>
      <c r="G1574">
        <v>0.09</v>
      </c>
      <c r="H1574">
        <v>0.38711249999999997</v>
      </c>
      <c r="I1574" t="s">
        <v>7</v>
      </c>
      <c r="J1574">
        <v>0</v>
      </c>
      <c r="K1574">
        <v>0</v>
      </c>
      <c r="L1574" t="s">
        <v>34</v>
      </c>
      <c r="M1574">
        <v>5.9000000000000004E-2</v>
      </c>
      <c r="N1574">
        <v>2.2839637499999999E-2</v>
      </c>
    </row>
    <row r="1575" spans="1:14" x14ac:dyDescent="0.25">
      <c r="A1575" s="23">
        <v>44672</v>
      </c>
      <c r="B1575">
        <v>27.75</v>
      </c>
      <c r="C1575" t="s">
        <v>2</v>
      </c>
      <c r="D1575">
        <v>0.155</v>
      </c>
      <c r="E1575">
        <v>4.3012499999999996</v>
      </c>
      <c r="F1575" t="s">
        <v>17</v>
      </c>
      <c r="G1575">
        <v>0.09</v>
      </c>
      <c r="H1575">
        <v>0.38711249999999997</v>
      </c>
      <c r="I1575" t="s">
        <v>8</v>
      </c>
      <c r="J1575">
        <v>0.43200000000000005</v>
      </c>
      <c r="K1575">
        <v>0.16723260000000001</v>
      </c>
      <c r="L1575" t="s">
        <v>35</v>
      </c>
      <c r="M1575">
        <v>0.50800000000000001</v>
      </c>
      <c r="N1575">
        <v>0.19665315</v>
      </c>
    </row>
    <row r="1576" spans="1:14" x14ac:dyDescent="0.25">
      <c r="A1576" s="23">
        <v>44673</v>
      </c>
      <c r="B1576">
        <v>27.75</v>
      </c>
      <c r="C1576" t="s">
        <v>2</v>
      </c>
      <c r="D1576">
        <v>0.155</v>
      </c>
      <c r="E1576">
        <v>4.3012499999999996</v>
      </c>
      <c r="F1576" t="s">
        <v>17</v>
      </c>
      <c r="G1576">
        <v>0.09</v>
      </c>
      <c r="H1576">
        <v>0.38711249999999997</v>
      </c>
      <c r="I1576" t="s">
        <v>10</v>
      </c>
      <c r="J1576">
        <v>5.9000000000000004E-2</v>
      </c>
      <c r="K1576">
        <v>2.2839637499999999E-2</v>
      </c>
      <c r="L1576" t="s">
        <v>36</v>
      </c>
      <c r="M1576">
        <v>0.254</v>
      </c>
      <c r="N1576">
        <v>9.8326574999999999E-2</v>
      </c>
    </row>
    <row r="1577" spans="1:14" x14ac:dyDescent="0.25">
      <c r="A1577" s="23">
        <v>44674</v>
      </c>
      <c r="B1577">
        <v>27.75</v>
      </c>
      <c r="C1577" t="s">
        <v>2</v>
      </c>
      <c r="D1577">
        <v>0.155</v>
      </c>
      <c r="E1577">
        <v>4.3012499999999996</v>
      </c>
      <c r="F1577" t="s">
        <v>17</v>
      </c>
      <c r="G1577">
        <v>0.09</v>
      </c>
      <c r="H1577">
        <v>0.38711249999999997</v>
      </c>
      <c r="I1577" t="s">
        <v>9</v>
      </c>
      <c r="J1577">
        <v>0.50800000000000001</v>
      </c>
      <c r="K1577">
        <v>0.19665315</v>
      </c>
      <c r="L1577" t="s">
        <v>37</v>
      </c>
      <c r="M1577">
        <v>0.11900000000000001</v>
      </c>
      <c r="N1577">
        <v>4.60663875E-2</v>
      </c>
    </row>
    <row r="1578" spans="1:14" x14ac:dyDescent="0.25">
      <c r="A1578" s="23">
        <v>44675</v>
      </c>
      <c r="B1578">
        <v>27.75</v>
      </c>
      <c r="C1578" t="s">
        <v>2</v>
      </c>
      <c r="D1578">
        <v>0.155</v>
      </c>
      <c r="E1578">
        <v>4.3012499999999996</v>
      </c>
      <c r="F1578" t="s">
        <v>17</v>
      </c>
      <c r="G1578">
        <v>0.09</v>
      </c>
      <c r="H1578">
        <v>0.38711249999999997</v>
      </c>
      <c r="I1578" t="s">
        <v>58</v>
      </c>
      <c r="J1578">
        <v>0</v>
      </c>
      <c r="K1578">
        <v>0</v>
      </c>
      <c r="L1578" t="s">
        <v>38</v>
      </c>
      <c r="M1578">
        <v>0</v>
      </c>
      <c r="N1578">
        <v>0</v>
      </c>
    </row>
    <row r="1579" spans="1:14" x14ac:dyDescent="0.25">
      <c r="A1579" s="23">
        <v>44676</v>
      </c>
      <c r="B1579">
        <v>27.75</v>
      </c>
      <c r="C1579" t="s">
        <v>2</v>
      </c>
      <c r="D1579">
        <v>0.155</v>
      </c>
      <c r="E1579">
        <v>4.3012499999999996</v>
      </c>
      <c r="F1579" t="s">
        <v>17</v>
      </c>
      <c r="G1579">
        <v>0.09</v>
      </c>
      <c r="H1579">
        <v>0.38711249999999997</v>
      </c>
      <c r="L1579" t="s">
        <v>39</v>
      </c>
      <c r="M1579">
        <v>0</v>
      </c>
      <c r="N1579">
        <v>0</v>
      </c>
    </row>
    <row r="1580" spans="1:14" x14ac:dyDescent="0.25">
      <c r="A1580" s="23">
        <v>44677</v>
      </c>
      <c r="B1580">
        <v>27.75</v>
      </c>
      <c r="C1580" t="s">
        <v>2</v>
      </c>
      <c r="D1580">
        <v>0.155</v>
      </c>
      <c r="E1580">
        <v>4.3012499999999996</v>
      </c>
      <c r="F1580" t="s">
        <v>18</v>
      </c>
      <c r="G1580">
        <v>9.5000000000000001E-2</v>
      </c>
      <c r="H1580">
        <v>0.40861874999999998</v>
      </c>
      <c r="I1580" t="s">
        <v>11</v>
      </c>
      <c r="J1580">
        <v>0.373</v>
      </c>
      <c r="K1580">
        <v>0.15241479375</v>
      </c>
      <c r="L1580" t="s">
        <v>32</v>
      </c>
      <c r="M1580">
        <v>1.9E-2</v>
      </c>
      <c r="N1580">
        <v>7.7637562499999991E-3</v>
      </c>
    </row>
    <row r="1581" spans="1:14" x14ac:dyDescent="0.25">
      <c r="A1581" s="23">
        <v>44678</v>
      </c>
      <c r="B1581">
        <v>27.75</v>
      </c>
      <c r="C1581" t="s">
        <v>2</v>
      </c>
      <c r="D1581">
        <v>0.155</v>
      </c>
      <c r="E1581">
        <v>4.3012499999999996</v>
      </c>
      <c r="F1581" t="s">
        <v>18</v>
      </c>
      <c r="G1581">
        <v>9.5000000000000001E-2</v>
      </c>
      <c r="H1581">
        <v>0.40861874999999998</v>
      </c>
      <c r="I1581" t="s">
        <v>12</v>
      </c>
      <c r="J1581">
        <v>3.4000000000000002E-2</v>
      </c>
      <c r="K1581">
        <v>1.38930375E-2</v>
      </c>
      <c r="L1581" t="s">
        <v>33</v>
      </c>
      <c r="M1581">
        <v>0.06</v>
      </c>
      <c r="N1581">
        <v>2.4517124999999997E-2</v>
      </c>
    </row>
    <row r="1582" spans="1:14" x14ac:dyDescent="0.25">
      <c r="A1582" s="23">
        <v>44679</v>
      </c>
      <c r="B1582">
        <v>27.75</v>
      </c>
      <c r="C1582" t="s">
        <v>2</v>
      </c>
      <c r="D1582">
        <v>0.155</v>
      </c>
      <c r="E1582">
        <v>4.3012499999999996</v>
      </c>
      <c r="F1582" t="s">
        <v>18</v>
      </c>
      <c r="G1582">
        <v>9.5000000000000001E-2</v>
      </c>
      <c r="H1582">
        <v>0.40861874999999998</v>
      </c>
      <c r="I1582" t="s">
        <v>7</v>
      </c>
      <c r="J1582">
        <v>7.4999999999999997E-2</v>
      </c>
      <c r="K1582">
        <v>3.0646406249999997E-2</v>
      </c>
      <c r="L1582" t="s">
        <v>34</v>
      </c>
      <c r="M1582">
        <v>0.11199999999999999</v>
      </c>
      <c r="N1582">
        <v>4.5765299999999995E-2</v>
      </c>
    </row>
    <row r="1583" spans="1:14" x14ac:dyDescent="0.25">
      <c r="A1583" s="23">
        <v>44680</v>
      </c>
      <c r="B1583">
        <v>27.75</v>
      </c>
      <c r="C1583" t="s">
        <v>2</v>
      </c>
      <c r="D1583">
        <v>0.155</v>
      </c>
      <c r="E1583">
        <v>4.3012499999999996</v>
      </c>
      <c r="F1583" t="s">
        <v>18</v>
      </c>
      <c r="G1583">
        <v>9.5000000000000001E-2</v>
      </c>
      <c r="H1583">
        <v>0.40861874999999998</v>
      </c>
      <c r="I1583" t="s">
        <v>8</v>
      </c>
      <c r="J1583">
        <v>0.24199999999999999</v>
      </c>
      <c r="K1583">
        <v>9.8885737499999987E-2</v>
      </c>
      <c r="L1583" t="s">
        <v>35</v>
      </c>
      <c r="M1583">
        <v>0.32899999999999996</v>
      </c>
      <c r="N1583">
        <v>0.13443556874999998</v>
      </c>
    </row>
    <row r="1584" spans="1:14" x14ac:dyDescent="0.25">
      <c r="A1584" s="23">
        <v>44681</v>
      </c>
      <c r="B1584">
        <v>27.75</v>
      </c>
      <c r="C1584" t="s">
        <v>2</v>
      </c>
      <c r="D1584">
        <v>0.155</v>
      </c>
      <c r="E1584">
        <v>4.3012499999999996</v>
      </c>
      <c r="F1584" t="s">
        <v>18</v>
      </c>
      <c r="G1584">
        <v>9.5000000000000001E-2</v>
      </c>
      <c r="H1584">
        <v>0.40861874999999998</v>
      </c>
      <c r="I1584" t="s">
        <v>10</v>
      </c>
      <c r="J1584">
        <v>4.0999999999999995E-2</v>
      </c>
      <c r="K1584">
        <v>1.6753368749999997E-2</v>
      </c>
      <c r="L1584" t="s">
        <v>36</v>
      </c>
      <c r="M1584">
        <v>0.25900000000000001</v>
      </c>
      <c r="N1584">
        <v>0.10583225624999999</v>
      </c>
    </row>
    <row r="1585" spans="1:14" x14ac:dyDescent="0.25">
      <c r="A1585" s="23">
        <v>44682</v>
      </c>
      <c r="B1585">
        <v>27.75</v>
      </c>
      <c r="C1585" t="s">
        <v>2</v>
      </c>
      <c r="D1585">
        <v>0.155</v>
      </c>
      <c r="E1585">
        <v>4.3012499999999996</v>
      </c>
      <c r="F1585" t="s">
        <v>48</v>
      </c>
      <c r="G1585">
        <v>9.5000000000000001E-2</v>
      </c>
      <c r="H1585">
        <v>0.40861874999999998</v>
      </c>
      <c r="I1585" t="s">
        <v>9</v>
      </c>
      <c r="J1585">
        <v>0.23</v>
      </c>
      <c r="K1585">
        <v>9.3982312499999998E-2</v>
      </c>
      <c r="L1585" t="s">
        <v>37</v>
      </c>
      <c r="M1585">
        <v>0.16800000000000001</v>
      </c>
      <c r="N1585">
        <v>6.8647949999999999E-2</v>
      </c>
    </row>
    <row r="1586" spans="1:14" x14ac:dyDescent="0.25">
      <c r="A1586" s="23">
        <v>44683</v>
      </c>
      <c r="B1586">
        <v>27.75</v>
      </c>
      <c r="C1586" t="s">
        <v>2</v>
      </c>
      <c r="D1586">
        <v>0.155</v>
      </c>
      <c r="E1586">
        <v>4.3012499999999996</v>
      </c>
      <c r="F1586" t="s">
        <v>18</v>
      </c>
      <c r="G1586">
        <v>9.5000000000000001E-2</v>
      </c>
      <c r="H1586">
        <v>0.40861874999999998</v>
      </c>
      <c r="I1586" t="s">
        <v>58</v>
      </c>
      <c r="J1586">
        <v>4.0000000000000001E-3</v>
      </c>
      <c r="K1586">
        <v>1.634475E-3</v>
      </c>
      <c r="L1586" t="s">
        <v>38</v>
      </c>
      <c r="M1586">
        <v>2.7999999999999997E-2</v>
      </c>
      <c r="N1586">
        <v>1.1441324999999999E-2</v>
      </c>
    </row>
    <row r="1587" spans="1:14" x14ac:dyDescent="0.25">
      <c r="A1587" s="23">
        <v>44684</v>
      </c>
      <c r="B1587">
        <v>27.75</v>
      </c>
      <c r="C1587" t="s">
        <v>2</v>
      </c>
      <c r="D1587">
        <v>0.155</v>
      </c>
      <c r="E1587">
        <v>4.3012499999999996</v>
      </c>
      <c r="F1587" t="s">
        <v>18</v>
      </c>
      <c r="G1587">
        <v>9.5000000000000001E-2</v>
      </c>
      <c r="H1587">
        <v>0.40861874999999998</v>
      </c>
      <c r="L1587" t="s">
        <v>39</v>
      </c>
      <c r="M1587">
        <v>2.5000000000000001E-2</v>
      </c>
      <c r="N1587">
        <v>1.021546875E-2</v>
      </c>
    </row>
    <row r="1588" spans="1:14" x14ac:dyDescent="0.25">
      <c r="A1588" s="23">
        <v>44685</v>
      </c>
      <c r="B1588">
        <v>27.75</v>
      </c>
      <c r="C1588" t="s">
        <v>19</v>
      </c>
      <c r="D1588">
        <v>0.84499999999999997</v>
      </c>
      <c r="E1588">
        <v>23.44875</v>
      </c>
      <c r="F1588" t="s">
        <v>14</v>
      </c>
      <c r="G1588">
        <v>0.81</v>
      </c>
      <c r="H1588">
        <v>18.993487500000001</v>
      </c>
      <c r="I1588" t="s">
        <v>11</v>
      </c>
      <c r="J1588">
        <v>0.114</v>
      </c>
      <c r="K1588">
        <v>2.165257575</v>
      </c>
      <c r="L1588" t="s">
        <v>32</v>
      </c>
      <c r="M1588">
        <v>3.1E-2</v>
      </c>
      <c r="N1588">
        <v>0.58879811250000003</v>
      </c>
    </row>
    <row r="1589" spans="1:14" x14ac:dyDescent="0.25">
      <c r="A1589" s="23">
        <v>44686</v>
      </c>
      <c r="B1589">
        <v>27.75</v>
      </c>
      <c r="C1589" t="s">
        <v>19</v>
      </c>
      <c r="D1589">
        <v>0.84499999999999997</v>
      </c>
      <c r="E1589">
        <v>23.44875</v>
      </c>
      <c r="F1589" t="s">
        <v>14</v>
      </c>
      <c r="G1589">
        <v>0.81</v>
      </c>
      <c r="H1589">
        <v>18.993487500000001</v>
      </c>
      <c r="I1589" t="s">
        <v>12</v>
      </c>
      <c r="J1589">
        <v>0.105</v>
      </c>
      <c r="K1589">
        <v>1.9943161874999999</v>
      </c>
      <c r="L1589" t="s">
        <v>33</v>
      </c>
      <c r="M1589">
        <v>7.4999999999999997E-2</v>
      </c>
      <c r="N1589">
        <v>1.4245115625</v>
      </c>
    </row>
    <row r="1590" spans="1:14" x14ac:dyDescent="0.25">
      <c r="A1590" s="23">
        <v>44687</v>
      </c>
      <c r="B1590">
        <v>27.75</v>
      </c>
      <c r="C1590" t="s">
        <v>19</v>
      </c>
      <c r="D1590">
        <v>0.84499999999999997</v>
      </c>
      <c r="E1590">
        <v>23.44875</v>
      </c>
      <c r="F1590" t="s">
        <v>14</v>
      </c>
      <c r="G1590">
        <v>0.81</v>
      </c>
      <c r="H1590">
        <v>18.993487500000001</v>
      </c>
      <c r="I1590" t="s">
        <v>7</v>
      </c>
      <c r="J1590">
        <v>0.12</v>
      </c>
      <c r="K1590">
        <v>2.2792184999999998</v>
      </c>
      <c r="L1590" t="s">
        <v>34</v>
      </c>
      <c r="M1590">
        <v>0.11800000000000001</v>
      </c>
      <c r="N1590">
        <v>2.2412315250000003</v>
      </c>
    </row>
    <row r="1591" spans="1:14" x14ac:dyDescent="0.25">
      <c r="A1591" s="23">
        <v>44688</v>
      </c>
      <c r="B1591">
        <v>27.75</v>
      </c>
      <c r="C1591" t="s">
        <v>19</v>
      </c>
      <c r="D1591">
        <v>0.84499999999999997</v>
      </c>
      <c r="E1591">
        <v>23.44875</v>
      </c>
      <c r="F1591" t="s">
        <v>14</v>
      </c>
      <c r="G1591">
        <v>0.81</v>
      </c>
      <c r="H1591">
        <v>18.993487500000001</v>
      </c>
      <c r="I1591" t="s">
        <v>8</v>
      </c>
      <c r="J1591">
        <v>0.34100000000000003</v>
      </c>
      <c r="K1591">
        <v>6.4767792375000006</v>
      </c>
      <c r="L1591" t="s">
        <v>35</v>
      </c>
      <c r="M1591">
        <v>0.28800000000000003</v>
      </c>
      <c r="N1591">
        <v>5.4701244000000004</v>
      </c>
    </row>
    <row r="1592" spans="1:14" x14ac:dyDescent="0.25">
      <c r="A1592" s="23">
        <v>44689</v>
      </c>
      <c r="B1592">
        <v>27.75</v>
      </c>
      <c r="C1592" t="s">
        <v>19</v>
      </c>
      <c r="D1592">
        <v>0.84499999999999997</v>
      </c>
      <c r="E1592">
        <v>23.44875</v>
      </c>
      <c r="F1592" t="s">
        <v>14</v>
      </c>
      <c r="G1592">
        <v>0.81</v>
      </c>
      <c r="H1592">
        <v>18.993487500000001</v>
      </c>
      <c r="I1592" t="s">
        <v>10</v>
      </c>
      <c r="J1592">
        <v>5.2999999999999999E-2</v>
      </c>
      <c r="K1592">
        <v>1.0066548375</v>
      </c>
      <c r="L1592" t="s">
        <v>36</v>
      </c>
      <c r="M1592">
        <v>0.252</v>
      </c>
      <c r="N1592">
        <v>4.7863588500000001</v>
      </c>
    </row>
    <row r="1593" spans="1:14" x14ac:dyDescent="0.25">
      <c r="A1593" s="23">
        <v>44690</v>
      </c>
      <c r="B1593">
        <v>27.75</v>
      </c>
      <c r="C1593" t="s">
        <v>19</v>
      </c>
      <c r="D1593">
        <v>0.84499999999999997</v>
      </c>
      <c r="E1593">
        <v>23.44875</v>
      </c>
      <c r="F1593" t="s">
        <v>14</v>
      </c>
      <c r="G1593">
        <v>0.81</v>
      </c>
      <c r="H1593">
        <v>18.993487500000001</v>
      </c>
      <c r="I1593" t="s">
        <v>9</v>
      </c>
      <c r="J1593">
        <v>0.253</v>
      </c>
      <c r="K1593">
        <v>4.8053523375000005</v>
      </c>
      <c r="L1593" t="s">
        <v>37</v>
      </c>
      <c r="M1593">
        <v>0.191</v>
      </c>
      <c r="N1593">
        <v>3.6277561125000002</v>
      </c>
    </row>
    <row r="1594" spans="1:14" x14ac:dyDescent="0.25">
      <c r="A1594" s="23">
        <v>44691</v>
      </c>
      <c r="B1594">
        <v>27.75</v>
      </c>
      <c r="C1594" t="s">
        <v>19</v>
      </c>
      <c r="D1594">
        <v>0.84499999999999997</v>
      </c>
      <c r="E1594">
        <v>23.44875</v>
      </c>
      <c r="F1594" t="s">
        <v>14</v>
      </c>
      <c r="G1594">
        <v>0.81</v>
      </c>
      <c r="H1594">
        <v>18.993487500000001</v>
      </c>
      <c r="I1594" t="s">
        <v>58</v>
      </c>
      <c r="J1594">
        <v>1.4999999999999999E-2</v>
      </c>
      <c r="K1594">
        <v>0.28490231249999998</v>
      </c>
      <c r="L1594" t="s">
        <v>38</v>
      </c>
      <c r="M1594">
        <v>3.3000000000000002E-2</v>
      </c>
      <c r="N1594">
        <v>0.62678508750000006</v>
      </c>
    </row>
    <row r="1595" spans="1:14" x14ac:dyDescent="0.25">
      <c r="A1595" s="23">
        <v>44692</v>
      </c>
      <c r="B1595">
        <v>27.75</v>
      </c>
      <c r="C1595" t="s">
        <v>19</v>
      </c>
      <c r="D1595">
        <v>0.84499999999999997</v>
      </c>
      <c r="E1595">
        <v>23.44875</v>
      </c>
      <c r="F1595" t="s">
        <v>14</v>
      </c>
      <c r="G1595">
        <v>0.81</v>
      </c>
      <c r="H1595">
        <v>18.993487500000001</v>
      </c>
      <c r="L1595" t="s">
        <v>39</v>
      </c>
      <c r="M1595">
        <v>1.2E-2</v>
      </c>
      <c r="N1595">
        <v>0.22792185000000001</v>
      </c>
    </row>
    <row r="1596" spans="1:14" x14ac:dyDescent="0.25">
      <c r="A1596" s="23">
        <v>44693</v>
      </c>
      <c r="B1596">
        <v>27.75</v>
      </c>
      <c r="C1596" t="s">
        <v>19</v>
      </c>
      <c r="D1596">
        <v>0.84499999999999997</v>
      </c>
      <c r="E1596">
        <v>23.44875</v>
      </c>
      <c r="F1596" t="s">
        <v>15</v>
      </c>
      <c r="G1596">
        <v>0.83200000000000007</v>
      </c>
      <c r="H1596">
        <v>19.509360000000001</v>
      </c>
      <c r="I1596" t="s">
        <v>11</v>
      </c>
      <c r="J1596">
        <v>7.2999999999999995E-2</v>
      </c>
      <c r="K1596">
        <v>1.4241832800000001</v>
      </c>
      <c r="L1596" t="s">
        <v>32</v>
      </c>
      <c r="M1596">
        <v>1.2E-2</v>
      </c>
      <c r="N1596">
        <v>0.23411232000000001</v>
      </c>
    </row>
    <row r="1597" spans="1:14" x14ac:dyDescent="0.25">
      <c r="A1597" s="23">
        <v>44694</v>
      </c>
      <c r="B1597">
        <v>27.75</v>
      </c>
      <c r="C1597" t="s">
        <v>19</v>
      </c>
      <c r="D1597">
        <v>0.84499999999999997</v>
      </c>
      <c r="E1597">
        <v>23.44875</v>
      </c>
      <c r="F1597" t="s">
        <v>15</v>
      </c>
      <c r="G1597">
        <v>0.83200000000000007</v>
      </c>
      <c r="H1597">
        <v>19.509360000000001</v>
      </c>
      <c r="I1597" t="s">
        <v>12</v>
      </c>
      <c r="J1597">
        <v>0.13</v>
      </c>
      <c r="K1597">
        <v>2.5362168</v>
      </c>
      <c r="L1597" t="s">
        <v>33</v>
      </c>
      <c r="M1597">
        <v>8.5999999999999993E-2</v>
      </c>
      <c r="N1597">
        <v>1.67780496</v>
      </c>
    </row>
    <row r="1598" spans="1:14" x14ac:dyDescent="0.25">
      <c r="A1598" s="23">
        <v>44695</v>
      </c>
      <c r="B1598">
        <v>27.75</v>
      </c>
      <c r="C1598" t="s">
        <v>19</v>
      </c>
      <c r="D1598">
        <v>0.84499999999999997</v>
      </c>
      <c r="E1598">
        <v>23.44875</v>
      </c>
      <c r="F1598" t="s">
        <v>15</v>
      </c>
      <c r="G1598">
        <v>0.83200000000000007</v>
      </c>
      <c r="H1598">
        <v>19.509360000000001</v>
      </c>
      <c r="I1598" t="s">
        <v>7</v>
      </c>
      <c r="J1598">
        <v>0.13699999999999998</v>
      </c>
      <c r="K1598">
        <v>2.6727823199999996</v>
      </c>
      <c r="L1598" t="s">
        <v>34</v>
      </c>
      <c r="M1598">
        <v>0.14699999999999999</v>
      </c>
      <c r="N1598">
        <v>2.8678759199999999</v>
      </c>
    </row>
    <row r="1599" spans="1:14" x14ac:dyDescent="0.25">
      <c r="A1599" s="23">
        <v>44696</v>
      </c>
      <c r="B1599">
        <v>27.75</v>
      </c>
      <c r="C1599" t="s">
        <v>19</v>
      </c>
      <c r="D1599">
        <v>0.84499999999999997</v>
      </c>
      <c r="E1599">
        <v>23.44875</v>
      </c>
      <c r="F1599" t="s">
        <v>15</v>
      </c>
      <c r="G1599">
        <v>0.83200000000000007</v>
      </c>
      <c r="H1599">
        <v>19.509360000000001</v>
      </c>
      <c r="I1599" t="s">
        <v>8</v>
      </c>
      <c r="J1599">
        <v>0.37</v>
      </c>
      <c r="K1599">
        <v>7.2184632000000004</v>
      </c>
      <c r="L1599" t="s">
        <v>35</v>
      </c>
      <c r="M1599">
        <v>0.27899999999999997</v>
      </c>
      <c r="N1599">
        <v>5.44311144</v>
      </c>
    </row>
    <row r="1600" spans="1:14" x14ac:dyDescent="0.25">
      <c r="A1600" s="23">
        <v>44697</v>
      </c>
      <c r="B1600">
        <v>27.75</v>
      </c>
      <c r="C1600" t="s">
        <v>19</v>
      </c>
      <c r="D1600">
        <v>0.84499999999999997</v>
      </c>
      <c r="E1600">
        <v>23.44875</v>
      </c>
      <c r="F1600" t="s">
        <v>15</v>
      </c>
      <c r="G1600">
        <v>0.83200000000000007</v>
      </c>
      <c r="H1600">
        <v>19.509360000000001</v>
      </c>
      <c r="I1600" t="s">
        <v>10</v>
      </c>
      <c r="J1600">
        <v>6.3E-2</v>
      </c>
      <c r="K1600">
        <v>1.22908968</v>
      </c>
      <c r="L1600" t="s">
        <v>36</v>
      </c>
      <c r="M1600">
        <v>0.32100000000000001</v>
      </c>
      <c r="N1600">
        <v>6.2625045600000009</v>
      </c>
    </row>
    <row r="1601" spans="1:14" x14ac:dyDescent="0.25">
      <c r="A1601" s="23">
        <v>44698</v>
      </c>
      <c r="B1601">
        <v>27.75</v>
      </c>
      <c r="C1601" t="s">
        <v>19</v>
      </c>
      <c r="D1601">
        <v>0.84499999999999997</v>
      </c>
      <c r="E1601">
        <v>23.44875</v>
      </c>
      <c r="F1601" t="s">
        <v>15</v>
      </c>
      <c r="G1601">
        <v>0.83200000000000007</v>
      </c>
      <c r="H1601">
        <v>19.509360000000001</v>
      </c>
      <c r="I1601" t="s">
        <v>9</v>
      </c>
      <c r="J1601">
        <v>0.22399999999999998</v>
      </c>
      <c r="K1601">
        <v>4.3700966399999999</v>
      </c>
      <c r="L1601" t="s">
        <v>37</v>
      </c>
      <c r="M1601">
        <v>0.124</v>
      </c>
      <c r="N1601">
        <v>2.4191606400000003</v>
      </c>
    </row>
    <row r="1602" spans="1:14" x14ac:dyDescent="0.25">
      <c r="A1602" s="23">
        <v>44699</v>
      </c>
      <c r="B1602">
        <v>27.75</v>
      </c>
      <c r="C1602" t="s">
        <v>19</v>
      </c>
      <c r="D1602">
        <v>0.84499999999999997</v>
      </c>
      <c r="E1602">
        <v>23.44875</v>
      </c>
      <c r="F1602" t="s">
        <v>15</v>
      </c>
      <c r="G1602">
        <v>0.83200000000000007</v>
      </c>
      <c r="H1602">
        <v>19.509360000000001</v>
      </c>
      <c r="I1602" t="s">
        <v>58</v>
      </c>
      <c r="J1602">
        <v>3.0000000000000001E-3</v>
      </c>
      <c r="K1602">
        <v>5.8528080000000003E-2</v>
      </c>
      <c r="L1602" t="s">
        <v>38</v>
      </c>
      <c r="M1602">
        <v>2.3E-2</v>
      </c>
      <c r="N1602">
        <v>0.44871527999999999</v>
      </c>
    </row>
    <row r="1603" spans="1:14" x14ac:dyDescent="0.25">
      <c r="A1603" s="23">
        <v>44700</v>
      </c>
      <c r="B1603">
        <v>27.75</v>
      </c>
      <c r="C1603" t="s">
        <v>19</v>
      </c>
      <c r="D1603">
        <v>0.84499999999999997</v>
      </c>
      <c r="E1603">
        <v>23.44875</v>
      </c>
      <c r="F1603" t="s">
        <v>15</v>
      </c>
      <c r="G1603">
        <v>0.83200000000000007</v>
      </c>
      <c r="H1603">
        <v>19.509360000000001</v>
      </c>
      <c r="L1603" t="s">
        <v>39</v>
      </c>
      <c r="M1603">
        <v>8.0000000000000002E-3</v>
      </c>
      <c r="N1603">
        <v>0.15607488</v>
      </c>
    </row>
    <row r="1604" spans="1:14" x14ac:dyDescent="0.25">
      <c r="A1604" s="23">
        <v>44701</v>
      </c>
      <c r="B1604">
        <v>27.75</v>
      </c>
      <c r="C1604" t="s">
        <v>19</v>
      </c>
      <c r="D1604">
        <v>0.84499999999999997</v>
      </c>
      <c r="E1604">
        <v>23.44875</v>
      </c>
      <c r="F1604" t="s">
        <v>16</v>
      </c>
      <c r="G1604">
        <v>0.83200000000000007</v>
      </c>
      <c r="H1604">
        <v>19.509360000000001</v>
      </c>
      <c r="I1604" t="s">
        <v>11</v>
      </c>
      <c r="J1604">
        <v>0.124</v>
      </c>
      <c r="K1604">
        <v>2.4191606400000003</v>
      </c>
      <c r="L1604" t="s">
        <v>32</v>
      </c>
      <c r="M1604">
        <v>4.8000000000000001E-2</v>
      </c>
      <c r="N1604">
        <v>0.93644928000000005</v>
      </c>
    </row>
    <row r="1605" spans="1:14" x14ac:dyDescent="0.25">
      <c r="A1605" s="23">
        <v>44702</v>
      </c>
      <c r="B1605">
        <v>27.75</v>
      </c>
      <c r="C1605" t="s">
        <v>19</v>
      </c>
      <c r="D1605">
        <v>0.84499999999999997</v>
      </c>
      <c r="E1605">
        <v>23.44875</v>
      </c>
      <c r="F1605" t="s">
        <v>16</v>
      </c>
      <c r="G1605">
        <v>0.83200000000000007</v>
      </c>
      <c r="H1605">
        <v>19.509360000000001</v>
      </c>
      <c r="I1605" t="s">
        <v>12</v>
      </c>
      <c r="J1605">
        <v>8.8000000000000009E-2</v>
      </c>
      <c r="K1605">
        <v>1.7168236800000003</v>
      </c>
      <c r="L1605" t="s">
        <v>33</v>
      </c>
      <c r="M1605">
        <v>9.1999999999999998E-2</v>
      </c>
      <c r="N1605">
        <v>1.79486112</v>
      </c>
    </row>
    <row r="1606" spans="1:14" x14ac:dyDescent="0.25">
      <c r="A1606" s="23">
        <v>44703</v>
      </c>
      <c r="B1606">
        <v>27.75</v>
      </c>
      <c r="C1606" t="s">
        <v>19</v>
      </c>
      <c r="D1606">
        <v>0.84499999999999997</v>
      </c>
      <c r="E1606">
        <v>23.44875</v>
      </c>
      <c r="F1606" t="s">
        <v>16</v>
      </c>
      <c r="G1606">
        <v>0.83200000000000007</v>
      </c>
      <c r="H1606">
        <v>19.509360000000001</v>
      </c>
      <c r="I1606" t="s">
        <v>7</v>
      </c>
      <c r="J1606">
        <v>0.13500000000000001</v>
      </c>
      <c r="K1606">
        <v>2.6337636000000004</v>
      </c>
      <c r="L1606" t="s">
        <v>34</v>
      </c>
      <c r="M1606">
        <v>0.11599999999999999</v>
      </c>
      <c r="N1606">
        <v>2.2630857600000001</v>
      </c>
    </row>
    <row r="1607" spans="1:14" x14ac:dyDescent="0.25">
      <c r="A1607" s="23">
        <v>44704</v>
      </c>
      <c r="B1607">
        <v>27.75</v>
      </c>
      <c r="C1607" t="s">
        <v>19</v>
      </c>
      <c r="D1607">
        <v>0.84499999999999997</v>
      </c>
      <c r="E1607">
        <v>23.44875</v>
      </c>
      <c r="F1607" t="s">
        <v>16</v>
      </c>
      <c r="G1607">
        <v>0.83200000000000007</v>
      </c>
      <c r="H1607">
        <v>19.509360000000001</v>
      </c>
      <c r="I1607" t="s">
        <v>8</v>
      </c>
      <c r="J1607">
        <v>0.379</v>
      </c>
      <c r="K1607">
        <v>7.3940474400000005</v>
      </c>
      <c r="L1607" t="s">
        <v>35</v>
      </c>
      <c r="M1607">
        <v>0.31</v>
      </c>
      <c r="N1607">
        <v>6.0479016000000003</v>
      </c>
    </row>
    <row r="1608" spans="1:14" x14ac:dyDescent="0.25">
      <c r="A1608" s="23">
        <v>44705</v>
      </c>
      <c r="B1608">
        <v>27.75</v>
      </c>
      <c r="C1608" t="s">
        <v>19</v>
      </c>
      <c r="D1608">
        <v>0.84499999999999997</v>
      </c>
      <c r="E1608">
        <v>23.44875</v>
      </c>
      <c r="F1608" t="s">
        <v>16</v>
      </c>
      <c r="G1608">
        <v>0.83200000000000007</v>
      </c>
      <c r="H1608">
        <v>19.509360000000001</v>
      </c>
      <c r="I1608" t="s">
        <v>10</v>
      </c>
      <c r="J1608">
        <v>4.2999999999999997E-2</v>
      </c>
      <c r="K1608">
        <v>0.83890248000000001</v>
      </c>
      <c r="L1608" t="s">
        <v>36</v>
      </c>
      <c r="M1608">
        <v>0.23899999999999999</v>
      </c>
      <c r="N1608">
        <v>4.6627370399999997</v>
      </c>
    </row>
    <row r="1609" spans="1:14" x14ac:dyDescent="0.25">
      <c r="A1609" s="23">
        <v>44706</v>
      </c>
      <c r="B1609">
        <v>27.75</v>
      </c>
      <c r="C1609" t="s">
        <v>19</v>
      </c>
      <c r="D1609">
        <v>0.84499999999999997</v>
      </c>
      <c r="E1609">
        <v>23.44875</v>
      </c>
      <c r="F1609" t="s">
        <v>16</v>
      </c>
      <c r="G1609">
        <v>0.83200000000000007</v>
      </c>
      <c r="H1609">
        <v>19.509360000000001</v>
      </c>
      <c r="I1609" t="s">
        <v>9</v>
      </c>
      <c r="J1609">
        <v>0.20800000000000002</v>
      </c>
      <c r="K1609">
        <v>4.0579468800000003</v>
      </c>
      <c r="L1609" t="s">
        <v>37</v>
      </c>
      <c r="M1609">
        <v>0.161</v>
      </c>
      <c r="N1609">
        <v>3.1410069600000003</v>
      </c>
    </row>
    <row r="1610" spans="1:14" x14ac:dyDescent="0.25">
      <c r="A1610" s="23">
        <v>44707</v>
      </c>
      <c r="B1610">
        <v>27.75</v>
      </c>
      <c r="C1610" t="s">
        <v>19</v>
      </c>
      <c r="D1610">
        <v>0.84499999999999997</v>
      </c>
      <c r="E1610">
        <v>23.44875</v>
      </c>
      <c r="F1610" t="s">
        <v>16</v>
      </c>
      <c r="G1610">
        <v>0.83200000000000007</v>
      </c>
      <c r="H1610">
        <v>19.509360000000001</v>
      </c>
      <c r="I1610" t="s">
        <v>58</v>
      </c>
      <c r="J1610">
        <v>2.3E-2</v>
      </c>
      <c r="K1610">
        <v>0.44871527999999999</v>
      </c>
      <c r="L1610" t="s">
        <v>38</v>
      </c>
      <c r="M1610">
        <v>2.6000000000000002E-2</v>
      </c>
      <c r="N1610">
        <v>0.50724336000000003</v>
      </c>
    </row>
    <row r="1611" spans="1:14" x14ac:dyDescent="0.25">
      <c r="A1611" s="23">
        <v>44708</v>
      </c>
      <c r="B1611">
        <v>27.75</v>
      </c>
      <c r="C1611" t="s">
        <v>19</v>
      </c>
      <c r="D1611">
        <v>0.84499999999999997</v>
      </c>
      <c r="E1611">
        <v>23.44875</v>
      </c>
      <c r="F1611" t="s">
        <v>16</v>
      </c>
      <c r="G1611">
        <v>0.83200000000000007</v>
      </c>
      <c r="H1611">
        <v>19.509360000000001</v>
      </c>
      <c r="L1611" t="s">
        <v>39</v>
      </c>
      <c r="M1611">
        <v>8.0000000000000002E-3</v>
      </c>
      <c r="N1611">
        <v>0.15607488</v>
      </c>
    </row>
    <row r="1612" spans="1:14" x14ac:dyDescent="0.25">
      <c r="A1612" s="23">
        <v>44709</v>
      </c>
      <c r="B1612">
        <v>27.75</v>
      </c>
      <c r="C1612" t="s">
        <v>19</v>
      </c>
      <c r="D1612">
        <v>0.84499999999999997</v>
      </c>
      <c r="E1612">
        <v>23.44875</v>
      </c>
      <c r="F1612" t="s">
        <v>13</v>
      </c>
      <c r="G1612">
        <v>0.82599999999999996</v>
      </c>
      <c r="H1612">
        <v>19.368667500000001</v>
      </c>
      <c r="I1612" t="s">
        <v>11</v>
      </c>
      <c r="J1612">
        <v>0.17</v>
      </c>
      <c r="K1612">
        <v>3.2926734750000004</v>
      </c>
      <c r="L1612" t="s">
        <v>32</v>
      </c>
      <c r="M1612">
        <v>3.7999999999999999E-2</v>
      </c>
      <c r="N1612">
        <v>0.73600936500000003</v>
      </c>
    </row>
    <row r="1613" spans="1:14" x14ac:dyDescent="0.25">
      <c r="A1613" s="23">
        <v>44710</v>
      </c>
      <c r="B1613">
        <v>27.75</v>
      </c>
      <c r="C1613" t="s">
        <v>19</v>
      </c>
      <c r="D1613">
        <v>0.84499999999999997</v>
      </c>
      <c r="E1613">
        <v>23.44875</v>
      </c>
      <c r="F1613" t="s">
        <v>13</v>
      </c>
      <c r="G1613">
        <v>0.82599999999999996</v>
      </c>
      <c r="H1613">
        <v>19.368667500000001</v>
      </c>
      <c r="I1613" t="s">
        <v>12</v>
      </c>
      <c r="J1613">
        <v>0.11900000000000001</v>
      </c>
      <c r="K1613">
        <v>2.3048714325000002</v>
      </c>
      <c r="L1613" t="s">
        <v>33</v>
      </c>
      <c r="M1613">
        <v>8.900000000000001E-2</v>
      </c>
      <c r="N1613">
        <v>1.7238114075000002</v>
      </c>
    </row>
    <row r="1614" spans="1:14" x14ac:dyDescent="0.25">
      <c r="A1614" s="23">
        <v>44711</v>
      </c>
      <c r="B1614">
        <v>27.75</v>
      </c>
      <c r="C1614" t="s">
        <v>19</v>
      </c>
      <c r="D1614">
        <v>0.84499999999999997</v>
      </c>
      <c r="E1614">
        <v>23.44875</v>
      </c>
      <c r="F1614" t="s">
        <v>13</v>
      </c>
      <c r="G1614">
        <v>0.82599999999999996</v>
      </c>
      <c r="H1614">
        <v>19.368667500000001</v>
      </c>
      <c r="I1614" t="s">
        <v>7</v>
      </c>
      <c r="J1614">
        <v>0.13300000000000001</v>
      </c>
      <c r="K1614">
        <v>2.5760327775</v>
      </c>
      <c r="L1614" t="s">
        <v>34</v>
      </c>
      <c r="M1614">
        <v>0.121</v>
      </c>
      <c r="N1614">
        <v>2.3436087675000001</v>
      </c>
    </row>
    <row r="1615" spans="1:14" x14ac:dyDescent="0.25">
      <c r="A1615" s="23">
        <v>44712</v>
      </c>
      <c r="B1615">
        <v>27.75</v>
      </c>
      <c r="C1615" t="s">
        <v>19</v>
      </c>
      <c r="D1615">
        <v>0.84499999999999997</v>
      </c>
      <c r="E1615">
        <v>23.44875</v>
      </c>
      <c r="F1615" t="s">
        <v>13</v>
      </c>
      <c r="G1615">
        <v>0.82599999999999996</v>
      </c>
      <c r="H1615">
        <v>19.368667500000001</v>
      </c>
      <c r="I1615" t="s">
        <v>8</v>
      </c>
      <c r="J1615">
        <v>0.38600000000000001</v>
      </c>
      <c r="K1615">
        <v>7.4763056550000009</v>
      </c>
      <c r="L1615" t="s">
        <v>35</v>
      </c>
      <c r="M1615">
        <v>0.29299999999999998</v>
      </c>
      <c r="N1615">
        <v>5.6750195774999996</v>
      </c>
    </row>
    <row r="1616" spans="1:14" x14ac:dyDescent="0.25">
      <c r="A1616" s="23">
        <v>44713</v>
      </c>
      <c r="B1616">
        <v>27.75</v>
      </c>
      <c r="C1616" t="s">
        <v>19</v>
      </c>
      <c r="D1616">
        <v>0.84499999999999997</v>
      </c>
      <c r="E1616">
        <v>23.44875</v>
      </c>
      <c r="F1616" t="s">
        <v>13</v>
      </c>
      <c r="G1616">
        <v>0.82599999999999996</v>
      </c>
      <c r="H1616">
        <v>19.368667500000001</v>
      </c>
      <c r="I1616" t="s">
        <v>10</v>
      </c>
      <c r="J1616">
        <v>0.03</v>
      </c>
      <c r="K1616">
        <v>0.58106002499999998</v>
      </c>
      <c r="L1616" t="s">
        <v>36</v>
      </c>
      <c r="M1616">
        <v>0.23899999999999999</v>
      </c>
      <c r="N1616">
        <v>4.6291115324999996</v>
      </c>
    </row>
    <row r="1617" spans="1:14" x14ac:dyDescent="0.25">
      <c r="A1617" s="23">
        <v>44714</v>
      </c>
      <c r="B1617">
        <v>27.75</v>
      </c>
      <c r="C1617" t="s">
        <v>19</v>
      </c>
      <c r="D1617">
        <v>0.84499999999999997</v>
      </c>
      <c r="E1617">
        <v>23.44875</v>
      </c>
      <c r="F1617" t="s">
        <v>13</v>
      </c>
      <c r="G1617">
        <v>0.82599999999999996</v>
      </c>
      <c r="H1617">
        <v>19.368667500000001</v>
      </c>
      <c r="I1617" t="s">
        <v>9</v>
      </c>
      <c r="J1617">
        <v>0.13500000000000001</v>
      </c>
      <c r="K1617">
        <v>2.6147701125000005</v>
      </c>
      <c r="L1617" t="s">
        <v>37</v>
      </c>
      <c r="M1617">
        <v>0.17399999999999999</v>
      </c>
      <c r="N1617">
        <v>3.3701481449999999</v>
      </c>
    </row>
    <row r="1618" spans="1:14" x14ac:dyDescent="0.25">
      <c r="A1618" s="23">
        <v>44715</v>
      </c>
      <c r="B1618">
        <v>27.75</v>
      </c>
      <c r="C1618" t="s">
        <v>19</v>
      </c>
      <c r="D1618">
        <v>0.84499999999999997</v>
      </c>
      <c r="E1618">
        <v>23.44875</v>
      </c>
      <c r="F1618" t="s">
        <v>13</v>
      </c>
      <c r="G1618">
        <v>0.82599999999999996</v>
      </c>
      <c r="H1618">
        <v>19.368667500000001</v>
      </c>
      <c r="I1618" t="s">
        <v>58</v>
      </c>
      <c r="J1618">
        <v>2.6000000000000002E-2</v>
      </c>
      <c r="K1618">
        <v>0.50358535500000001</v>
      </c>
      <c r="L1618" t="s">
        <v>38</v>
      </c>
      <c r="M1618">
        <v>3.1E-2</v>
      </c>
      <c r="N1618">
        <v>0.60042869249999997</v>
      </c>
    </row>
    <row r="1619" spans="1:14" x14ac:dyDescent="0.25">
      <c r="A1619" s="23">
        <v>44716</v>
      </c>
      <c r="B1619">
        <v>27.75</v>
      </c>
      <c r="C1619" t="s">
        <v>19</v>
      </c>
      <c r="D1619">
        <v>0.84499999999999997</v>
      </c>
      <c r="E1619">
        <v>23.44875</v>
      </c>
      <c r="F1619" t="s">
        <v>13</v>
      </c>
      <c r="G1619">
        <v>0.82599999999999996</v>
      </c>
      <c r="H1619">
        <v>19.368667500000001</v>
      </c>
      <c r="L1619" t="s">
        <v>39</v>
      </c>
      <c r="M1619">
        <v>1.4999999999999999E-2</v>
      </c>
      <c r="N1619">
        <v>0.29053001249999999</v>
      </c>
    </row>
    <row r="1620" spans="1:14" x14ac:dyDescent="0.25">
      <c r="A1620" s="23">
        <v>44717</v>
      </c>
      <c r="B1620">
        <v>27.75</v>
      </c>
      <c r="C1620" t="s">
        <v>19</v>
      </c>
      <c r="D1620">
        <v>0.84499999999999997</v>
      </c>
      <c r="E1620">
        <v>23.44875</v>
      </c>
      <c r="F1620" t="s">
        <v>17</v>
      </c>
      <c r="G1620">
        <v>0.91</v>
      </c>
      <c r="H1620">
        <v>21.338362500000002</v>
      </c>
      <c r="I1620" t="s">
        <v>11</v>
      </c>
      <c r="J1620">
        <v>0.22800000000000001</v>
      </c>
      <c r="K1620">
        <v>4.8651466500000007</v>
      </c>
      <c r="L1620" t="s">
        <v>32</v>
      </c>
      <c r="M1620">
        <v>0</v>
      </c>
      <c r="N1620">
        <v>0</v>
      </c>
    </row>
    <row r="1621" spans="1:14" x14ac:dyDescent="0.25">
      <c r="A1621" s="23">
        <v>44718</v>
      </c>
      <c r="B1621">
        <v>27.75</v>
      </c>
      <c r="C1621" t="s">
        <v>19</v>
      </c>
      <c r="D1621">
        <v>0.84499999999999997</v>
      </c>
      <c r="E1621">
        <v>23.44875</v>
      </c>
      <c r="F1621" t="s">
        <v>17</v>
      </c>
      <c r="G1621">
        <v>0.91</v>
      </c>
      <c r="H1621">
        <v>21.338362500000002</v>
      </c>
      <c r="I1621" t="s">
        <v>12</v>
      </c>
      <c r="J1621">
        <v>0.13</v>
      </c>
      <c r="K1621">
        <v>2.7739871250000006</v>
      </c>
      <c r="L1621" t="s">
        <v>33</v>
      </c>
      <c r="M1621">
        <v>0.09</v>
      </c>
      <c r="N1621">
        <v>1.9204526250000002</v>
      </c>
    </row>
    <row r="1622" spans="1:14" x14ac:dyDescent="0.25">
      <c r="A1622" s="23">
        <v>44719</v>
      </c>
      <c r="B1622">
        <v>27.75</v>
      </c>
      <c r="C1622" t="s">
        <v>19</v>
      </c>
      <c r="D1622">
        <v>0.84499999999999997</v>
      </c>
      <c r="E1622">
        <v>23.44875</v>
      </c>
      <c r="F1622" t="s">
        <v>17</v>
      </c>
      <c r="G1622">
        <v>0.91</v>
      </c>
      <c r="H1622">
        <v>21.338362500000002</v>
      </c>
      <c r="I1622" t="s">
        <v>7</v>
      </c>
      <c r="J1622">
        <v>0.14400000000000002</v>
      </c>
      <c r="K1622">
        <v>3.0727242000000006</v>
      </c>
      <c r="L1622" t="s">
        <v>34</v>
      </c>
      <c r="M1622">
        <v>0.113</v>
      </c>
      <c r="N1622">
        <v>2.4112349625000005</v>
      </c>
    </row>
    <row r="1623" spans="1:14" x14ac:dyDescent="0.25">
      <c r="A1623" s="23">
        <v>44720</v>
      </c>
      <c r="B1623">
        <v>27.75</v>
      </c>
      <c r="C1623" t="s">
        <v>19</v>
      </c>
      <c r="D1623">
        <v>0.84499999999999997</v>
      </c>
      <c r="E1623">
        <v>23.44875</v>
      </c>
      <c r="F1623" t="s">
        <v>17</v>
      </c>
      <c r="G1623">
        <v>0.91</v>
      </c>
      <c r="H1623">
        <v>21.338362500000002</v>
      </c>
      <c r="I1623" t="s">
        <v>8</v>
      </c>
      <c r="J1623">
        <v>0.35</v>
      </c>
      <c r="K1623">
        <v>7.4684268750000005</v>
      </c>
      <c r="L1623" t="s">
        <v>35</v>
      </c>
      <c r="M1623">
        <v>0.35700000000000004</v>
      </c>
      <c r="N1623">
        <v>7.6177954125000014</v>
      </c>
    </row>
    <row r="1624" spans="1:14" x14ac:dyDescent="0.25">
      <c r="A1624" s="23">
        <v>44721</v>
      </c>
      <c r="B1624">
        <v>27.75</v>
      </c>
      <c r="C1624" t="s">
        <v>19</v>
      </c>
      <c r="D1624">
        <v>0.84499999999999997</v>
      </c>
      <c r="E1624">
        <v>23.44875</v>
      </c>
      <c r="F1624" t="s">
        <v>17</v>
      </c>
      <c r="G1624">
        <v>0.91</v>
      </c>
      <c r="H1624">
        <v>21.338362500000002</v>
      </c>
      <c r="I1624" t="s">
        <v>10</v>
      </c>
      <c r="J1624">
        <v>0.02</v>
      </c>
      <c r="K1624">
        <v>0.42676725000000004</v>
      </c>
      <c r="L1624" t="s">
        <v>36</v>
      </c>
      <c r="M1624">
        <v>0.248</v>
      </c>
      <c r="N1624">
        <v>5.2919139000000008</v>
      </c>
    </row>
    <row r="1625" spans="1:14" x14ac:dyDescent="0.25">
      <c r="A1625" s="23">
        <v>44722</v>
      </c>
      <c r="B1625">
        <v>27.75</v>
      </c>
      <c r="C1625" t="s">
        <v>19</v>
      </c>
      <c r="D1625">
        <v>0.84499999999999997</v>
      </c>
      <c r="E1625">
        <v>23.44875</v>
      </c>
      <c r="F1625" t="s">
        <v>17</v>
      </c>
      <c r="G1625">
        <v>0.91</v>
      </c>
      <c r="H1625">
        <v>21.338362500000002</v>
      </c>
      <c r="I1625" t="s">
        <v>9</v>
      </c>
      <c r="J1625">
        <v>0.12</v>
      </c>
      <c r="K1625">
        <v>2.5606035</v>
      </c>
      <c r="L1625" t="s">
        <v>37</v>
      </c>
      <c r="M1625">
        <v>0.156</v>
      </c>
      <c r="N1625">
        <v>3.3287845500000004</v>
      </c>
    </row>
    <row r="1626" spans="1:14" x14ac:dyDescent="0.25">
      <c r="A1626" s="23">
        <v>44723</v>
      </c>
      <c r="B1626">
        <v>27.75</v>
      </c>
      <c r="C1626" t="s">
        <v>19</v>
      </c>
      <c r="D1626">
        <v>0.84499999999999997</v>
      </c>
      <c r="E1626">
        <v>23.44875</v>
      </c>
      <c r="F1626" t="s">
        <v>17</v>
      </c>
      <c r="G1626">
        <v>0.91</v>
      </c>
      <c r="H1626">
        <v>21.338362500000002</v>
      </c>
      <c r="I1626" t="s">
        <v>58</v>
      </c>
      <c r="J1626">
        <v>8.0000000000000002E-3</v>
      </c>
      <c r="K1626">
        <v>0.17070690000000002</v>
      </c>
      <c r="L1626" t="s">
        <v>38</v>
      </c>
      <c r="M1626">
        <v>2.7999999999999997E-2</v>
      </c>
      <c r="N1626">
        <v>0.59747415000000004</v>
      </c>
    </row>
    <row r="1627" spans="1:14" x14ac:dyDescent="0.25">
      <c r="A1627" s="23">
        <v>44724</v>
      </c>
      <c r="B1627">
        <v>27.75</v>
      </c>
      <c r="C1627" t="s">
        <v>19</v>
      </c>
      <c r="D1627">
        <v>0.84499999999999997</v>
      </c>
      <c r="E1627">
        <v>23.44875</v>
      </c>
      <c r="F1627" t="s">
        <v>17</v>
      </c>
      <c r="G1627">
        <v>0.91</v>
      </c>
      <c r="H1627">
        <v>21.338362500000002</v>
      </c>
      <c r="L1627" t="s">
        <v>39</v>
      </c>
      <c r="M1627">
        <v>9.0000000000000011E-3</v>
      </c>
      <c r="N1627">
        <v>0.19204526250000004</v>
      </c>
    </row>
    <row r="1628" spans="1:14" x14ac:dyDescent="0.25">
      <c r="A1628" s="23">
        <v>44725</v>
      </c>
      <c r="B1628">
        <v>27.75</v>
      </c>
      <c r="C1628" t="s">
        <v>19</v>
      </c>
      <c r="D1628">
        <v>0.84499999999999997</v>
      </c>
      <c r="E1628">
        <v>23.44875</v>
      </c>
      <c r="F1628" t="s">
        <v>18</v>
      </c>
      <c r="G1628">
        <v>0.90500000000000003</v>
      </c>
      <c r="H1628">
        <v>21.221118750000002</v>
      </c>
      <c r="I1628" t="s">
        <v>11</v>
      </c>
      <c r="J1628">
        <v>0.20199999999999999</v>
      </c>
      <c r="K1628">
        <v>4.2866659875000002</v>
      </c>
      <c r="L1628" t="s">
        <v>32</v>
      </c>
      <c r="M1628">
        <v>5.4000000000000006E-2</v>
      </c>
      <c r="N1628">
        <v>1.1459404125000003</v>
      </c>
    </row>
    <row r="1629" spans="1:14" x14ac:dyDescent="0.25">
      <c r="A1629" s="23">
        <v>44726</v>
      </c>
      <c r="B1629">
        <v>27.75</v>
      </c>
      <c r="C1629" t="s">
        <v>19</v>
      </c>
      <c r="D1629">
        <v>0.84499999999999997</v>
      </c>
      <c r="E1629">
        <v>23.44875</v>
      </c>
      <c r="F1629" t="s">
        <v>18</v>
      </c>
      <c r="G1629">
        <v>0.90500000000000003</v>
      </c>
      <c r="H1629">
        <v>21.221118750000002</v>
      </c>
      <c r="I1629" t="s">
        <v>12</v>
      </c>
      <c r="J1629">
        <v>0.122</v>
      </c>
      <c r="K1629">
        <v>2.5889764875000001</v>
      </c>
      <c r="L1629" t="s">
        <v>33</v>
      </c>
      <c r="M1629">
        <v>0.115</v>
      </c>
      <c r="N1629">
        <v>2.4404286562500004</v>
      </c>
    </row>
    <row r="1630" spans="1:14" x14ac:dyDescent="0.25">
      <c r="A1630" s="23">
        <v>44727</v>
      </c>
      <c r="B1630">
        <v>27.75</v>
      </c>
      <c r="C1630" t="s">
        <v>19</v>
      </c>
      <c r="D1630">
        <v>0.84499999999999997</v>
      </c>
      <c r="E1630">
        <v>23.44875</v>
      </c>
      <c r="F1630" t="s">
        <v>18</v>
      </c>
      <c r="G1630">
        <v>0.90500000000000003</v>
      </c>
      <c r="H1630">
        <v>21.221118750000002</v>
      </c>
      <c r="I1630" t="s">
        <v>7</v>
      </c>
      <c r="J1630">
        <v>0.13900000000000001</v>
      </c>
      <c r="K1630">
        <v>2.9497355062500006</v>
      </c>
      <c r="L1630" t="s">
        <v>34</v>
      </c>
      <c r="M1630">
        <v>0.15</v>
      </c>
      <c r="N1630">
        <v>3.1831678125000002</v>
      </c>
    </row>
    <row r="1631" spans="1:14" x14ac:dyDescent="0.25">
      <c r="A1631" s="23">
        <v>44728</v>
      </c>
      <c r="B1631">
        <v>27.75</v>
      </c>
      <c r="C1631" t="s">
        <v>19</v>
      </c>
      <c r="D1631">
        <v>0.84499999999999997</v>
      </c>
      <c r="E1631">
        <v>23.44875</v>
      </c>
      <c r="F1631" t="s">
        <v>18</v>
      </c>
      <c r="G1631">
        <v>0.90500000000000003</v>
      </c>
      <c r="H1631">
        <v>21.221118750000002</v>
      </c>
      <c r="I1631" t="s">
        <v>8</v>
      </c>
      <c r="J1631">
        <v>0.40399999999999997</v>
      </c>
      <c r="K1631">
        <v>8.5733319750000003</v>
      </c>
      <c r="L1631" t="s">
        <v>35</v>
      </c>
      <c r="M1631">
        <v>0.29100000000000004</v>
      </c>
      <c r="N1631">
        <v>6.1753455562500017</v>
      </c>
    </row>
    <row r="1632" spans="1:14" x14ac:dyDescent="0.25">
      <c r="A1632" s="23">
        <v>44729</v>
      </c>
      <c r="B1632">
        <v>27.75</v>
      </c>
      <c r="C1632" t="s">
        <v>19</v>
      </c>
      <c r="D1632">
        <v>0.84499999999999997</v>
      </c>
      <c r="E1632">
        <v>23.44875</v>
      </c>
      <c r="F1632" t="s">
        <v>18</v>
      </c>
      <c r="G1632">
        <v>0.90500000000000003</v>
      </c>
      <c r="H1632">
        <v>21.221118750000002</v>
      </c>
      <c r="I1632" t="s">
        <v>10</v>
      </c>
      <c r="J1632">
        <v>2.3E-2</v>
      </c>
      <c r="K1632">
        <v>0.48808573125000004</v>
      </c>
      <c r="L1632" t="s">
        <v>36</v>
      </c>
      <c r="M1632">
        <v>0.20199999999999999</v>
      </c>
      <c r="N1632">
        <v>4.2866659875000002</v>
      </c>
    </row>
    <row r="1633" spans="1:14" x14ac:dyDescent="0.25">
      <c r="A1633" s="23">
        <v>44730</v>
      </c>
      <c r="B1633">
        <v>27.75</v>
      </c>
      <c r="C1633" t="s">
        <v>19</v>
      </c>
      <c r="D1633">
        <v>0.84499999999999997</v>
      </c>
      <c r="E1633">
        <v>23.44875</v>
      </c>
      <c r="F1633" t="s">
        <v>18</v>
      </c>
      <c r="G1633">
        <v>0.90500000000000003</v>
      </c>
      <c r="H1633">
        <v>21.221118750000002</v>
      </c>
      <c r="I1633" t="s">
        <v>9</v>
      </c>
      <c r="J1633">
        <v>9.5000000000000001E-2</v>
      </c>
      <c r="K1633">
        <v>2.0160062812500001</v>
      </c>
      <c r="L1633" t="s">
        <v>37</v>
      </c>
      <c r="M1633">
        <v>0.14499999999999999</v>
      </c>
      <c r="N1633">
        <v>3.0770622187500001</v>
      </c>
    </row>
    <row r="1634" spans="1:14" x14ac:dyDescent="0.25">
      <c r="A1634" s="23">
        <v>44731</v>
      </c>
      <c r="B1634">
        <v>27.75</v>
      </c>
      <c r="C1634" t="s">
        <v>19</v>
      </c>
      <c r="D1634">
        <v>0.84499999999999997</v>
      </c>
      <c r="E1634">
        <v>23.44875</v>
      </c>
      <c r="F1634" t="s">
        <v>18</v>
      </c>
      <c r="G1634">
        <v>0.90500000000000003</v>
      </c>
      <c r="H1634">
        <v>21.221118750000002</v>
      </c>
      <c r="I1634" t="s">
        <v>58</v>
      </c>
      <c r="J1634">
        <v>1.6E-2</v>
      </c>
      <c r="K1634">
        <v>0.33953790000000006</v>
      </c>
      <c r="L1634" t="s">
        <v>38</v>
      </c>
      <c r="M1634">
        <v>2.4E-2</v>
      </c>
      <c r="N1634">
        <v>0.50930685000000009</v>
      </c>
    </row>
    <row r="1635" spans="1:14" x14ac:dyDescent="0.25">
      <c r="A1635" s="23">
        <v>44732</v>
      </c>
      <c r="B1635">
        <v>27.75</v>
      </c>
      <c r="C1635" t="s">
        <v>19</v>
      </c>
      <c r="D1635">
        <v>0.84499999999999997</v>
      </c>
      <c r="E1635">
        <v>23.44875</v>
      </c>
      <c r="F1635" t="s">
        <v>18</v>
      </c>
      <c r="G1635">
        <v>0.90500000000000003</v>
      </c>
      <c r="H1635">
        <v>21.221118750000002</v>
      </c>
      <c r="L1635" t="s">
        <v>39</v>
      </c>
      <c r="M1635">
        <v>1.9E-2</v>
      </c>
      <c r="N1635">
        <v>0.40320125625000003</v>
      </c>
    </row>
    <row r="1636" spans="1:14" x14ac:dyDescent="0.25">
      <c r="A1636" s="23">
        <v>44733</v>
      </c>
      <c r="B1636">
        <v>27.834</v>
      </c>
      <c r="C1636" t="s">
        <v>2</v>
      </c>
      <c r="D1636">
        <v>0.152</v>
      </c>
      <c r="E1636">
        <v>4.2307679999999994</v>
      </c>
      <c r="F1636" t="s">
        <v>14</v>
      </c>
      <c r="G1636">
        <v>0.2</v>
      </c>
      <c r="H1636">
        <v>0.84615359999999995</v>
      </c>
      <c r="I1636" t="s">
        <v>11</v>
      </c>
      <c r="J1636">
        <v>8.1000000000000003E-2</v>
      </c>
      <c r="K1636">
        <v>6.85384416E-2</v>
      </c>
      <c r="L1636" t="s">
        <v>32</v>
      </c>
      <c r="M1636">
        <v>1.1000000000000001E-2</v>
      </c>
      <c r="N1636">
        <v>9.3076896000000003E-3</v>
      </c>
    </row>
    <row r="1637" spans="1:14" x14ac:dyDescent="0.25">
      <c r="A1637" s="23">
        <v>44734</v>
      </c>
      <c r="B1637">
        <v>27.834</v>
      </c>
      <c r="C1637" t="s">
        <v>2</v>
      </c>
      <c r="D1637">
        <v>0.152</v>
      </c>
      <c r="E1637">
        <v>4.2307679999999994</v>
      </c>
      <c r="F1637" t="s">
        <v>43</v>
      </c>
      <c r="G1637">
        <v>0.2</v>
      </c>
      <c r="H1637">
        <v>0.84615359999999995</v>
      </c>
      <c r="I1637" t="s">
        <v>12</v>
      </c>
      <c r="J1637">
        <v>3.2000000000000001E-2</v>
      </c>
      <c r="K1637">
        <v>2.7076915199999999E-2</v>
      </c>
      <c r="L1637" t="s">
        <v>33</v>
      </c>
      <c r="M1637">
        <v>4.7E-2</v>
      </c>
      <c r="N1637">
        <v>3.9769219199999997E-2</v>
      </c>
    </row>
    <row r="1638" spans="1:14" x14ac:dyDescent="0.25">
      <c r="A1638" s="23">
        <v>44735</v>
      </c>
      <c r="B1638">
        <v>27.834</v>
      </c>
      <c r="C1638" t="s">
        <v>2</v>
      </c>
      <c r="D1638">
        <v>0.152</v>
      </c>
      <c r="E1638">
        <v>4.2307679999999994</v>
      </c>
      <c r="F1638" t="s">
        <v>14</v>
      </c>
      <c r="G1638">
        <v>0.2</v>
      </c>
      <c r="H1638">
        <v>0.84615359999999995</v>
      </c>
      <c r="I1638" t="s">
        <v>7</v>
      </c>
      <c r="J1638">
        <v>4.9000000000000002E-2</v>
      </c>
      <c r="K1638">
        <v>4.1461526399999997E-2</v>
      </c>
      <c r="L1638" t="s">
        <v>34</v>
      </c>
      <c r="M1638">
        <v>9.1999999999999998E-2</v>
      </c>
      <c r="N1638">
        <v>7.7846131199999988E-2</v>
      </c>
    </row>
    <row r="1639" spans="1:14" x14ac:dyDescent="0.25">
      <c r="A1639" s="23">
        <v>44736</v>
      </c>
      <c r="B1639">
        <v>27.834</v>
      </c>
      <c r="C1639" t="s">
        <v>2</v>
      </c>
      <c r="D1639">
        <v>0.152</v>
      </c>
      <c r="E1639">
        <v>4.2307679999999994</v>
      </c>
      <c r="F1639" t="s">
        <v>14</v>
      </c>
      <c r="G1639">
        <v>0.2</v>
      </c>
      <c r="H1639">
        <v>0.84615359999999995</v>
      </c>
      <c r="I1639" t="s">
        <v>8</v>
      </c>
      <c r="J1639">
        <v>0.28499999999999998</v>
      </c>
      <c r="K1639">
        <v>0.24115377599999996</v>
      </c>
      <c r="L1639" t="s">
        <v>35</v>
      </c>
      <c r="M1639">
        <v>0.27100000000000002</v>
      </c>
      <c r="N1639">
        <v>0.22930762560000001</v>
      </c>
    </row>
    <row r="1640" spans="1:14" x14ac:dyDescent="0.25">
      <c r="A1640" s="23">
        <v>44737</v>
      </c>
      <c r="B1640">
        <v>27.834</v>
      </c>
      <c r="C1640" t="s">
        <v>2</v>
      </c>
      <c r="D1640">
        <v>0.152</v>
      </c>
      <c r="E1640">
        <v>4.2307679999999994</v>
      </c>
      <c r="F1640" t="s">
        <v>14</v>
      </c>
      <c r="G1640">
        <v>0.2</v>
      </c>
      <c r="H1640">
        <v>0.84615359999999995</v>
      </c>
      <c r="I1640" t="s">
        <v>10</v>
      </c>
      <c r="J1640">
        <v>6.5000000000000002E-2</v>
      </c>
      <c r="K1640">
        <v>5.4999984000000002E-2</v>
      </c>
      <c r="L1640" t="s">
        <v>36</v>
      </c>
      <c r="M1640">
        <v>0.27300000000000002</v>
      </c>
      <c r="N1640">
        <v>0.2309999328</v>
      </c>
    </row>
    <row r="1641" spans="1:14" x14ac:dyDescent="0.25">
      <c r="A1641" s="23">
        <v>44738</v>
      </c>
      <c r="B1641">
        <v>27.834</v>
      </c>
      <c r="C1641" t="s">
        <v>2</v>
      </c>
      <c r="D1641">
        <v>0.152</v>
      </c>
      <c r="E1641">
        <v>4.2307679999999994</v>
      </c>
      <c r="F1641" t="s">
        <v>14</v>
      </c>
      <c r="G1641">
        <v>0.2</v>
      </c>
      <c r="H1641">
        <v>0.84615359999999995</v>
      </c>
      <c r="I1641" t="s">
        <v>9</v>
      </c>
      <c r="J1641">
        <v>0.47600000000000003</v>
      </c>
      <c r="K1641">
        <v>0.40276911360000001</v>
      </c>
      <c r="L1641" t="s">
        <v>37</v>
      </c>
      <c r="M1641">
        <v>0.28100000000000003</v>
      </c>
      <c r="N1641">
        <v>0.2377691616</v>
      </c>
    </row>
    <row r="1642" spans="1:14" x14ac:dyDescent="0.25">
      <c r="A1642" s="23">
        <v>44739</v>
      </c>
      <c r="B1642">
        <v>27.834</v>
      </c>
      <c r="C1642" t="s">
        <v>2</v>
      </c>
      <c r="D1642">
        <v>0.152</v>
      </c>
      <c r="E1642">
        <v>4.2307679999999994</v>
      </c>
      <c r="F1642" t="s">
        <v>14</v>
      </c>
      <c r="G1642">
        <v>0.2</v>
      </c>
      <c r="H1642">
        <v>0.84615359999999995</v>
      </c>
      <c r="I1642" t="s">
        <v>58</v>
      </c>
      <c r="J1642">
        <v>1.2E-2</v>
      </c>
      <c r="K1642">
        <v>1.01538432E-2</v>
      </c>
      <c r="L1642" t="s">
        <v>38</v>
      </c>
      <c r="M1642">
        <v>2.2000000000000002E-2</v>
      </c>
      <c r="N1642">
        <v>1.8615379200000001E-2</v>
      </c>
    </row>
    <row r="1643" spans="1:14" x14ac:dyDescent="0.25">
      <c r="A1643" s="23">
        <v>44740</v>
      </c>
      <c r="B1643">
        <v>27.834</v>
      </c>
      <c r="C1643" t="s">
        <v>2</v>
      </c>
      <c r="D1643">
        <v>0.152</v>
      </c>
      <c r="E1643">
        <v>4.2307679999999994</v>
      </c>
      <c r="F1643" t="s">
        <v>14</v>
      </c>
      <c r="G1643">
        <v>0.2</v>
      </c>
      <c r="H1643">
        <v>0.84615359999999995</v>
      </c>
      <c r="L1643" t="s">
        <v>39</v>
      </c>
      <c r="M1643">
        <v>3.0000000000000001E-3</v>
      </c>
      <c r="N1643">
        <v>2.5384608E-3</v>
      </c>
    </row>
    <row r="1644" spans="1:14" x14ac:dyDescent="0.25">
      <c r="A1644" s="23">
        <v>44741</v>
      </c>
      <c r="B1644">
        <v>27.834</v>
      </c>
      <c r="C1644" t="s">
        <v>2</v>
      </c>
      <c r="D1644">
        <v>0.152</v>
      </c>
      <c r="E1644">
        <v>4.2307679999999994</v>
      </c>
      <c r="F1644" t="s">
        <v>44</v>
      </c>
      <c r="G1644">
        <v>0.16</v>
      </c>
      <c r="H1644">
        <v>0.67692287999999989</v>
      </c>
      <c r="I1644" t="s">
        <v>11</v>
      </c>
      <c r="J1644">
        <v>3.3000000000000002E-2</v>
      </c>
      <c r="K1644">
        <v>2.2338455039999996E-2</v>
      </c>
      <c r="L1644" t="s">
        <v>32</v>
      </c>
      <c r="M1644">
        <v>0</v>
      </c>
      <c r="N1644">
        <v>0</v>
      </c>
    </row>
    <row r="1645" spans="1:14" x14ac:dyDescent="0.25">
      <c r="A1645" s="23">
        <v>44742</v>
      </c>
      <c r="B1645">
        <v>27.834</v>
      </c>
      <c r="C1645" t="s">
        <v>2</v>
      </c>
      <c r="D1645">
        <v>0.152</v>
      </c>
      <c r="E1645">
        <v>4.2307679999999994</v>
      </c>
      <c r="F1645" t="s">
        <v>15</v>
      </c>
      <c r="G1645">
        <v>0.16</v>
      </c>
      <c r="H1645">
        <v>0.67692287999999989</v>
      </c>
      <c r="I1645" t="s">
        <v>12</v>
      </c>
      <c r="J1645">
        <v>6.0999999999999999E-2</v>
      </c>
      <c r="K1645">
        <v>4.1292295679999994E-2</v>
      </c>
      <c r="L1645" t="s">
        <v>33</v>
      </c>
      <c r="M1645">
        <v>5.0999999999999997E-2</v>
      </c>
      <c r="N1645">
        <v>3.4523066879999995E-2</v>
      </c>
    </row>
    <row r="1646" spans="1:14" x14ac:dyDescent="0.25">
      <c r="A1646" s="23">
        <v>44743</v>
      </c>
      <c r="B1646">
        <v>27.834</v>
      </c>
      <c r="C1646" t="s">
        <v>2</v>
      </c>
      <c r="D1646">
        <v>0.152</v>
      </c>
      <c r="E1646">
        <v>4.2307679999999994</v>
      </c>
      <c r="F1646" t="s">
        <v>15</v>
      </c>
      <c r="G1646">
        <v>0.16</v>
      </c>
      <c r="H1646">
        <v>0.67692287999999989</v>
      </c>
      <c r="I1646" t="s">
        <v>7</v>
      </c>
      <c r="J1646">
        <v>5.0999999999999997E-2</v>
      </c>
      <c r="K1646">
        <v>3.4523066879999995E-2</v>
      </c>
      <c r="L1646" t="s">
        <v>34</v>
      </c>
      <c r="M1646">
        <v>8.8000000000000009E-2</v>
      </c>
      <c r="N1646">
        <v>5.9569213439999998E-2</v>
      </c>
    </row>
    <row r="1647" spans="1:14" x14ac:dyDescent="0.25">
      <c r="A1647" s="23">
        <v>44744</v>
      </c>
      <c r="B1647">
        <v>27.834</v>
      </c>
      <c r="C1647" t="s">
        <v>2</v>
      </c>
      <c r="D1647">
        <v>0.152</v>
      </c>
      <c r="E1647">
        <v>4.2307679999999994</v>
      </c>
      <c r="F1647" t="s">
        <v>15</v>
      </c>
      <c r="G1647">
        <v>0.16</v>
      </c>
      <c r="H1647">
        <v>0.67692287999999989</v>
      </c>
      <c r="I1647" t="s">
        <v>8</v>
      </c>
      <c r="J1647">
        <v>0.42799999999999999</v>
      </c>
      <c r="K1647">
        <v>0.28972299263999995</v>
      </c>
      <c r="L1647" t="s">
        <v>35</v>
      </c>
      <c r="M1647">
        <v>0.29699999999999999</v>
      </c>
      <c r="N1647">
        <v>0.20104609535999995</v>
      </c>
    </row>
    <row r="1648" spans="1:14" x14ac:dyDescent="0.25">
      <c r="A1648" s="23">
        <v>44745</v>
      </c>
      <c r="B1648">
        <v>27.834</v>
      </c>
      <c r="C1648" t="s">
        <v>2</v>
      </c>
      <c r="D1648">
        <v>0.152</v>
      </c>
      <c r="E1648">
        <v>4.2307679999999994</v>
      </c>
      <c r="F1648" t="s">
        <v>15</v>
      </c>
      <c r="G1648">
        <v>0.16</v>
      </c>
      <c r="H1648">
        <v>0.67692287999999989</v>
      </c>
      <c r="I1648" t="s">
        <v>10</v>
      </c>
      <c r="J1648">
        <v>4.4999999999999998E-2</v>
      </c>
      <c r="K1648">
        <v>3.0461529599999995E-2</v>
      </c>
      <c r="L1648" t="s">
        <v>36</v>
      </c>
      <c r="M1648">
        <v>0.26100000000000001</v>
      </c>
      <c r="N1648">
        <v>0.17667687167999999</v>
      </c>
    </row>
    <row r="1649" spans="1:14" x14ac:dyDescent="0.25">
      <c r="A1649" s="23">
        <v>44746</v>
      </c>
      <c r="B1649">
        <v>27.834</v>
      </c>
      <c r="C1649" t="s">
        <v>2</v>
      </c>
      <c r="D1649">
        <v>0.152</v>
      </c>
      <c r="E1649">
        <v>4.2307679999999994</v>
      </c>
      <c r="F1649" t="s">
        <v>15</v>
      </c>
      <c r="G1649">
        <v>0.16</v>
      </c>
      <c r="H1649">
        <v>0.67692287999999989</v>
      </c>
      <c r="I1649" t="s">
        <v>9</v>
      </c>
      <c r="J1649">
        <v>0.36299999999999999</v>
      </c>
      <c r="K1649">
        <v>0.24572300543999995</v>
      </c>
      <c r="L1649" t="s">
        <v>37</v>
      </c>
      <c r="M1649">
        <v>0.30299999999999999</v>
      </c>
      <c r="N1649">
        <v>0.20510763263999995</v>
      </c>
    </row>
    <row r="1650" spans="1:14" x14ac:dyDescent="0.25">
      <c r="A1650" s="23">
        <v>44747</v>
      </c>
      <c r="B1650">
        <v>27.834</v>
      </c>
      <c r="C1650" t="s">
        <v>2</v>
      </c>
      <c r="D1650">
        <v>0.152</v>
      </c>
      <c r="E1650">
        <v>4.2307679999999994</v>
      </c>
      <c r="F1650" t="s">
        <v>15</v>
      </c>
      <c r="G1650">
        <v>0.16</v>
      </c>
      <c r="H1650">
        <v>0.67692287999999989</v>
      </c>
      <c r="I1650" t="s">
        <v>58</v>
      </c>
      <c r="J1650">
        <v>1.8000000000000002E-2</v>
      </c>
      <c r="K1650">
        <v>1.218461184E-2</v>
      </c>
      <c r="L1650" t="s">
        <v>38</v>
      </c>
      <c r="M1650">
        <v>0</v>
      </c>
      <c r="N1650">
        <v>0</v>
      </c>
    </row>
    <row r="1651" spans="1:14" x14ac:dyDescent="0.25">
      <c r="A1651" s="23">
        <v>44748</v>
      </c>
      <c r="B1651">
        <v>27.834</v>
      </c>
      <c r="C1651" t="s">
        <v>2</v>
      </c>
      <c r="D1651">
        <v>0.152</v>
      </c>
      <c r="E1651">
        <v>4.2307679999999994</v>
      </c>
      <c r="F1651" t="s">
        <v>15</v>
      </c>
      <c r="G1651">
        <v>0.16</v>
      </c>
      <c r="H1651">
        <v>0.67692287999999989</v>
      </c>
      <c r="L1651" t="s">
        <v>39</v>
      </c>
      <c r="M1651">
        <v>0</v>
      </c>
      <c r="N1651">
        <v>0</v>
      </c>
    </row>
    <row r="1652" spans="1:14" x14ac:dyDescent="0.25">
      <c r="A1652" s="23">
        <v>44749</v>
      </c>
      <c r="B1652">
        <v>27.834</v>
      </c>
      <c r="C1652" t="s">
        <v>2</v>
      </c>
      <c r="D1652">
        <v>0.152</v>
      </c>
      <c r="E1652">
        <v>4.2307679999999994</v>
      </c>
      <c r="F1652" t="s">
        <v>45</v>
      </c>
      <c r="G1652">
        <v>0.16800000000000001</v>
      </c>
      <c r="H1652">
        <v>0.71076902399999997</v>
      </c>
      <c r="I1652" t="s">
        <v>11</v>
      </c>
      <c r="J1652">
        <v>0.12</v>
      </c>
      <c r="K1652">
        <v>8.5292282879999987E-2</v>
      </c>
      <c r="L1652" t="s">
        <v>32</v>
      </c>
      <c r="M1652">
        <v>2.4E-2</v>
      </c>
      <c r="N1652">
        <v>1.7058456576000001E-2</v>
      </c>
    </row>
    <row r="1653" spans="1:14" x14ac:dyDescent="0.25">
      <c r="A1653" s="23">
        <v>44750</v>
      </c>
      <c r="B1653">
        <v>27.834</v>
      </c>
      <c r="C1653" t="s">
        <v>2</v>
      </c>
      <c r="D1653">
        <v>0.152</v>
      </c>
      <c r="E1653">
        <v>4.2307679999999994</v>
      </c>
      <c r="F1653" t="s">
        <v>16</v>
      </c>
      <c r="G1653">
        <v>0.16800000000000001</v>
      </c>
      <c r="H1653">
        <v>0.71076902399999997</v>
      </c>
      <c r="I1653" t="s">
        <v>12</v>
      </c>
      <c r="J1653">
        <v>1.3000000000000001E-2</v>
      </c>
      <c r="K1653">
        <v>9.2399973120000003E-3</v>
      </c>
      <c r="L1653" t="s">
        <v>33</v>
      </c>
      <c r="M1653">
        <v>6.6000000000000003E-2</v>
      </c>
      <c r="N1653">
        <v>4.6910755584E-2</v>
      </c>
    </row>
    <row r="1654" spans="1:14" x14ac:dyDescent="0.25">
      <c r="A1654" s="23">
        <v>44751</v>
      </c>
      <c r="B1654">
        <v>27.834</v>
      </c>
      <c r="C1654" t="s">
        <v>2</v>
      </c>
      <c r="D1654">
        <v>0.152</v>
      </c>
      <c r="E1654">
        <v>4.2307679999999994</v>
      </c>
      <c r="F1654" t="s">
        <v>16</v>
      </c>
      <c r="G1654">
        <v>0.16800000000000001</v>
      </c>
      <c r="H1654">
        <v>0.71076902399999997</v>
      </c>
      <c r="I1654" t="s">
        <v>7</v>
      </c>
      <c r="J1654">
        <v>6.3E-2</v>
      </c>
      <c r="K1654">
        <v>4.4778448511999996E-2</v>
      </c>
      <c r="L1654" t="s">
        <v>34</v>
      </c>
      <c r="M1654">
        <v>0.13699999999999998</v>
      </c>
      <c r="N1654">
        <v>9.7375356287999981E-2</v>
      </c>
    </row>
    <row r="1655" spans="1:14" x14ac:dyDescent="0.25">
      <c r="A1655" s="23">
        <v>44752</v>
      </c>
      <c r="B1655">
        <v>27.834</v>
      </c>
      <c r="C1655" t="s">
        <v>2</v>
      </c>
      <c r="D1655">
        <v>0.152</v>
      </c>
      <c r="E1655">
        <v>4.2307679999999994</v>
      </c>
      <c r="F1655" t="s">
        <v>16</v>
      </c>
      <c r="G1655">
        <v>0.16800000000000001</v>
      </c>
      <c r="H1655">
        <v>0.71076902399999997</v>
      </c>
      <c r="I1655" t="s">
        <v>8</v>
      </c>
      <c r="J1655">
        <v>0.223</v>
      </c>
      <c r="K1655">
        <v>0.15850149235200001</v>
      </c>
      <c r="L1655" t="s">
        <v>35</v>
      </c>
      <c r="M1655">
        <v>0.30499999999999999</v>
      </c>
      <c r="N1655">
        <v>0.21678455231999999</v>
      </c>
    </row>
    <row r="1656" spans="1:14" x14ac:dyDescent="0.25">
      <c r="A1656" s="23">
        <v>44753</v>
      </c>
      <c r="B1656">
        <v>27.834</v>
      </c>
      <c r="C1656" t="s">
        <v>2</v>
      </c>
      <c r="D1656">
        <v>0.152</v>
      </c>
      <c r="E1656">
        <v>4.2307679999999994</v>
      </c>
      <c r="F1656" t="s">
        <v>16</v>
      </c>
      <c r="G1656">
        <v>0.16800000000000001</v>
      </c>
      <c r="H1656">
        <v>0.71076902399999997</v>
      </c>
      <c r="I1656" t="s">
        <v>10</v>
      </c>
      <c r="J1656">
        <v>7.2000000000000008E-2</v>
      </c>
      <c r="K1656">
        <v>5.1175369728000006E-2</v>
      </c>
      <c r="L1656" t="s">
        <v>36</v>
      </c>
      <c r="M1656">
        <v>0.26600000000000001</v>
      </c>
      <c r="N1656">
        <v>0.18906456038399999</v>
      </c>
    </row>
    <row r="1657" spans="1:14" x14ac:dyDescent="0.25">
      <c r="A1657" s="23">
        <v>44754</v>
      </c>
      <c r="B1657">
        <v>27.834</v>
      </c>
      <c r="C1657" t="s">
        <v>2</v>
      </c>
      <c r="D1657">
        <v>0.152</v>
      </c>
      <c r="E1657">
        <v>4.2307679999999994</v>
      </c>
      <c r="F1657" t="s">
        <v>16</v>
      </c>
      <c r="G1657">
        <v>0.16800000000000001</v>
      </c>
      <c r="H1657">
        <v>0.71076902399999997</v>
      </c>
      <c r="I1657" t="s">
        <v>9</v>
      </c>
      <c r="J1657">
        <v>0.48499999999999999</v>
      </c>
      <c r="K1657">
        <v>0.34472297663999996</v>
      </c>
      <c r="L1657" t="s">
        <v>37</v>
      </c>
      <c r="M1657">
        <v>0.17600000000000002</v>
      </c>
      <c r="N1657">
        <v>0.12509534822400001</v>
      </c>
    </row>
    <row r="1658" spans="1:14" x14ac:dyDescent="0.25">
      <c r="A1658" s="23">
        <v>44755</v>
      </c>
      <c r="B1658">
        <v>27.834</v>
      </c>
      <c r="C1658" t="s">
        <v>2</v>
      </c>
      <c r="D1658">
        <v>0.152</v>
      </c>
      <c r="E1658">
        <v>4.2307679999999994</v>
      </c>
      <c r="F1658" t="s">
        <v>16</v>
      </c>
      <c r="G1658">
        <v>0.16800000000000001</v>
      </c>
      <c r="H1658">
        <v>0.71076902399999997</v>
      </c>
      <c r="I1658" t="s">
        <v>58</v>
      </c>
      <c r="J1658">
        <v>2.4E-2</v>
      </c>
      <c r="K1658">
        <v>1.7058456576000001E-2</v>
      </c>
      <c r="L1658" t="s">
        <v>38</v>
      </c>
      <c r="M1658">
        <v>2.2000000000000002E-2</v>
      </c>
      <c r="N1658">
        <v>1.5636918528000001E-2</v>
      </c>
    </row>
    <row r="1659" spans="1:14" x14ac:dyDescent="0.25">
      <c r="A1659" s="23">
        <v>44756</v>
      </c>
      <c r="B1659">
        <v>27.834</v>
      </c>
      <c r="C1659" t="s">
        <v>2</v>
      </c>
      <c r="D1659">
        <v>0.152</v>
      </c>
      <c r="E1659">
        <v>4.2307679999999994</v>
      </c>
      <c r="F1659" t="s">
        <v>16</v>
      </c>
      <c r="G1659">
        <v>0.16800000000000001</v>
      </c>
      <c r="H1659">
        <v>0.71076902399999997</v>
      </c>
      <c r="L1659" t="s">
        <v>39</v>
      </c>
      <c r="M1659">
        <v>3.0000000000000001E-3</v>
      </c>
      <c r="N1659">
        <v>2.1323070720000001E-3</v>
      </c>
    </row>
    <row r="1660" spans="1:14" x14ac:dyDescent="0.25">
      <c r="A1660" s="23">
        <v>44757</v>
      </c>
      <c r="B1660">
        <v>27.834</v>
      </c>
      <c r="C1660" t="s">
        <v>2</v>
      </c>
      <c r="D1660">
        <v>0.152</v>
      </c>
      <c r="E1660">
        <v>4.2307679999999994</v>
      </c>
      <c r="F1660" t="s">
        <v>46</v>
      </c>
      <c r="G1660">
        <v>0.16300000000000001</v>
      </c>
      <c r="H1660">
        <v>0.68961518399999988</v>
      </c>
      <c r="I1660" t="s">
        <v>11</v>
      </c>
      <c r="J1660">
        <v>0.23699999999999999</v>
      </c>
      <c r="K1660">
        <v>0.16343879860799995</v>
      </c>
      <c r="L1660" t="s">
        <v>32</v>
      </c>
      <c r="M1660">
        <v>1.4999999999999999E-2</v>
      </c>
      <c r="N1660">
        <v>1.0344227759999998E-2</v>
      </c>
    </row>
    <row r="1661" spans="1:14" x14ac:dyDescent="0.25">
      <c r="A1661" s="23">
        <v>44758</v>
      </c>
      <c r="B1661">
        <v>27.834</v>
      </c>
      <c r="C1661" t="s">
        <v>2</v>
      </c>
      <c r="D1661">
        <v>0.152</v>
      </c>
      <c r="E1661">
        <v>4.2307679999999994</v>
      </c>
      <c r="F1661" t="s">
        <v>13</v>
      </c>
      <c r="G1661">
        <v>0.16300000000000001</v>
      </c>
      <c r="H1661">
        <v>0.68961518399999988</v>
      </c>
      <c r="I1661" t="s">
        <v>12</v>
      </c>
      <c r="J1661">
        <v>3.7000000000000005E-2</v>
      </c>
      <c r="K1661">
        <v>2.5515761807999998E-2</v>
      </c>
      <c r="L1661" t="s">
        <v>33</v>
      </c>
      <c r="M1661">
        <v>7.2999999999999995E-2</v>
      </c>
      <c r="N1661">
        <v>5.0341908431999989E-2</v>
      </c>
    </row>
    <row r="1662" spans="1:14" x14ac:dyDescent="0.25">
      <c r="A1662" s="23">
        <v>44759</v>
      </c>
      <c r="B1662">
        <v>27.834</v>
      </c>
      <c r="C1662" t="s">
        <v>2</v>
      </c>
      <c r="D1662">
        <v>0.152</v>
      </c>
      <c r="E1662">
        <v>4.2307679999999994</v>
      </c>
      <c r="F1662" t="s">
        <v>13</v>
      </c>
      <c r="G1662">
        <v>0.16300000000000001</v>
      </c>
      <c r="H1662">
        <v>0.68961518399999988</v>
      </c>
      <c r="I1662" t="s">
        <v>7</v>
      </c>
      <c r="J1662">
        <v>9.6999999999999989E-2</v>
      </c>
      <c r="K1662">
        <v>6.6892672847999976E-2</v>
      </c>
      <c r="L1662" t="s">
        <v>34</v>
      </c>
      <c r="M1662">
        <v>0.109</v>
      </c>
      <c r="N1662">
        <v>7.516805505599998E-2</v>
      </c>
    </row>
    <row r="1663" spans="1:14" x14ac:dyDescent="0.25">
      <c r="A1663" s="23">
        <v>44760</v>
      </c>
      <c r="B1663">
        <v>27.834</v>
      </c>
      <c r="C1663" t="s">
        <v>2</v>
      </c>
      <c r="D1663">
        <v>0.152</v>
      </c>
      <c r="E1663">
        <v>4.2307679999999994</v>
      </c>
      <c r="F1663" t="s">
        <v>13</v>
      </c>
      <c r="G1663">
        <v>0.16300000000000001</v>
      </c>
      <c r="H1663">
        <v>0.68961518399999988</v>
      </c>
      <c r="I1663" t="s">
        <v>8</v>
      </c>
      <c r="J1663">
        <v>0.28899999999999998</v>
      </c>
      <c r="K1663">
        <v>0.19929878817599994</v>
      </c>
      <c r="L1663" t="s">
        <v>35</v>
      </c>
      <c r="M1663">
        <v>0.29100000000000004</v>
      </c>
      <c r="N1663">
        <v>0.200678018544</v>
      </c>
    </row>
    <row r="1664" spans="1:14" x14ac:dyDescent="0.25">
      <c r="A1664" s="23">
        <v>44761</v>
      </c>
      <c r="B1664">
        <v>27.834</v>
      </c>
      <c r="C1664" t="s">
        <v>2</v>
      </c>
      <c r="D1664">
        <v>0.152</v>
      </c>
      <c r="E1664">
        <v>4.2307679999999994</v>
      </c>
      <c r="F1664" t="s">
        <v>13</v>
      </c>
      <c r="G1664">
        <v>0.16300000000000001</v>
      </c>
      <c r="H1664">
        <v>0.68961518399999988</v>
      </c>
      <c r="I1664" t="s">
        <v>10</v>
      </c>
      <c r="J1664">
        <v>6.7000000000000004E-2</v>
      </c>
      <c r="K1664">
        <v>4.6204217327999994E-2</v>
      </c>
      <c r="L1664" t="s">
        <v>36</v>
      </c>
      <c r="M1664">
        <v>0.28899999999999998</v>
      </c>
      <c r="N1664">
        <v>0.19929878817599994</v>
      </c>
    </row>
    <row r="1665" spans="1:14" x14ac:dyDescent="0.25">
      <c r="A1665" s="23">
        <v>44762</v>
      </c>
      <c r="B1665">
        <v>27.834</v>
      </c>
      <c r="C1665" t="s">
        <v>2</v>
      </c>
      <c r="D1665">
        <v>0.152</v>
      </c>
      <c r="E1665">
        <v>4.2307679999999994</v>
      </c>
      <c r="F1665" t="s">
        <v>13</v>
      </c>
      <c r="G1665">
        <v>0.16300000000000001</v>
      </c>
      <c r="H1665">
        <v>0.68961518399999988</v>
      </c>
      <c r="I1665" t="s">
        <v>9</v>
      </c>
      <c r="J1665">
        <v>0.249</v>
      </c>
      <c r="K1665">
        <v>0.17171418081599996</v>
      </c>
      <c r="L1665" t="s">
        <v>37</v>
      </c>
      <c r="M1665">
        <v>0.19500000000000001</v>
      </c>
      <c r="N1665">
        <v>0.13447496087999999</v>
      </c>
    </row>
    <row r="1666" spans="1:14" x14ac:dyDescent="0.25">
      <c r="A1666" s="23">
        <v>44763</v>
      </c>
      <c r="B1666">
        <v>27.834</v>
      </c>
      <c r="C1666" t="s">
        <v>2</v>
      </c>
      <c r="D1666">
        <v>0.152</v>
      </c>
      <c r="E1666">
        <v>4.2307679999999994</v>
      </c>
      <c r="F1666" t="s">
        <v>13</v>
      </c>
      <c r="G1666">
        <v>0.16300000000000001</v>
      </c>
      <c r="H1666">
        <v>0.68961518399999988</v>
      </c>
      <c r="I1666" t="s">
        <v>58</v>
      </c>
      <c r="J1666">
        <v>2.3E-2</v>
      </c>
      <c r="K1666">
        <v>1.5861149231999997E-2</v>
      </c>
      <c r="L1666" t="s">
        <v>38</v>
      </c>
      <c r="M1666">
        <v>1.8000000000000002E-2</v>
      </c>
      <c r="N1666">
        <v>1.2413073311999999E-2</v>
      </c>
    </row>
    <row r="1667" spans="1:14" x14ac:dyDescent="0.25">
      <c r="A1667" s="23">
        <v>44764</v>
      </c>
      <c r="B1667">
        <v>27.834</v>
      </c>
      <c r="C1667" t="s">
        <v>2</v>
      </c>
      <c r="D1667">
        <v>0.152</v>
      </c>
      <c r="E1667">
        <v>4.2307679999999994</v>
      </c>
      <c r="F1667" t="s">
        <v>13</v>
      </c>
      <c r="G1667">
        <v>0.16300000000000001</v>
      </c>
      <c r="H1667">
        <v>0.68961518399999988</v>
      </c>
      <c r="L1667" t="s">
        <v>39</v>
      </c>
      <c r="M1667">
        <v>0.01</v>
      </c>
      <c r="N1667">
        <v>6.8961518399999989E-3</v>
      </c>
    </row>
    <row r="1668" spans="1:14" x14ac:dyDescent="0.25">
      <c r="A1668" s="23">
        <v>44765</v>
      </c>
      <c r="B1668">
        <v>27.834</v>
      </c>
      <c r="C1668" t="s">
        <v>2</v>
      </c>
      <c r="D1668">
        <v>0.152</v>
      </c>
      <c r="E1668">
        <v>4.2307679999999994</v>
      </c>
      <c r="F1668" t="s">
        <v>47</v>
      </c>
      <c r="G1668">
        <v>9.5000000000000001E-2</v>
      </c>
      <c r="H1668">
        <v>0.40192295999999994</v>
      </c>
      <c r="I1668" t="s">
        <v>11</v>
      </c>
      <c r="J1668">
        <v>0</v>
      </c>
      <c r="K1668">
        <v>0</v>
      </c>
      <c r="L1668" t="s">
        <v>32</v>
      </c>
      <c r="M1668">
        <v>0</v>
      </c>
      <c r="N1668">
        <v>0</v>
      </c>
    </row>
    <row r="1669" spans="1:14" x14ac:dyDescent="0.25">
      <c r="A1669" s="23">
        <v>44766</v>
      </c>
      <c r="B1669">
        <v>27.834</v>
      </c>
      <c r="C1669" t="s">
        <v>2</v>
      </c>
      <c r="D1669">
        <v>0.152</v>
      </c>
      <c r="E1669">
        <v>4.2307679999999994</v>
      </c>
      <c r="F1669" t="s">
        <v>17</v>
      </c>
      <c r="G1669">
        <v>9.5000000000000001E-2</v>
      </c>
      <c r="H1669">
        <v>0.40192295999999994</v>
      </c>
      <c r="I1669" t="s">
        <v>12</v>
      </c>
      <c r="J1669">
        <v>0</v>
      </c>
      <c r="K1669">
        <v>0</v>
      </c>
      <c r="L1669" t="s">
        <v>33</v>
      </c>
      <c r="M1669">
        <v>8.6999999999999994E-2</v>
      </c>
      <c r="N1669">
        <v>3.4967297519999996E-2</v>
      </c>
    </row>
    <row r="1670" spans="1:14" x14ac:dyDescent="0.25">
      <c r="A1670" s="23">
        <v>44767</v>
      </c>
      <c r="B1670">
        <v>27.834</v>
      </c>
      <c r="C1670" t="s">
        <v>2</v>
      </c>
      <c r="D1670">
        <v>0.152</v>
      </c>
      <c r="E1670">
        <v>4.2307679999999994</v>
      </c>
      <c r="F1670" t="s">
        <v>17</v>
      </c>
      <c r="G1670">
        <v>9.5000000000000001E-2</v>
      </c>
      <c r="H1670">
        <v>0.40192295999999994</v>
      </c>
      <c r="I1670" t="s">
        <v>7</v>
      </c>
      <c r="J1670">
        <v>6.5000000000000002E-2</v>
      </c>
      <c r="K1670">
        <v>2.6124992399999998E-2</v>
      </c>
      <c r="L1670" t="s">
        <v>34</v>
      </c>
      <c r="M1670">
        <v>6.5000000000000002E-2</v>
      </c>
      <c r="N1670">
        <v>2.6124992399999998E-2</v>
      </c>
    </row>
    <row r="1671" spans="1:14" x14ac:dyDescent="0.25">
      <c r="A1671" s="23">
        <v>44768</v>
      </c>
      <c r="B1671">
        <v>27.834</v>
      </c>
      <c r="C1671" t="s">
        <v>2</v>
      </c>
      <c r="D1671">
        <v>0.152</v>
      </c>
      <c r="E1671">
        <v>4.2307679999999994</v>
      </c>
      <c r="F1671" t="s">
        <v>17</v>
      </c>
      <c r="G1671">
        <v>9.5000000000000001E-2</v>
      </c>
      <c r="H1671">
        <v>0.40192295999999994</v>
      </c>
      <c r="I1671" t="s">
        <v>8</v>
      </c>
      <c r="J1671">
        <v>0.54299999999999993</v>
      </c>
      <c r="K1671">
        <v>0.21824416727999993</v>
      </c>
      <c r="L1671" t="s">
        <v>35</v>
      </c>
      <c r="M1671">
        <v>0.39100000000000001</v>
      </c>
      <c r="N1671">
        <v>0.15715187735999997</v>
      </c>
    </row>
    <row r="1672" spans="1:14" x14ac:dyDescent="0.25">
      <c r="A1672" s="23">
        <v>44769</v>
      </c>
      <c r="B1672">
        <v>27.834</v>
      </c>
      <c r="C1672" t="s">
        <v>2</v>
      </c>
      <c r="D1672">
        <v>0.152</v>
      </c>
      <c r="E1672">
        <v>4.2307679999999994</v>
      </c>
      <c r="F1672" t="s">
        <v>17</v>
      </c>
      <c r="G1672">
        <v>9.5000000000000001E-2</v>
      </c>
      <c r="H1672">
        <v>0.40192295999999994</v>
      </c>
      <c r="I1672" t="s">
        <v>10</v>
      </c>
      <c r="J1672">
        <v>4.2999999999999997E-2</v>
      </c>
      <c r="K1672">
        <v>1.7282687279999997E-2</v>
      </c>
      <c r="L1672" t="s">
        <v>36</v>
      </c>
      <c r="M1672">
        <v>0.13</v>
      </c>
      <c r="N1672">
        <v>5.2249984799999996E-2</v>
      </c>
    </row>
    <row r="1673" spans="1:14" x14ac:dyDescent="0.25">
      <c r="A1673" s="23">
        <v>44770</v>
      </c>
      <c r="B1673">
        <v>27.834</v>
      </c>
      <c r="C1673" t="s">
        <v>2</v>
      </c>
      <c r="D1673">
        <v>0.152</v>
      </c>
      <c r="E1673">
        <v>4.2307679999999994</v>
      </c>
      <c r="F1673" t="s">
        <v>17</v>
      </c>
      <c r="G1673">
        <v>9.5000000000000001E-2</v>
      </c>
      <c r="H1673">
        <v>0.40192295999999994</v>
      </c>
      <c r="I1673" t="s">
        <v>9</v>
      </c>
      <c r="J1673">
        <v>0.34799999999999998</v>
      </c>
      <c r="K1673">
        <v>0.13986919007999998</v>
      </c>
      <c r="L1673" t="s">
        <v>37</v>
      </c>
      <c r="M1673">
        <v>0.32600000000000001</v>
      </c>
      <c r="N1673">
        <v>0.13102688495999998</v>
      </c>
    </row>
    <row r="1674" spans="1:14" x14ac:dyDescent="0.25">
      <c r="A1674" s="23">
        <v>44771</v>
      </c>
      <c r="B1674">
        <v>27.834</v>
      </c>
      <c r="C1674" t="s">
        <v>2</v>
      </c>
      <c r="D1674">
        <v>0.152</v>
      </c>
      <c r="E1674">
        <v>4.2307679999999994</v>
      </c>
      <c r="F1674" t="s">
        <v>17</v>
      </c>
      <c r="G1674">
        <v>9.5000000000000001E-2</v>
      </c>
      <c r="H1674">
        <v>0.40192295999999994</v>
      </c>
      <c r="I1674" t="s">
        <v>58</v>
      </c>
      <c r="J1674">
        <v>0</v>
      </c>
      <c r="K1674">
        <v>0</v>
      </c>
      <c r="L1674" t="s">
        <v>38</v>
      </c>
      <c r="M1674">
        <v>0</v>
      </c>
      <c r="N1674">
        <v>0</v>
      </c>
    </row>
    <row r="1675" spans="1:14" x14ac:dyDescent="0.25">
      <c r="A1675" s="23">
        <v>44772</v>
      </c>
      <c r="B1675">
        <v>27.834</v>
      </c>
      <c r="C1675" t="s">
        <v>2</v>
      </c>
      <c r="D1675">
        <v>0.152</v>
      </c>
      <c r="E1675">
        <v>4.2307679999999994</v>
      </c>
      <c r="F1675" t="s">
        <v>17</v>
      </c>
      <c r="G1675">
        <v>9.5000000000000001E-2</v>
      </c>
      <c r="H1675">
        <v>0.40192295999999994</v>
      </c>
      <c r="L1675" t="s">
        <v>39</v>
      </c>
      <c r="M1675">
        <v>0</v>
      </c>
      <c r="N1675">
        <v>0</v>
      </c>
    </row>
    <row r="1676" spans="1:14" x14ac:dyDescent="0.25">
      <c r="A1676" s="23">
        <v>44773</v>
      </c>
      <c r="B1676">
        <v>27.834</v>
      </c>
      <c r="C1676" t="s">
        <v>2</v>
      </c>
      <c r="D1676">
        <v>0.152</v>
      </c>
      <c r="E1676">
        <v>4.2307679999999994</v>
      </c>
      <c r="F1676" t="s">
        <v>18</v>
      </c>
      <c r="G1676">
        <v>9.5000000000000001E-2</v>
      </c>
      <c r="H1676">
        <v>0.40192295999999994</v>
      </c>
      <c r="I1676" t="s">
        <v>11</v>
      </c>
      <c r="J1676">
        <v>0.39399999999999996</v>
      </c>
      <c r="K1676">
        <v>0.15835764623999996</v>
      </c>
      <c r="L1676" t="s">
        <v>32</v>
      </c>
      <c r="M1676">
        <v>2.7000000000000003E-2</v>
      </c>
      <c r="N1676">
        <v>1.085191992E-2</v>
      </c>
    </row>
    <row r="1677" spans="1:14" x14ac:dyDescent="0.25">
      <c r="A1677" s="23">
        <v>44774</v>
      </c>
      <c r="B1677">
        <v>27.834</v>
      </c>
      <c r="C1677" t="s">
        <v>2</v>
      </c>
      <c r="D1677">
        <v>0.152</v>
      </c>
      <c r="E1677">
        <v>4.2307679999999994</v>
      </c>
      <c r="F1677" t="s">
        <v>18</v>
      </c>
      <c r="G1677">
        <v>9.5000000000000001E-2</v>
      </c>
      <c r="H1677">
        <v>0.40192295999999994</v>
      </c>
      <c r="I1677" t="s">
        <v>12</v>
      </c>
      <c r="J1677">
        <v>3.9E-2</v>
      </c>
      <c r="K1677">
        <v>1.5674995439999999E-2</v>
      </c>
      <c r="L1677" t="s">
        <v>33</v>
      </c>
      <c r="M1677">
        <v>7.2999999999999995E-2</v>
      </c>
      <c r="N1677">
        <v>2.9340376079999994E-2</v>
      </c>
    </row>
    <row r="1678" spans="1:14" x14ac:dyDescent="0.25">
      <c r="A1678" s="23">
        <v>44775</v>
      </c>
      <c r="B1678">
        <v>27.834</v>
      </c>
      <c r="C1678" t="s">
        <v>2</v>
      </c>
      <c r="D1678">
        <v>0.152</v>
      </c>
      <c r="E1678">
        <v>4.2307679999999994</v>
      </c>
      <c r="F1678" t="s">
        <v>18</v>
      </c>
      <c r="G1678">
        <v>9.5000000000000001E-2</v>
      </c>
      <c r="H1678">
        <v>0.40192295999999994</v>
      </c>
      <c r="I1678" t="s">
        <v>7</v>
      </c>
      <c r="J1678">
        <v>8.4000000000000005E-2</v>
      </c>
      <c r="K1678">
        <v>3.3761528639999996E-2</v>
      </c>
      <c r="L1678" t="s">
        <v>34</v>
      </c>
      <c r="M1678">
        <v>8.5000000000000006E-2</v>
      </c>
      <c r="N1678">
        <v>3.4163451599999999E-2</v>
      </c>
    </row>
    <row r="1679" spans="1:14" x14ac:dyDescent="0.25">
      <c r="A1679" s="23">
        <v>44776</v>
      </c>
      <c r="B1679">
        <v>27.834</v>
      </c>
      <c r="C1679" t="s">
        <v>2</v>
      </c>
      <c r="D1679">
        <v>0.152</v>
      </c>
      <c r="E1679">
        <v>4.2307679999999994</v>
      </c>
      <c r="F1679" t="s">
        <v>18</v>
      </c>
      <c r="G1679">
        <v>9.5000000000000001E-2</v>
      </c>
      <c r="H1679">
        <v>0.40192295999999994</v>
      </c>
      <c r="I1679" t="s">
        <v>8</v>
      </c>
      <c r="J1679">
        <v>0.20699999999999999</v>
      </c>
      <c r="K1679">
        <v>8.3198052719999985E-2</v>
      </c>
      <c r="L1679" t="s">
        <v>35</v>
      </c>
      <c r="M1679">
        <v>0.314</v>
      </c>
      <c r="N1679">
        <v>0.12620380943999998</v>
      </c>
    </row>
    <row r="1680" spans="1:14" x14ac:dyDescent="0.25">
      <c r="A1680" s="23">
        <v>44777</v>
      </c>
      <c r="B1680">
        <v>27.834</v>
      </c>
      <c r="C1680" t="s">
        <v>2</v>
      </c>
      <c r="D1680">
        <v>0.152</v>
      </c>
      <c r="E1680">
        <v>4.2307679999999994</v>
      </c>
      <c r="F1680" t="s">
        <v>18</v>
      </c>
      <c r="G1680">
        <v>9.5000000000000001E-2</v>
      </c>
      <c r="H1680">
        <v>0.40192295999999994</v>
      </c>
      <c r="I1680" t="s">
        <v>10</v>
      </c>
      <c r="J1680">
        <v>6.2E-2</v>
      </c>
      <c r="K1680">
        <v>2.4919223519999995E-2</v>
      </c>
      <c r="L1680" t="s">
        <v>36</v>
      </c>
      <c r="M1680">
        <v>0.29299999999999998</v>
      </c>
      <c r="N1680">
        <v>0.11776342727999997</v>
      </c>
    </row>
    <row r="1681" spans="1:14" x14ac:dyDescent="0.25">
      <c r="A1681" s="23">
        <v>44778</v>
      </c>
      <c r="B1681">
        <v>27.834</v>
      </c>
      <c r="C1681" t="s">
        <v>2</v>
      </c>
      <c r="D1681">
        <v>0.152</v>
      </c>
      <c r="E1681">
        <v>4.2307679999999994</v>
      </c>
      <c r="F1681" t="s">
        <v>48</v>
      </c>
      <c r="G1681">
        <v>9.5000000000000001E-2</v>
      </c>
      <c r="H1681">
        <v>0.40192295999999994</v>
      </c>
      <c r="I1681" t="s">
        <v>9</v>
      </c>
      <c r="J1681">
        <v>0.21199999999999999</v>
      </c>
      <c r="K1681">
        <v>8.5207667519999988E-2</v>
      </c>
      <c r="L1681" t="s">
        <v>37</v>
      </c>
      <c r="M1681">
        <v>0.16899999999999998</v>
      </c>
      <c r="N1681">
        <v>6.7924980239999988E-2</v>
      </c>
    </row>
    <row r="1682" spans="1:14" x14ac:dyDescent="0.25">
      <c r="A1682" s="23">
        <v>44779</v>
      </c>
      <c r="B1682">
        <v>27.834</v>
      </c>
      <c r="C1682" t="s">
        <v>2</v>
      </c>
      <c r="D1682">
        <v>0.152</v>
      </c>
      <c r="E1682">
        <v>4.2307679999999994</v>
      </c>
      <c r="F1682" t="s">
        <v>18</v>
      </c>
      <c r="G1682">
        <v>9.5000000000000001E-2</v>
      </c>
      <c r="H1682">
        <v>0.40192295999999994</v>
      </c>
      <c r="I1682" t="s">
        <v>58</v>
      </c>
      <c r="J1682">
        <v>2E-3</v>
      </c>
      <c r="K1682">
        <v>8.0384591999999987E-4</v>
      </c>
      <c r="L1682" t="s">
        <v>38</v>
      </c>
      <c r="M1682">
        <v>0.02</v>
      </c>
      <c r="N1682">
        <v>8.0384591999999987E-3</v>
      </c>
    </row>
    <row r="1683" spans="1:14" x14ac:dyDescent="0.25">
      <c r="A1683" s="23">
        <v>44780</v>
      </c>
      <c r="B1683">
        <v>27.834</v>
      </c>
      <c r="C1683" t="s">
        <v>2</v>
      </c>
      <c r="D1683">
        <v>0.152</v>
      </c>
      <c r="E1683">
        <v>4.2307679999999994</v>
      </c>
      <c r="F1683" t="s">
        <v>18</v>
      </c>
      <c r="G1683">
        <v>9.5000000000000001E-2</v>
      </c>
      <c r="H1683">
        <v>0.40192295999999994</v>
      </c>
      <c r="L1683" t="s">
        <v>39</v>
      </c>
      <c r="M1683">
        <v>1.9E-2</v>
      </c>
      <c r="N1683">
        <v>7.6365362399999984E-3</v>
      </c>
    </row>
    <row r="1684" spans="1:14" x14ac:dyDescent="0.25">
      <c r="A1684" s="23">
        <v>44781</v>
      </c>
      <c r="B1684">
        <v>27.834</v>
      </c>
      <c r="C1684" t="s">
        <v>19</v>
      </c>
      <c r="D1684">
        <v>0.84799999999999998</v>
      </c>
      <c r="E1684">
        <v>23.603231999999998</v>
      </c>
      <c r="F1684" t="s">
        <v>14</v>
      </c>
      <c r="G1684">
        <v>0.8</v>
      </c>
      <c r="H1684">
        <v>18.882585599999999</v>
      </c>
      <c r="I1684" t="s">
        <v>11</v>
      </c>
      <c r="J1684">
        <v>0.10800000000000001</v>
      </c>
      <c r="K1684">
        <v>2.0393192448000002</v>
      </c>
      <c r="L1684" t="s">
        <v>32</v>
      </c>
      <c r="M1684">
        <v>3.1E-2</v>
      </c>
      <c r="N1684">
        <v>0.58536015359999993</v>
      </c>
    </row>
    <row r="1685" spans="1:14" x14ac:dyDescent="0.25">
      <c r="A1685" s="23">
        <v>44782</v>
      </c>
      <c r="B1685">
        <v>27.834</v>
      </c>
      <c r="C1685" t="s">
        <v>19</v>
      </c>
      <c r="D1685">
        <v>0.84799999999999998</v>
      </c>
      <c r="E1685">
        <v>23.603231999999998</v>
      </c>
      <c r="F1685" t="s">
        <v>14</v>
      </c>
      <c r="G1685">
        <v>0.8</v>
      </c>
      <c r="H1685">
        <v>18.882585599999999</v>
      </c>
      <c r="I1685" t="s">
        <v>12</v>
      </c>
      <c r="J1685">
        <v>6.3E-2</v>
      </c>
      <c r="K1685">
        <v>1.1896028928</v>
      </c>
      <c r="L1685" t="s">
        <v>33</v>
      </c>
      <c r="M1685">
        <v>7.5999999999999998E-2</v>
      </c>
      <c r="N1685">
        <v>1.4350765055999999</v>
      </c>
    </row>
    <row r="1686" spans="1:14" x14ac:dyDescent="0.25">
      <c r="A1686" s="23">
        <v>44783</v>
      </c>
      <c r="B1686">
        <v>27.834</v>
      </c>
      <c r="C1686" t="s">
        <v>19</v>
      </c>
      <c r="D1686">
        <v>0.84799999999999998</v>
      </c>
      <c r="E1686">
        <v>23.603231999999998</v>
      </c>
      <c r="F1686" t="s">
        <v>14</v>
      </c>
      <c r="G1686">
        <v>0.8</v>
      </c>
      <c r="H1686">
        <v>18.882585599999999</v>
      </c>
      <c r="I1686" t="s">
        <v>7</v>
      </c>
      <c r="J1686">
        <v>0.14499999999999999</v>
      </c>
      <c r="K1686">
        <v>2.7379749119999994</v>
      </c>
      <c r="L1686" t="s">
        <v>34</v>
      </c>
      <c r="M1686">
        <v>0.11199999999999999</v>
      </c>
      <c r="N1686">
        <v>2.1148495871999997</v>
      </c>
    </row>
    <row r="1687" spans="1:14" x14ac:dyDescent="0.25">
      <c r="A1687" s="23">
        <v>44784</v>
      </c>
      <c r="B1687">
        <v>27.834</v>
      </c>
      <c r="C1687" t="s">
        <v>19</v>
      </c>
      <c r="D1687">
        <v>0.84799999999999998</v>
      </c>
      <c r="E1687">
        <v>23.603231999999998</v>
      </c>
      <c r="F1687" t="s">
        <v>14</v>
      </c>
      <c r="G1687">
        <v>0.8</v>
      </c>
      <c r="H1687">
        <v>18.882585599999999</v>
      </c>
      <c r="I1687" t="s">
        <v>8</v>
      </c>
      <c r="J1687">
        <v>0.34799999999999998</v>
      </c>
      <c r="K1687">
        <v>6.5711397887999992</v>
      </c>
      <c r="L1687" t="s">
        <v>35</v>
      </c>
      <c r="M1687">
        <v>0.28999999999999998</v>
      </c>
      <c r="N1687">
        <v>5.4759498239999989</v>
      </c>
    </row>
    <row r="1688" spans="1:14" x14ac:dyDescent="0.25">
      <c r="A1688" s="23">
        <v>44785</v>
      </c>
      <c r="B1688">
        <v>27.834</v>
      </c>
      <c r="C1688" t="s">
        <v>19</v>
      </c>
      <c r="D1688">
        <v>0.84799999999999998</v>
      </c>
      <c r="E1688">
        <v>23.603231999999998</v>
      </c>
      <c r="F1688" t="s">
        <v>14</v>
      </c>
      <c r="G1688">
        <v>0.8</v>
      </c>
      <c r="H1688">
        <v>18.882585599999999</v>
      </c>
      <c r="I1688" t="s">
        <v>10</v>
      </c>
      <c r="J1688">
        <v>4.0999999999999995E-2</v>
      </c>
      <c r="K1688">
        <v>0.77418600959999984</v>
      </c>
      <c r="L1688" t="s">
        <v>36</v>
      </c>
      <c r="M1688">
        <v>0.25600000000000001</v>
      </c>
      <c r="N1688">
        <v>4.8339419135999995</v>
      </c>
    </row>
    <row r="1689" spans="1:14" x14ac:dyDescent="0.25">
      <c r="A1689" s="23">
        <v>44786</v>
      </c>
      <c r="B1689">
        <v>27.834</v>
      </c>
      <c r="C1689" t="s">
        <v>19</v>
      </c>
      <c r="D1689">
        <v>0.84799999999999998</v>
      </c>
      <c r="E1689">
        <v>23.603231999999998</v>
      </c>
      <c r="F1689" t="s">
        <v>14</v>
      </c>
      <c r="G1689">
        <v>0.8</v>
      </c>
      <c r="H1689">
        <v>18.882585599999999</v>
      </c>
      <c r="I1689" t="s">
        <v>9</v>
      </c>
      <c r="J1689">
        <v>0.27300000000000002</v>
      </c>
      <c r="K1689">
        <v>5.1549458687999996</v>
      </c>
      <c r="L1689" t="s">
        <v>37</v>
      </c>
      <c r="M1689">
        <v>0.188</v>
      </c>
      <c r="N1689">
        <v>3.5499260927999998</v>
      </c>
    </row>
    <row r="1690" spans="1:14" x14ac:dyDescent="0.25">
      <c r="A1690" s="23">
        <v>44787</v>
      </c>
      <c r="B1690">
        <v>27.834</v>
      </c>
      <c r="C1690" t="s">
        <v>19</v>
      </c>
      <c r="D1690">
        <v>0.84799999999999998</v>
      </c>
      <c r="E1690">
        <v>23.603231999999998</v>
      </c>
      <c r="F1690" t="s">
        <v>14</v>
      </c>
      <c r="G1690">
        <v>0.8</v>
      </c>
      <c r="H1690">
        <v>18.882585599999999</v>
      </c>
      <c r="I1690" t="s">
        <v>58</v>
      </c>
      <c r="J1690">
        <v>2.2000000000000002E-2</v>
      </c>
      <c r="K1690">
        <v>0.41541688320000003</v>
      </c>
      <c r="L1690" t="s">
        <v>38</v>
      </c>
      <c r="M1690">
        <v>3.5000000000000003E-2</v>
      </c>
      <c r="N1690">
        <v>0.66089049600000005</v>
      </c>
    </row>
    <row r="1691" spans="1:14" x14ac:dyDescent="0.25">
      <c r="A1691" s="23">
        <v>44788</v>
      </c>
      <c r="B1691">
        <v>27.834</v>
      </c>
      <c r="C1691" t="s">
        <v>19</v>
      </c>
      <c r="D1691">
        <v>0.84799999999999998</v>
      </c>
      <c r="E1691">
        <v>23.603231999999998</v>
      </c>
      <c r="F1691" t="s">
        <v>14</v>
      </c>
      <c r="G1691">
        <v>0.8</v>
      </c>
      <c r="H1691">
        <v>18.882585599999999</v>
      </c>
      <c r="L1691" t="s">
        <v>39</v>
      </c>
      <c r="M1691">
        <v>1.1000000000000001E-2</v>
      </c>
      <c r="N1691">
        <v>0.20770844160000002</v>
      </c>
    </row>
    <row r="1692" spans="1:14" x14ac:dyDescent="0.25">
      <c r="A1692" s="23">
        <v>44789</v>
      </c>
      <c r="B1692">
        <v>27.834</v>
      </c>
      <c r="C1692" t="s">
        <v>19</v>
      </c>
      <c r="D1692">
        <v>0.84799999999999998</v>
      </c>
      <c r="E1692">
        <v>23.603231999999998</v>
      </c>
      <c r="F1692" t="s">
        <v>15</v>
      </c>
      <c r="G1692">
        <v>0.84</v>
      </c>
      <c r="H1692">
        <v>19.826714879999997</v>
      </c>
      <c r="I1692" t="s">
        <v>11</v>
      </c>
      <c r="J1692">
        <v>7.6999999999999999E-2</v>
      </c>
      <c r="K1692">
        <v>1.5266570457599997</v>
      </c>
      <c r="L1692" t="s">
        <v>32</v>
      </c>
      <c r="M1692">
        <v>6.9999999999999993E-3</v>
      </c>
      <c r="N1692">
        <v>0.13878700415999998</v>
      </c>
    </row>
    <row r="1693" spans="1:14" x14ac:dyDescent="0.25">
      <c r="A1693" s="23">
        <v>44790</v>
      </c>
      <c r="B1693">
        <v>27.834</v>
      </c>
      <c r="C1693" t="s">
        <v>19</v>
      </c>
      <c r="D1693">
        <v>0.84799999999999998</v>
      </c>
      <c r="E1693">
        <v>23.603231999999998</v>
      </c>
      <c r="F1693" t="s">
        <v>15</v>
      </c>
      <c r="G1693">
        <v>0.84</v>
      </c>
      <c r="H1693">
        <v>19.826714879999997</v>
      </c>
      <c r="I1693" t="s">
        <v>12</v>
      </c>
      <c r="J1693">
        <v>5.7999999999999996E-2</v>
      </c>
      <c r="K1693">
        <v>1.1499494630399998</v>
      </c>
      <c r="L1693" t="s">
        <v>33</v>
      </c>
      <c r="M1693">
        <v>0.09</v>
      </c>
      <c r="N1693">
        <v>1.7844043391999997</v>
      </c>
    </row>
    <row r="1694" spans="1:14" x14ac:dyDescent="0.25">
      <c r="A1694" s="23">
        <v>44791</v>
      </c>
      <c r="B1694">
        <v>27.834</v>
      </c>
      <c r="C1694" t="s">
        <v>19</v>
      </c>
      <c r="D1694">
        <v>0.84799999999999998</v>
      </c>
      <c r="E1694">
        <v>23.603231999999998</v>
      </c>
      <c r="F1694" t="s">
        <v>15</v>
      </c>
      <c r="G1694">
        <v>0.84</v>
      </c>
      <c r="H1694">
        <v>19.826714879999997</v>
      </c>
      <c r="I1694" t="s">
        <v>7</v>
      </c>
      <c r="J1694">
        <v>0.19</v>
      </c>
      <c r="K1694">
        <v>3.7670758271999993</v>
      </c>
      <c r="L1694" t="s">
        <v>34</v>
      </c>
      <c r="M1694">
        <v>0.13200000000000001</v>
      </c>
      <c r="N1694">
        <v>2.6171263641599998</v>
      </c>
    </row>
    <row r="1695" spans="1:14" x14ac:dyDescent="0.25">
      <c r="A1695" s="23">
        <v>44792</v>
      </c>
      <c r="B1695">
        <v>27.834</v>
      </c>
      <c r="C1695" t="s">
        <v>19</v>
      </c>
      <c r="D1695">
        <v>0.84799999999999998</v>
      </c>
      <c r="E1695">
        <v>23.603231999999998</v>
      </c>
      <c r="F1695" t="s">
        <v>15</v>
      </c>
      <c r="G1695">
        <v>0.84</v>
      </c>
      <c r="H1695">
        <v>19.826714879999997</v>
      </c>
      <c r="I1695" t="s">
        <v>8</v>
      </c>
      <c r="J1695">
        <v>0.35700000000000004</v>
      </c>
      <c r="K1695">
        <v>7.0781372121599997</v>
      </c>
      <c r="L1695" t="s">
        <v>35</v>
      </c>
      <c r="M1695">
        <v>0.28800000000000003</v>
      </c>
      <c r="N1695">
        <v>5.7100938854400001</v>
      </c>
    </row>
    <row r="1696" spans="1:14" x14ac:dyDescent="0.25">
      <c r="A1696" s="23">
        <v>44793</v>
      </c>
      <c r="B1696">
        <v>27.834</v>
      </c>
      <c r="C1696" t="s">
        <v>19</v>
      </c>
      <c r="D1696">
        <v>0.84799999999999998</v>
      </c>
      <c r="E1696">
        <v>23.603231999999998</v>
      </c>
      <c r="F1696" t="s">
        <v>15</v>
      </c>
      <c r="G1696">
        <v>0.84</v>
      </c>
      <c r="H1696">
        <v>19.826714879999997</v>
      </c>
      <c r="I1696" t="s">
        <v>10</v>
      </c>
      <c r="J1696">
        <v>6.5000000000000002E-2</v>
      </c>
      <c r="K1696">
        <v>1.2887364671999999</v>
      </c>
      <c r="L1696" t="s">
        <v>36</v>
      </c>
      <c r="M1696">
        <v>0.27</v>
      </c>
      <c r="N1696">
        <v>5.3532130175999999</v>
      </c>
    </row>
    <row r="1697" spans="1:14" x14ac:dyDescent="0.25">
      <c r="A1697" s="23">
        <v>44794</v>
      </c>
      <c r="B1697">
        <v>27.834</v>
      </c>
      <c r="C1697" t="s">
        <v>19</v>
      </c>
      <c r="D1697">
        <v>0.84799999999999998</v>
      </c>
      <c r="E1697">
        <v>23.603231999999998</v>
      </c>
      <c r="F1697" t="s">
        <v>15</v>
      </c>
      <c r="G1697">
        <v>0.84</v>
      </c>
      <c r="H1697">
        <v>19.826714879999997</v>
      </c>
      <c r="I1697" t="s">
        <v>9</v>
      </c>
      <c r="J1697">
        <v>0.222</v>
      </c>
      <c r="K1697">
        <v>4.4015307033599997</v>
      </c>
      <c r="L1697" t="s">
        <v>37</v>
      </c>
      <c r="M1697">
        <v>0.19600000000000001</v>
      </c>
      <c r="N1697">
        <v>3.8860361164799997</v>
      </c>
    </row>
    <row r="1698" spans="1:14" x14ac:dyDescent="0.25">
      <c r="A1698" s="23">
        <v>44795</v>
      </c>
      <c r="B1698">
        <v>27.834</v>
      </c>
      <c r="C1698" t="s">
        <v>19</v>
      </c>
      <c r="D1698">
        <v>0.84799999999999998</v>
      </c>
      <c r="E1698">
        <v>23.603231999999998</v>
      </c>
      <c r="F1698" t="s">
        <v>15</v>
      </c>
      <c r="G1698">
        <v>0.84</v>
      </c>
      <c r="H1698">
        <v>19.826714879999997</v>
      </c>
      <c r="I1698" t="s">
        <v>58</v>
      </c>
      <c r="J1698">
        <v>0.03</v>
      </c>
      <c r="K1698">
        <v>0.59480144639999988</v>
      </c>
      <c r="L1698" t="s">
        <v>38</v>
      </c>
      <c r="M1698">
        <v>6.9999999999999993E-3</v>
      </c>
      <c r="N1698">
        <v>0.13878700415999998</v>
      </c>
    </row>
    <row r="1699" spans="1:14" x14ac:dyDescent="0.25">
      <c r="A1699" s="23">
        <v>44796</v>
      </c>
      <c r="B1699">
        <v>27.834</v>
      </c>
      <c r="C1699" t="s">
        <v>19</v>
      </c>
      <c r="D1699">
        <v>0.84799999999999998</v>
      </c>
      <c r="E1699">
        <v>23.603231999999998</v>
      </c>
      <c r="F1699" t="s">
        <v>15</v>
      </c>
      <c r="G1699">
        <v>0.84</v>
      </c>
      <c r="H1699">
        <v>19.826714879999997</v>
      </c>
      <c r="L1699" t="s">
        <v>39</v>
      </c>
      <c r="M1699">
        <v>9.0000000000000011E-3</v>
      </c>
      <c r="N1699">
        <v>0.17844043392</v>
      </c>
    </row>
    <row r="1700" spans="1:14" x14ac:dyDescent="0.25">
      <c r="A1700" s="23">
        <v>44797</v>
      </c>
      <c r="B1700">
        <v>27.834</v>
      </c>
      <c r="C1700" t="s">
        <v>19</v>
      </c>
      <c r="D1700">
        <v>0.84799999999999998</v>
      </c>
      <c r="E1700">
        <v>23.603231999999998</v>
      </c>
      <c r="F1700" t="s">
        <v>16</v>
      </c>
      <c r="G1700">
        <v>0.83200000000000007</v>
      </c>
      <c r="H1700">
        <v>19.637889024</v>
      </c>
      <c r="I1700" t="s">
        <v>11</v>
      </c>
      <c r="J1700">
        <v>0.126</v>
      </c>
      <c r="K1700">
        <v>2.4743740170240001</v>
      </c>
      <c r="L1700" t="s">
        <v>32</v>
      </c>
      <c r="M1700">
        <v>3.5000000000000003E-2</v>
      </c>
      <c r="N1700">
        <v>0.68732611584000003</v>
      </c>
    </row>
    <row r="1701" spans="1:14" x14ac:dyDescent="0.25">
      <c r="A1701" s="23">
        <v>44798</v>
      </c>
      <c r="B1701">
        <v>27.834</v>
      </c>
      <c r="C1701" t="s">
        <v>19</v>
      </c>
      <c r="D1701">
        <v>0.84799999999999998</v>
      </c>
      <c r="E1701">
        <v>23.603231999999998</v>
      </c>
      <c r="F1701" t="s">
        <v>16</v>
      </c>
      <c r="G1701">
        <v>0.83200000000000007</v>
      </c>
      <c r="H1701">
        <v>19.637889024</v>
      </c>
      <c r="I1701" t="s">
        <v>12</v>
      </c>
      <c r="J1701">
        <v>6.6000000000000003E-2</v>
      </c>
      <c r="K1701">
        <v>1.2961006755840001</v>
      </c>
      <c r="L1701" t="s">
        <v>33</v>
      </c>
      <c r="M1701">
        <v>0.10099999999999999</v>
      </c>
      <c r="N1701">
        <v>1.9834267914239998</v>
      </c>
    </row>
    <row r="1702" spans="1:14" x14ac:dyDescent="0.25">
      <c r="A1702" s="23">
        <v>44799</v>
      </c>
      <c r="B1702">
        <v>27.834</v>
      </c>
      <c r="C1702" t="s">
        <v>19</v>
      </c>
      <c r="D1702">
        <v>0.84799999999999998</v>
      </c>
      <c r="E1702">
        <v>23.603231999999998</v>
      </c>
      <c r="F1702" t="s">
        <v>16</v>
      </c>
      <c r="G1702">
        <v>0.83200000000000007</v>
      </c>
      <c r="H1702">
        <v>19.637889024</v>
      </c>
      <c r="I1702" t="s">
        <v>7</v>
      </c>
      <c r="J1702">
        <v>0.16</v>
      </c>
      <c r="K1702">
        <v>3.1420622438399999</v>
      </c>
      <c r="L1702" t="s">
        <v>34</v>
      </c>
      <c r="M1702">
        <v>0.121</v>
      </c>
      <c r="N1702">
        <v>2.376184571904</v>
      </c>
    </row>
    <row r="1703" spans="1:14" x14ac:dyDescent="0.25">
      <c r="A1703" s="23">
        <v>44800</v>
      </c>
      <c r="B1703">
        <v>27.834</v>
      </c>
      <c r="C1703" t="s">
        <v>19</v>
      </c>
      <c r="D1703">
        <v>0.84799999999999998</v>
      </c>
      <c r="E1703">
        <v>23.603231999999998</v>
      </c>
      <c r="F1703" t="s">
        <v>16</v>
      </c>
      <c r="G1703">
        <v>0.83200000000000007</v>
      </c>
      <c r="H1703">
        <v>19.637889024</v>
      </c>
      <c r="I1703" t="s">
        <v>8</v>
      </c>
      <c r="J1703">
        <v>0.379</v>
      </c>
      <c r="K1703">
        <v>7.4427599400959998</v>
      </c>
      <c r="L1703" t="s">
        <v>35</v>
      </c>
      <c r="M1703">
        <v>0.3</v>
      </c>
      <c r="N1703">
        <v>5.8913667071999996</v>
      </c>
    </row>
    <row r="1704" spans="1:14" x14ac:dyDescent="0.25">
      <c r="A1704" s="23">
        <v>44801</v>
      </c>
      <c r="B1704">
        <v>27.834</v>
      </c>
      <c r="C1704" t="s">
        <v>19</v>
      </c>
      <c r="D1704">
        <v>0.84799999999999998</v>
      </c>
      <c r="E1704">
        <v>23.603231999999998</v>
      </c>
      <c r="F1704" t="s">
        <v>16</v>
      </c>
      <c r="G1704">
        <v>0.83200000000000007</v>
      </c>
      <c r="H1704">
        <v>19.637889024</v>
      </c>
      <c r="I1704" t="s">
        <v>10</v>
      </c>
      <c r="J1704">
        <v>4.4000000000000004E-2</v>
      </c>
      <c r="K1704">
        <v>0.86406711705600003</v>
      </c>
      <c r="L1704" t="s">
        <v>36</v>
      </c>
      <c r="M1704">
        <v>0.23899999999999999</v>
      </c>
      <c r="N1704">
        <v>4.6934554767360002</v>
      </c>
    </row>
    <row r="1705" spans="1:14" x14ac:dyDescent="0.25">
      <c r="A1705" s="23">
        <v>44802</v>
      </c>
      <c r="B1705">
        <v>27.834</v>
      </c>
      <c r="C1705" t="s">
        <v>19</v>
      </c>
      <c r="D1705">
        <v>0.84799999999999998</v>
      </c>
      <c r="E1705">
        <v>23.603231999999998</v>
      </c>
      <c r="F1705" t="s">
        <v>16</v>
      </c>
      <c r="G1705">
        <v>0.83200000000000007</v>
      </c>
      <c r="H1705">
        <v>19.637889024</v>
      </c>
      <c r="I1705" t="s">
        <v>9</v>
      </c>
      <c r="J1705">
        <v>0.20699999999999999</v>
      </c>
      <c r="K1705">
        <v>4.0650430279679997</v>
      </c>
      <c r="L1705" t="s">
        <v>37</v>
      </c>
      <c r="M1705">
        <v>0.17</v>
      </c>
      <c r="N1705">
        <v>3.33844113408</v>
      </c>
    </row>
    <row r="1706" spans="1:14" x14ac:dyDescent="0.25">
      <c r="A1706" s="23">
        <v>44803</v>
      </c>
      <c r="B1706">
        <v>27.834</v>
      </c>
      <c r="C1706" t="s">
        <v>19</v>
      </c>
      <c r="D1706">
        <v>0.84799999999999998</v>
      </c>
      <c r="E1706">
        <v>23.603231999999998</v>
      </c>
      <c r="F1706" t="s">
        <v>16</v>
      </c>
      <c r="G1706">
        <v>0.83200000000000007</v>
      </c>
      <c r="H1706">
        <v>19.637889024</v>
      </c>
      <c r="I1706" t="s">
        <v>58</v>
      </c>
      <c r="J1706">
        <v>1.9E-2</v>
      </c>
      <c r="K1706">
        <v>0.373119891456</v>
      </c>
      <c r="L1706" t="s">
        <v>38</v>
      </c>
      <c r="M1706">
        <v>2.7999999999999997E-2</v>
      </c>
      <c r="N1706">
        <v>0.54986089267199989</v>
      </c>
    </row>
    <row r="1707" spans="1:14" x14ac:dyDescent="0.25">
      <c r="A1707" s="23">
        <v>44804</v>
      </c>
      <c r="B1707">
        <v>27.834</v>
      </c>
      <c r="C1707" t="s">
        <v>19</v>
      </c>
      <c r="D1707">
        <v>0.84799999999999998</v>
      </c>
      <c r="E1707">
        <v>23.603231999999998</v>
      </c>
      <c r="F1707" t="s">
        <v>16</v>
      </c>
      <c r="G1707">
        <v>0.83200000000000007</v>
      </c>
      <c r="H1707">
        <v>19.637889024</v>
      </c>
      <c r="L1707" t="s">
        <v>39</v>
      </c>
      <c r="M1707">
        <v>6.9999999999999993E-3</v>
      </c>
      <c r="N1707">
        <v>0.13746522316799997</v>
      </c>
    </row>
    <row r="1708" spans="1:14" x14ac:dyDescent="0.25">
      <c r="A1708" s="23">
        <v>44805</v>
      </c>
      <c r="B1708">
        <v>27.834</v>
      </c>
      <c r="C1708" t="s">
        <v>19</v>
      </c>
      <c r="D1708">
        <v>0.84799999999999998</v>
      </c>
      <c r="E1708">
        <v>23.603231999999998</v>
      </c>
      <c r="F1708" t="s">
        <v>13</v>
      </c>
      <c r="G1708">
        <v>0.83700000000000008</v>
      </c>
      <c r="H1708">
        <v>19.755905184</v>
      </c>
      <c r="I1708" t="s">
        <v>11</v>
      </c>
      <c r="J1708">
        <v>0.16899999999999998</v>
      </c>
      <c r="K1708">
        <v>3.3387479760959997</v>
      </c>
      <c r="L1708" t="s">
        <v>32</v>
      </c>
      <c r="M1708">
        <v>0.04</v>
      </c>
      <c r="N1708">
        <v>0.79023620736</v>
      </c>
    </row>
    <row r="1709" spans="1:14" x14ac:dyDescent="0.25">
      <c r="A1709" s="23">
        <v>44806</v>
      </c>
      <c r="B1709">
        <v>27.834</v>
      </c>
      <c r="C1709" t="s">
        <v>19</v>
      </c>
      <c r="D1709">
        <v>0.84799999999999998</v>
      </c>
      <c r="E1709">
        <v>23.603231999999998</v>
      </c>
      <c r="F1709" t="s">
        <v>13</v>
      </c>
      <c r="G1709">
        <v>0.83700000000000008</v>
      </c>
      <c r="H1709">
        <v>19.755905184</v>
      </c>
      <c r="I1709" t="s">
        <v>12</v>
      </c>
      <c r="J1709">
        <v>7.4999999999999997E-2</v>
      </c>
      <c r="K1709">
        <v>1.4816928887999998</v>
      </c>
      <c r="L1709" t="s">
        <v>33</v>
      </c>
      <c r="M1709">
        <v>8.900000000000001E-2</v>
      </c>
      <c r="N1709">
        <v>1.7582755613760002</v>
      </c>
    </row>
    <row r="1710" spans="1:14" x14ac:dyDescent="0.25">
      <c r="A1710" s="23">
        <v>44807</v>
      </c>
      <c r="B1710">
        <v>27.834</v>
      </c>
      <c r="C1710" t="s">
        <v>19</v>
      </c>
      <c r="D1710">
        <v>0.84799999999999998</v>
      </c>
      <c r="E1710">
        <v>23.603231999999998</v>
      </c>
      <c r="F1710" t="s">
        <v>13</v>
      </c>
      <c r="G1710">
        <v>0.83700000000000008</v>
      </c>
      <c r="H1710">
        <v>19.755905184</v>
      </c>
      <c r="I1710" t="s">
        <v>7</v>
      </c>
      <c r="J1710">
        <v>0.16399999999999998</v>
      </c>
      <c r="K1710">
        <v>3.2399684501759993</v>
      </c>
      <c r="L1710" t="s">
        <v>34</v>
      </c>
      <c r="M1710">
        <v>0.11599999999999999</v>
      </c>
      <c r="N1710">
        <v>2.2916850013439998</v>
      </c>
    </row>
    <row r="1711" spans="1:14" x14ac:dyDescent="0.25">
      <c r="A1711" s="23">
        <v>44808</v>
      </c>
      <c r="B1711">
        <v>27.834</v>
      </c>
      <c r="C1711" t="s">
        <v>19</v>
      </c>
      <c r="D1711">
        <v>0.84799999999999998</v>
      </c>
      <c r="E1711">
        <v>23.603231999999998</v>
      </c>
      <c r="F1711" t="s">
        <v>13</v>
      </c>
      <c r="G1711">
        <v>0.83700000000000008</v>
      </c>
      <c r="H1711">
        <v>19.755905184</v>
      </c>
      <c r="I1711" t="s">
        <v>8</v>
      </c>
      <c r="J1711">
        <v>0.39700000000000002</v>
      </c>
      <c r="K1711">
        <v>7.8430943580479999</v>
      </c>
      <c r="L1711" t="s">
        <v>35</v>
      </c>
      <c r="M1711">
        <v>0.31</v>
      </c>
      <c r="N1711">
        <v>6.1243306070400001</v>
      </c>
    </row>
    <row r="1712" spans="1:14" x14ac:dyDescent="0.25">
      <c r="A1712" s="23">
        <v>44809</v>
      </c>
      <c r="B1712">
        <v>27.834</v>
      </c>
      <c r="C1712" t="s">
        <v>19</v>
      </c>
      <c r="D1712">
        <v>0.84799999999999998</v>
      </c>
      <c r="E1712">
        <v>23.603231999999998</v>
      </c>
      <c r="F1712" t="s">
        <v>13</v>
      </c>
      <c r="G1712">
        <v>0.83700000000000008</v>
      </c>
      <c r="H1712">
        <v>19.755905184</v>
      </c>
      <c r="I1712" t="s">
        <v>10</v>
      </c>
      <c r="J1712">
        <v>3.1E-2</v>
      </c>
      <c r="K1712">
        <v>0.61243306070399994</v>
      </c>
      <c r="L1712" t="s">
        <v>36</v>
      </c>
      <c r="M1712">
        <v>0.23499999999999999</v>
      </c>
      <c r="N1712">
        <v>4.6426377182399996</v>
      </c>
    </row>
    <row r="1713" spans="1:14" x14ac:dyDescent="0.25">
      <c r="A1713" s="23">
        <v>44810</v>
      </c>
      <c r="B1713">
        <v>27.834</v>
      </c>
      <c r="C1713" t="s">
        <v>19</v>
      </c>
      <c r="D1713">
        <v>0.84799999999999998</v>
      </c>
      <c r="E1713">
        <v>23.603231999999998</v>
      </c>
      <c r="F1713" t="s">
        <v>13</v>
      </c>
      <c r="G1713">
        <v>0.83700000000000008</v>
      </c>
      <c r="H1713">
        <v>19.755905184</v>
      </c>
      <c r="I1713" t="s">
        <v>9</v>
      </c>
      <c r="J1713">
        <v>0.14000000000000001</v>
      </c>
      <c r="K1713">
        <v>2.7658267257600002</v>
      </c>
      <c r="L1713" t="s">
        <v>37</v>
      </c>
      <c r="M1713">
        <v>0.16800000000000001</v>
      </c>
      <c r="N1713">
        <v>3.318992070912</v>
      </c>
    </row>
    <row r="1714" spans="1:14" x14ac:dyDescent="0.25">
      <c r="A1714" s="23">
        <v>44811</v>
      </c>
      <c r="B1714">
        <v>27.834</v>
      </c>
      <c r="C1714" t="s">
        <v>19</v>
      </c>
      <c r="D1714">
        <v>0.84799999999999998</v>
      </c>
      <c r="E1714">
        <v>23.603231999999998</v>
      </c>
      <c r="F1714" t="s">
        <v>13</v>
      </c>
      <c r="G1714">
        <v>0.83700000000000008</v>
      </c>
      <c r="H1714">
        <v>19.755905184</v>
      </c>
      <c r="I1714" t="s">
        <v>58</v>
      </c>
      <c r="J1714">
        <v>2.6000000000000002E-2</v>
      </c>
      <c r="K1714">
        <v>0.513653534784</v>
      </c>
      <c r="L1714" t="s">
        <v>38</v>
      </c>
      <c r="M1714">
        <v>2.7000000000000003E-2</v>
      </c>
      <c r="N1714">
        <v>0.53340943996800005</v>
      </c>
    </row>
    <row r="1715" spans="1:14" x14ac:dyDescent="0.25">
      <c r="A1715" s="23">
        <v>44812</v>
      </c>
      <c r="B1715">
        <v>27.834</v>
      </c>
      <c r="C1715" t="s">
        <v>19</v>
      </c>
      <c r="D1715">
        <v>0.84799999999999998</v>
      </c>
      <c r="E1715">
        <v>23.603231999999998</v>
      </c>
      <c r="F1715" t="s">
        <v>13</v>
      </c>
      <c r="G1715">
        <v>0.83700000000000008</v>
      </c>
      <c r="H1715">
        <v>19.755905184</v>
      </c>
      <c r="L1715" t="s">
        <v>39</v>
      </c>
      <c r="M1715">
        <v>1.4999999999999999E-2</v>
      </c>
      <c r="N1715">
        <v>0.29633857776</v>
      </c>
    </row>
    <row r="1716" spans="1:14" x14ac:dyDescent="0.25">
      <c r="A1716" s="23">
        <v>44813</v>
      </c>
      <c r="B1716">
        <v>27.834</v>
      </c>
      <c r="C1716" t="s">
        <v>19</v>
      </c>
      <c r="D1716">
        <v>0.84799999999999998</v>
      </c>
      <c r="E1716">
        <v>23.603231999999998</v>
      </c>
      <c r="F1716" t="s">
        <v>17</v>
      </c>
      <c r="G1716">
        <v>0.90500000000000003</v>
      </c>
      <c r="H1716">
        <v>21.360924959999998</v>
      </c>
      <c r="I1716" t="s">
        <v>11</v>
      </c>
      <c r="J1716">
        <v>0.21199999999999999</v>
      </c>
      <c r="K1716">
        <v>4.5285160915199993</v>
      </c>
      <c r="L1716" t="s">
        <v>32</v>
      </c>
      <c r="M1716">
        <v>4.4999999999999998E-2</v>
      </c>
      <c r="N1716">
        <v>0.96124162319999984</v>
      </c>
    </row>
    <row r="1717" spans="1:14" x14ac:dyDescent="0.25">
      <c r="A1717" s="23">
        <v>44814</v>
      </c>
      <c r="B1717">
        <v>27.834</v>
      </c>
      <c r="C1717" t="s">
        <v>19</v>
      </c>
      <c r="D1717">
        <v>0.84799999999999998</v>
      </c>
      <c r="E1717">
        <v>23.603231999999998</v>
      </c>
      <c r="F1717" t="s">
        <v>17</v>
      </c>
      <c r="G1717">
        <v>0.90500000000000003</v>
      </c>
      <c r="H1717">
        <v>21.360924959999998</v>
      </c>
      <c r="I1717" t="s">
        <v>12</v>
      </c>
      <c r="J1717">
        <v>4.2000000000000003E-2</v>
      </c>
      <c r="K1717">
        <v>0.89715884832000004</v>
      </c>
      <c r="L1717" t="s">
        <v>33</v>
      </c>
      <c r="M1717">
        <v>7.4999999999999997E-2</v>
      </c>
      <c r="N1717">
        <v>1.6020693719999999</v>
      </c>
    </row>
    <row r="1718" spans="1:14" x14ac:dyDescent="0.25">
      <c r="A1718" s="23">
        <v>44815</v>
      </c>
      <c r="B1718">
        <v>27.834</v>
      </c>
      <c r="C1718" t="s">
        <v>19</v>
      </c>
      <c r="D1718">
        <v>0.84799999999999998</v>
      </c>
      <c r="E1718">
        <v>23.603231999999998</v>
      </c>
      <c r="F1718" t="s">
        <v>17</v>
      </c>
      <c r="G1718">
        <v>0.90500000000000003</v>
      </c>
      <c r="H1718">
        <v>21.360924959999998</v>
      </c>
      <c r="I1718" t="s">
        <v>7</v>
      </c>
      <c r="J1718">
        <v>0.33200000000000002</v>
      </c>
      <c r="K1718">
        <v>7.0918270867199995</v>
      </c>
      <c r="L1718" t="s">
        <v>34</v>
      </c>
      <c r="M1718">
        <v>0.192</v>
      </c>
      <c r="N1718">
        <v>4.1012975923199999</v>
      </c>
    </row>
    <row r="1719" spans="1:14" x14ac:dyDescent="0.25">
      <c r="A1719" s="23">
        <v>44816</v>
      </c>
      <c r="B1719">
        <v>27.834</v>
      </c>
      <c r="C1719" t="s">
        <v>19</v>
      </c>
      <c r="D1719">
        <v>0.84799999999999998</v>
      </c>
      <c r="E1719">
        <v>23.603231999999998</v>
      </c>
      <c r="F1719" t="s">
        <v>17</v>
      </c>
      <c r="G1719">
        <v>0.90500000000000003</v>
      </c>
      <c r="H1719">
        <v>21.360924959999998</v>
      </c>
      <c r="I1719" t="s">
        <v>8</v>
      </c>
      <c r="J1719">
        <v>0.23</v>
      </c>
      <c r="K1719">
        <v>4.9130127408000002</v>
      </c>
      <c r="L1719" t="s">
        <v>35</v>
      </c>
      <c r="M1719">
        <v>0.33500000000000002</v>
      </c>
      <c r="N1719">
        <v>7.1559098615999996</v>
      </c>
    </row>
    <row r="1720" spans="1:14" x14ac:dyDescent="0.25">
      <c r="A1720" s="23">
        <v>44817</v>
      </c>
      <c r="B1720">
        <v>27.834</v>
      </c>
      <c r="C1720" t="s">
        <v>19</v>
      </c>
      <c r="D1720">
        <v>0.84799999999999998</v>
      </c>
      <c r="E1720">
        <v>23.603231999999998</v>
      </c>
      <c r="F1720" t="s">
        <v>17</v>
      </c>
      <c r="G1720">
        <v>0.90500000000000003</v>
      </c>
      <c r="H1720">
        <v>21.360924959999998</v>
      </c>
      <c r="I1720" t="s">
        <v>10</v>
      </c>
      <c r="J1720">
        <v>0.03</v>
      </c>
      <c r="K1720">
        <v>0.64082774879999993</v>
      </c>
      <c r="L1720" t="s">
        <v>36</v>
      </c>
      <c r="M1720">
        <v>0.20699999999999999</v>
      </c>
      <c r="N1720">
        <v>4.4217114667199997</v>
      </c>
    </row>
    <row r="1721" spans="1:14" x14ac:dyDescent="0.25">
      <c r="A1721" s="23">
        <v>44818</v>
      </c>
      <c r="B1721">
        <v>27.834</v>
      </c>
      <c r="C1721" t="s">
        <v>19</v>
      </c>
      <c r="D1721">
        <v>0.84799999999999998</v>
      </c>
      <c r="E1721">
        <v>23.603231999999998</v>
      </c>
      <c r="F1721" t="s">
        <v>17</v>
      </c>
      <c r="G1721">
        <v>0.90500000000000003</v>
      </c>
      <c r="H1721">
        <v>21.360924959999998</v>
      </c>
      <c r="I1721" t="s">
        <v>9</v>
      </c>
      <c r="J1721">
        <v>0.13300000000000001</v>
      </c>
      <c r="K1721">
        <v>2.84100301968</v>
      </c>
      <c r="L1721" t="s">
        <v>37</v>
      </c>
      <c r="M1721">
        <v>0.13300000000000001</v>
      </c>
      <c r="N1721">
        <v>2.84100301968</v>
      </c>
    </row>
    <row r="1722" spans="1:14" x14ac:dyDescent="0.25">
      <c r="A1722" s="23">
        <v>44819</v>
      </c>
      <c r="B1722">
        <v>27.834</v>
      </c>
      <c r="C1722" t="s">
        <v>19</v>
      </c>
      <c r="D1722">
        <v>0.84799999999999998</v>
      </c>
      <c r="E1722">
        <v>23.603231999999998</v>
      </c>
      <c r="F1722" t="s">
        <v>17</v>
      </c>
      <c r="G1722">
        <v>0.90500000000000003</v>
      </c>
      <c r="H1722">
        <v>21.360924959999998</v>
      </c>
      <c r="I1722" t="s">
        <v>58</v>
      </c>
      <c r="J1722">
        <v>0.02</v>
      </c>
      <c r="K1722">
        <v>0.42721849919999999</v>
      </c>
      <c r="L1722" t="s">
        <v>38</v>
      </c>
      <c r="M1722">
        <v>0.01</v>
      </c>
      <c r="N1722">
        <v>0.2136092496</v>
      </c>
    </row>
    <row r="1723" spans="1:14" x14ac:dyDescent="0.25">
      <c r="A1723" s="23">
        <v>44820</v>
      </c>
      <c r="B1723">
        <v>27.834</v>
      </c>
      <c r="C1723" t="s">
        <v>19</v>
      </c>
      <c r="D1723">
        <v>0.84799999999999998</v>
      </c>
      <c r="E1723">
        <v>23.603231999999998</v>
      </c>
      <c r="F1723" t="s">
        <v>17</v>
      </c>
      <c r="G1723">
        <v>0.90500000000000003</v>
      </c>
      <c r="H1723">
        <v>21.360924959999998</v>
      </c>
      <c r="L1723" t="s">
        <v>39</v>
      </c>
      <c r="M1723">
        <v>3.0000000000000001E-3</v>
      </c>
      <c r="N1723">
        <v>6.4082774879999999E-2</v>
      </c>
    </row>
    <row r="1724" spans="1:14" x14ac:dyDescent="0.25">
      <c r="A1724" s="23">
        <v>44821</v>
      </c>
      <c r="B1724">
        <v>27.834</v>
      </c>
      <c r="C1724" t="s">
        <v>19</v>
      </c>
      <c r="D1724">
        <v>0.84799999999999998</v>
      </c>
      <c r="E1724">
        <v>23.603231999999998</v>
      </c>
      <c r="F1724" t="s">
        <v>18</v>
      </c>
      <c r="G1724">
        <v>0.90500000000000003</v>
      </c>
      <c r="H1724">
        <v>21.360924959999998</v>
      </c>
      <c r="I1724" t="s">
        <v>11</v>
      </c>
      <c r="J1724">
        <v>0.19800000000000001</v>
      </c>
      <c r="K1724">
        <v>4.2294631420800002</v>
      </c>
      <c r="L1724" t="s">
        <v>32</v>
      </c>
      <c r="M1724">
        <v>5.7000000000000002E-2</v>
      </c>
      <c r="N1724">
        <v>1.2175727227199999</v>
      </c>
    </row>
    <row r="1725" spans="1:14" x14ac:dyDescent="0.25">
      <c r="A1725" s="23">
        <v>44822</v>
      </c>
      <c r="B1725">
        <v>27.834</v>
      </c>
      <c r="C1725" t="s">
        <v>19</v>
      </c>
      <c r="D1725">
        <v>0.84799999999999998</v>
      </c>
      <c r="E1725">
        <v>23.603231999999998</v>
      </c>
      <c r="F1725" t="s">
        <v>18</v>
      </c>
      <c r="G1725">
        <v>0.90500000000000003</v>
      </c>
      <c r="H1725">
        <v>21.360924959999998</v>
      </c>
      <c r="I1725" t="s">
        <v>12</v>
      </c>
      <c r="J1725">
        <v>9.1999999999999998E-2</v>
      </c>
      <c r="K1725">
        <v>1.9652050963199998</v>
      </c>
      <c r="L1725" t="s">
        <v>33</v>
      </c>
      <c r="M1725">
        <v>0.128</v>
      </c>
      <c r="N1725">
        <v>2.7341983948799999</v>
      </c>
    </row>
    <row r="1726" spans="1:14" x14ac:dyDescent="0.25">
      <c r="A1726" s="23">
        <v>44823</v>
      </c>
      <c r="B1726">
        <v>27.834</v>
      </c>
      <c r="C1726" t="s">
        <v>19</v>
      </c>
      <c r="D1726">
        <v>0.84799999999999998</v>
      </c>
      <c r="E1726">
        <v>23.603231999999998</v>
      </c>
      <c r="F1726" t="s">
        <v>18</v>
      </c>
      <c r="G1726">
        <v>0.90500000000000003</v>
      </c>
      <c r="H1726">
        <v>21.360924959999998</v>
      </c>
      <c r="I1726" t="s">
        <v>7</v>
      </c>
      <c r="J1726">
        <v>0.17800000000000002</v>
      </c>
      <c r="K1726">
        <v>3.8022446428800003</v>
      </c>
      <c r="L1726" t="s">
        <v>34</v>
      </c>
      <c r="M1726">
        <v>0.14400000000000002</v>
      </c>
      <c r="N1726">
        <v>3.0759731942399999</v>
      </c>
    </row>
    <row r="1727" spans="1:14" x14ac:dyDescent="0.25">
      <c r="A1727" s="23">
        <v>44824</v>
      </c>
      <c r="B1727">
        <v>27.834</v>
      </c>
      <c r="C1727" t="s">
        <v>19</v>
      </c>
      <c r="D1727">
        <v>0.84799999999999998</v>
      </c>
      <c r="E1727">
        <v>23.603231999999998</v>
      </c>
      <c r="F1727" t="s">
        <v>18</v>
      </c>
      <c r="G1727">
        <v>0.90500000000000003</v>
      </c>
      <c r="H1727">
        <v>21.360924959999998</v>
      </c>
      <c r="I1727" t="s">
        <v>8</v>
      </c>
      <c r="J1727">
        <v>0.39899999999999997</v>
      </c>
      <c r="K1727">
        <v>8.5230090590399978</v>
      </c>
      <c r="L1727" t="s">
        <v>35</v>
      </c>
      <c r="M1727">
        <v>0.28399999999999997</v>
      </c>
      <c r="N1727">
        <v>6.0665026886399991</v>
      </c>
    </row>
    <row r="1728" spans="1:14" x14ac:dyDescent="0.25">
      <c r="A1728" s="23">
        <v>44825</v>
      </c>
      <c r="B1728">
        <v>27.834</v>
      </c>
      <c r="C1728" t="s">
        <v>19</v>
      </c>
      <c r="D1728">
        <v>0.84799999999999998</v>
      </c>
      <c r="E1728">
        <v>23.603231999999998</v>
      </c>
      <c r="F1728" t="s">
        <v>18</v>
      </c>
      <c r="G1728">
        <v>0.90500000000000003</v>
      </c>
      <c r="H1728">
        <v>21.360924959999998</v>
      </c>
      <c r="I1728" t="s">
        <v>10</v>
      </c>
      <c r="J1728">
        <v>2.8999999999999998E-2</v>
      </c>
      <c r="K1728">
        <v>0.61946682383999996</v>
      </c>
      <c r="L1728" t="s">
        <v>36</v>
      </c>
      <c r="M1728">
        <v>0.19600000000000001</v>
      </c>
      <c r="N1728">
        <v>4.1867412921599998</v>
      </c>
    </row>
    <row r="1729" spans="1:14" x14ac:dyDescent="0.25">
      <c r="A1729" s="23">
        <v>44826</v>
      </c>
      <c r="B1729">
        <v>27.834</v>
      </c>
      <c r="C1729" t="s">
        <v>19</v>
      </c>
      <c r="D1729">
        <v>0.84799999999999998</v>
      </c>
      <c r="E1729">
        <v>23.603231999999998</v>
      </c>
      <c r="F1729" t="s">
        <v>18</v>
      </c>
      <c r="G1729">
        <v>0.90500000000000003</v>
      </c>
      <c r="H1729">
        <v>21.360924959999998</v>
      </c>
      <c r="I1729" t="s">
        <v>9</v>
      </c>
      <c r="J1729">
        <v>8.4000000000000005E-2</v>
      </c>
      <c r="K1729">
        <v>1.7943176966400001</v>
      </c>
      <c r="L1729" t="s">
        <v>37</v>
      </c>
      <c r="M1729">
        <v>0.14300000000000002</v>
      </c>
      <c r="N1729">
        <v>3.0546122692800002</v>
      </c>
    </row>
    <row r="1730" spans="1:14" x14ac:dyDescent="0.25">
      <c r="A1730" s="23">
        <v>44827</v>
      </c>
      <c r="B1730">
        <v>27.834</v>
      </c>
      <c r="C1730" t="s">
        <v>19</v>
      </c>
      <c r="D1730">
        <v>0.84799999999999998</v>
      </c>
      <c r="E1730">
        <v>23.603231999999998</v>
      </c>
      <c r="F1730" t="s">
        <v>18</v>
      </c>
      <c r="G1730">
        <v>0.90500000000000003</v>
      </c>
      <c r="H1730">
        <v>21.360924959999998</v>
      </c>
      <c r="I1730" t="s">
        <v>58</v>
      </c>
      <c r="J1730">
        <v>0.02</v>
      </c>
      <c r="K1730">
        <v>0.42721849919999999</v>
      </c>
      <c r="L1730" t="s">
        <v>38</v>
      </c>
      <c r="M1730">
        <v>2.7999999999999997E-2</v>
      </c>
      <c r="N1730">
        <v>0.59810589887999988</v>
      </c>
    </row>
    <row r="1731" spans="1:14" x14ac:dyDescent="0.25">
      <c r="A1731" s="23">
        <v>44828</v>
      </c>
      <c r="B1731">
        <v>27.834</v>
      </c>
      <c r="C1731" t="s">
        <v>19</v>
      </c>
      <c r="D1731">
        <v>0.84799999999999998</v>
      </c>
      <c r="E1731">
        <v>23.603231999999998</v>
      </c>
      <c r="F1731" t="s">
        <v>18</v>
      </c>
      <c r="G1731">
        <v>0.90500000000000003</v>
      </c>
      <c r="H1731">
        <v>21.360924959999998</v>
      </c>
      <c r="L1731" t="s">
        <v>39</v>
      </c>
      <c r="M1731">
        <v>1.9E-2</v>
      </c>
      <c r="N1731">
        <v>0.40585757423999996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M136"/>
  <sheetViews>
    <sheetView topLeftCell="A3" workbookViewId="0">
      <selection activeCell="B3" sqref="B3"/>
    </sheetView>
  </sheetViews>
  <sheetFormatPr defaultRowHeight="13.2" x14ac:dyDescent="0.25"/>
  <cols>
    <col min="1" max="1" width="11.5546875" customWidth="1"/>
    <col min="2" max="2" width="11.6640625" customWidth="1"/>
    <col min="3" max="3" width="11.5546875" style="13" customWidth="1"/>
    <col min="4" max="4" width="14.77734375" customWidth="1"/>
    <col min="5" max="5" width="18.109375" customWidth="1"/>
    <col min="6" max="6" width="10.77734375" customWidth="1"/>
    <col min="7" max="7" width="14.44140625" customWidth="1"/>
    <col min="8" max="8" width="17.88671875" customWidth="1"/>
    <col min="9" max="9" width="12.77734375" customWidth="1"/>
    <col min="10" max="10" width="13.44140625" customWidth="1"/>
    <col min="11" max="11" width="10.6640625" customWidth="1"/>
    <col min="12" max="12" width="15" customWidth="1"/>
    <col min="13" max="13" width="23.77734375" customWidth="1"/>
    <col min="14" max="22" width="14.77734375" customWidth="1"/>
  </cols>
  <sheetData>
    <row r="1" spans="1:13" s="3" customFormat="1" x14ac:dyDescent="0.25">
      <c r="C1" s="9"/>
      <c r="E1" s="21" t="s">
        <v>92</v>
      </c>
      <c r="F1" s="21"/>
      <c r="G1" s="21"/>
      <c r="H1" s="21"/>
      <c r="I1" s="21"/>
      <c r="J1" s="21"/>
    </row>
    <row r="2" spans="1:13" s="2" customFormat="1" ht="66" customHeight="1" x14ac:dyDescent="0.25">
      <c r="A2" s="1" t="s">
        <v>30</v>
      </c>
      <c r="B2" s="2" t="s">
        <v>1</v>
      </c>
      <c r="C2" s="10" t="s">
        <v>57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s">
        <v>31</v>
      </c>
      <c r="L2" s="1" t="s">
        <v>40</v>
      </c>
      <c r="M2" s="1" t="s">
        <v>41</v>
      </c>
    </row>
    <row r="3" spans="1:13" s="2" customFormat="1" ht="45" customHeight="1" x14ac:dyDescent="0.25">
      <c r="A3" s="4">
        <v>27.834</v>
      </c>
      <c r="B3" s="4" t="s">
        <v>2</v>
      </c>
      <c r="C3" s="11">
        <f>15.2/100</f>
        <v>0.152</v>
      </c>
      <c r="D3" s="6">
        <f>C3*A3</f>
        <v>4.2307679999999994</v>
      </c>
      <c r="E3" s="6" t="s">
        <v>14</v>
      </c>
      <c r="F3" s="11">
        <f>20/100</f>
        <v>0.2</v>
      </c>
      <c r="G3" s="5">
        <f>D3*F3</f>
        <v>0.84615359999999995</v>
      </c>
      <c r="H3" s="6" t="s">
        <v>11</v>
      </c>
      <c r="I3" s="6">
        <f>8.1/100</f>
        <v>8.1000000000000003E-2</v>
      </c>
      <c r="J3" s="7">
        <f>I3*G3</f>
        <v>6.85384416E-2</v>
      </c>
      <c r="K3" s="2" t="s">
        <v>32</v>
      </c>
      <c r="L3" s="2">
        <f>1.1/100</f>
        <v>1.1000000000000001E-2</v>
      </c>
      <c r="M3" s="2">
        <f>L3*G3</f>
        <v>9.3076896000000003E-3</v>
      </c>
    </row>
    <row r="4" spans="1:13" ht="31.2" customHeight="1" x14ac:dyDescent="0.25">
      <c r="A4" s="4">
        <v>27.834</v>
      </c>
      <c r="B4" s="4" t="s">
        <v>2</v>
      </c>
      <c r="C4" s="11">
        <f t="shared" ref="C4:C50" si="0">15.2/100</f>
        <v>0.152</v>
      </c>
      <c r="D4" s="6">
        <f>C4*A4</f>
        <v>4.2307679999999994</v>
      </c>
      <c r="E4" s="6" t="s">
        <v>43</v>
      </c>
      <c r="F4" s="11">
        <f t="shared" ref="F4:F10" si="1">20/100</f>
        <v>0.2</v>
      </c>
      <c r="G4" s="5">
        <f>D4*F4</f>
        <v>0.84615359999999995</v>
      </c>
      <c r="H4" s="6" t="s">
        <v>12</v>
      </c>
      <c r="I4" s="6">
        <f>3.2/100</f>
        <v>3.2000000000000001E-2</v>
      </c>
      <c r="J4" s="8">
        <f>G4*I4</f>
        <v>2.7076915199999999E-2</v>
      </c>
      <c r="K4" s="2" t="s">
        <v>33</v>
      </c>
      <c r="L4" s="2">
        <f>4.7/100</f>
        <v>4.7E-2</v>
      </c>
      <c r="M4" s="2">
        <f t="shared" ref="M4:M10" si="2">L4*G4</f>
        <v>3.9769219199999997E-2</v>
      </c>
    </row>
    <row r="5" spans="1:13" ht="31.2" customHeight="1" x14ac:dyDescent="0.25">
      <c r="A5" s="4">
        <v>27.834</v>
      </c>
      <c r="B5" s="4" t="s">
        <v>2</v>
      </c>
      <c r="C5" s="11">
        <f t="shared" si="0"/>
        <v>0.152</v>
      </c>
      <c r="D5" s="6">
        <f t="shared" ref="D5:D91" si="3">C5*A5</f>
        <v>4.2307679999999994</v>
      </c>
      <c r="E5" s="6" t="s">
        <v>14</v>
      </c>
      <c r="F5" s="11">
        <f t="shared" si="1"/>
        <v>0.2</v>
      </c>
      <c r="G5" s="5">
        <f t="shared" ref="G5:G10" si="4">D5*F5</f>
        <v>0.84615359999999995</v>
      </c>
      <c r="H5" s="6" t="s">
        <v>7</v>
      </c>
      <c r="I5" s="6">
        <f>4.9/100</f>
        <v>4.9000000000000002E-2</v>
      </c>
      <c r="J5" s="8">
        <f>G5*I5</f>
        <v>4.1461526399999997E-2</v>
      </c>
      <c r="K5" s="2" t="s">
        <v>34</v>
      </c>
      <c r="L5" s="2">
        <f>9.2/100</f>
        <v>9.1999999999999998E-2</v>
      </c>
      <c r="M5" s="2">
        <f t="shared" si="2"/>
        <v>7.7846131199999988E-2</v>
      </c>
    </row>
    <row r="6" spans="1:13" ht="31.2" customHeight="1" x14ac:dyDescent="0.25">
      <c r="A6" s="4">
        <v>27.834</v>
      </c>
      <c r="B6" s="4" t="s">
        <v>2</v>
      </c>
      <c r="C6" s="11">
        <f t="shared" si="0"/>
        <v>0.152</v>
      </c>
      <c r="D6" s="6">
        <f t="shared" si="3"/>
        <v>4.2307679999999994</v>
      </c>
      <c r="E6" s="6" t="s">
        <v>14</v>
      </c>
      <c r="F6" s="11">
        <f t="shared" si="1"/>
        <v>0.2</v>
      </c>
      <c r="G6" s="5">
        <f t="shared" si="4"/>
        <v>0.84615359999999995</v>
      </c>
      <c r="H6" s="6" t="s">
        <v>8</v>
      </c>
      <c r="I6" s="6">
        <f>28.5/100</f>
        <v>0.28499999999999998</v>
      </c>
      <c r="J6" s="8">
        <f>G6*I6</f>
        <v>0.24115377599999996</v>
      </c>
      <c r="K6" s="2" t="s">
        <v>35</v>
      </c>
      <c r="L6" s="2">
        <f>27.1/100</f>
        <v>0.27100000000000002</v>
      </c>
      <c r="M6" s="2">
        <f t="shared" si="2"/>
        <v>0.22930762560000001</v>
      </c>
    </row>
    <row r="7" spans="1:13" ht="31.2" customHeight="1" x14ac:dyDescent="0.25">
      <c r="A7" s="4">
        <v>27.834</v>
      </c>
      <c r="B7" s="4" t="s">
        <v>2</v>
      </c>
      <c r="C7" s="11">
        <f t="shared" si="0"/>
        <v>0.152</v>
      </c>
      <c r="D7" s="6">
        <f t="shared" si="3"/>
        <v>4.2307679999999994</v>
      </c>
      <c r="E7" s="6" t="s">
        <v>14</v>
      </c>
      <c r="F7" s="11">
        <f t="shared" si="1"/>
        <v>0.2</v>
      </c>
      <c r="G7" s="5">
        <f t="shared" si="4"/>
        <v>0.84615359999999995</v>
      </c>
      <c r="H7" s="6" t="s">
        <v>10</v>
      </c>
      <c r="I7" s="6">
        <f>6.5/100</f>
        <v>6.5000000000000002E-2</v>
      </c>
      <c r="J7" s="8">
        <f>G7*I7</f>
        <v>5.4999984000000002E-2</v>
      </c>
      <c r="K7" s="2" t="s">
        <v>36</v>
      </c>
      <c r="L7" s="2">
        <f>27.3/100</f>
        <v>0.27300000000000002</v>
      </c>
      <c r="M7" s="2">
        <f t="shared" si="2"/>
        <v>0.2309999328</v>
      </c>
    </row>
    <row r="8" spans="1:13" ht="31.2" customHeight="1" x14ac:dyDescent="0.25">
      <c r="A8" s="4">
        <v>27.834</v>
      </c>
      <c r="B8" s="4" t="s">
        <v>2</v>
      </c>
      <c r="C8" s="11">
        <f t="shared" si="0"/>
        <v>0.152</v>
      </c>
      <c r="D8" s="6">
        <f>C8*A8</f>
        <v>4.2307679999999994</v>
      </c>
      <c r="E8" s="6" t="s">
        <v>14</v>
      </c>
      <c r="F8" s="11">
        <f t="shared" si="1"/>
        <v>0.2</v>
      </c>
      <c r="G8" s="5">
        <f t="shared" si="4"/>
        <v>0.84615359999999995</v>
      </c>
      <c r="H8" s="6" t="s">
        <v>9</v>
      </c>
      <c r="I8" s="6">
        <f>47.6/100</f>
        <v>0.47600000000000003</v>
      </c>
      <c r="J8" s="8">
        <f>G8*I8</f>
        <v>0.40276911360000001</v>
      </c>
      <c r="K8" s="2" t="s">
        <v>37</v>
      </c>
      <c r="L8" s="2">
        <f>28.1/100</f>
        <v>0.28100000000000003</v>
      </c>
      <c r="M8" s="2">
        <f t="shared" si="2"/>
        <v>0.2377691616</v>
      </c>
    </row>
    <row r="9" spans="1:13" ht="31.2" customHeight="1" x14ac:dyDescent="0.25">
      <c r="A9" s="4">
        <v>27.834</v>
      </c>
      <c r="B9" s="4" t="s">
        <v>2</v>
      </c>
      <c r="C9" s="11">
        <f t="shared" si="0"/>
        <v>0.152</v>
      </c>
      <c r="D9" s="6">
        <f t="shared" si="3"/>
        <v>4.2307679999999994</v>
      </c>
      <c r="E9" s="6" t="s">
        <v>14</v>
      </c>
      <c r="F9" s="11">
        <f t="shared" si="1"/>
        <v>0.2</v>
      </c>
      <c r="G9" s="5">
        <f t="shared" si="4"/>
        <v>0.84615359999999995</v>
      </c>
      <c r="H9" s="6" t="s">
        <v>58</v>
      </c>
      <c r="I9" s="6">
        <f>1.2/100</f>
        <v>1.2E-2</v>
      </c>
      <c r="J9" s="8">
        <f t="shared" ref="J9" si="5">I9*G9</f>
        <v>1.01538432E-2</v>
      </c>
      <c r="K9" s="2" t="s">
        <v>38</v>
      </c>
      <c r="L9" s="2">
        <f>2.2/100</f>
        <v>2.2000000000000002E-2</v>
      </c>
      <c r="M9" s="2">
        <f t="shared" si="2"/>
        <v>1.8615379200000001E-2</v>
      </c>
    </row>
    <row r="10" spans="1:13" ht="31.2" customHeight="1" x14ac:dyDescent="0.25">
      <c r="A10" s="4">
        <v>27.834</v>
      </c>
      <c r="B10" s="4" t="s">
        <v>2</v>
      </c>
      <c r="C10" s="11">
        <f t="shared" si="0"/>
        <v>0.152</v>
      </c>
      <c r="D10" s="6">
        <f t="shared" si="3"/>
        <v>4.2307679999999994</v>
      </c>
      <c r="E10" s="6" t="s">
        <v>14</v>
      </c>
      <c r="F10" s="11">
        <f t="shared" si="1"/>
        <v>0.2</v>
      </c>
      <c r="G10" s="5">
        <f t="shared" si="4"/>
        <v>0.84615359999999995</v>
      </c>
      <c r="H10" s="6"/>
      <c r="I10" s="6"/>
      <c r="J10" s="8"/>
      <c r="K10" s="2" t="s">
        <v>39</v>
      </c>
      <c r="L10" s="2">
        <f>0.3/100</f>
        <v>3.0000000000000001E-3</v>
      </c>
      <c r="M10" s="2">
        <f t="shared" si="2"/>
        <v>2.5384608E-3</v>
      </c>
    </row>
    <row r="11" spans="1:13" ht="31.2" customHeight="1" x14ac:dyDescent="0.25">
      <c r="A11" s="4">
        <v>27.834</v>
      </c>
      <c r="B11" s="4" t="s">
        <v>2</v>
      </c>
      <c r="C11" s="11">
        <f t="shared" si="0"/>
        <v>0.152</v>
      </c>
      <c r="D11" s="6">
        <f t="shared" si="3"/>
        <v>4.2307679999999994</v>
      </c>
      <c r="E11" s="6" t="s">
        <v>44</v>
      </c>
      <c r="F11" s="11">
        <f>16/100</f>
        <v>0.16</v>
      </c>
      <c r="G11" s="6">
        <f>F11*D11</f>
        <v>0.67692287999999989</v>
      </c>
      <c r="H11" s="6" t="s">
        <v>11</v>
      </c>
      <c r="I11" s="6">
        <f>3.3/100</f>
        <v>3.3000000000000002E-2</v>
      </c>
      <c r="J11" s="8">
        <f>I11*G11</f>
        <v>2.2338455039999996E-2</v>
      </c>
      <c r="K11" s="2" t="s">
        <v>32</v>
      </c>
      <c r="L11" s="2">
        <f>0/100</f>
        <v>0</v>
      </c>
      <c r="M11" s="2">
        <f>L11*G11</f>
        <v>0</v>
      </c>
    </row>
    <row r="12" spans="1:13" ht="31.2" customHeight="1" x14ac:dyDescent="0.25">
      <c r="A12" s="4">
        <v>27.834</v>
      </c>
      <c r="B12" s="4" t="s">
        <v>2</v>
      </c>
      <c r="C12" s="11">
        <f t="shared" si="0"/>
        <v>0.152</v>
      </c>
      <c r="D12" s="6">
        <f t="shared" si="3"/>
        <v>4.2307679999999994</v>
      </c>
      <c r="E12" s="6" t="s">
        <v>15</v>
      </c>
      <c r="F12" s="11">
        <f t="shared" ref="F12:F18" si="6">16/100</f>
        <v>0.16</v>
      </c>
      <c r="G12" s="6">
        <f t="shared" ref="G12:G18" si="7">F12*D12</f>
        <v>0.67692287999999989</v>
      </c>
      <c r="H12" s="6" t="s">
        <v>12</v>
      </c>
      <c r="I12" s="6">
        <f>6.1/100</f>
        <v>6.0999999999999999E-2</v>
      </c>
      <c r="J12" s="8">
        <f t="shared" ref="J12:J17" si="8">I12*G12</f>
        <v>4.1292295679999994E-2</v>
      </c>
      <c r="K12" s="2" t="s">
        <v>33</v>
      </c>
      <c r="L12" s="2">
        <f>5.1/100</f>
        <v>5.0999999999999997E-2</v>
      </c>
      <c r="M12" s="2">
        <f t="shared" ref="M12:M18" si="9">L12*G12</f>
        <v>3.4523066879999995E-2</v>
      </c>
    </row>
    <row r="13" spans="1:13" ht="31.2" customHeight="1" x14ac:dyDescent="0.25">
      <c r="A13" s="4">
        <v>27.834</v>
      </c>
      <c r="B13" s="4" t="s">
        <v>2</v>
      </c>
      <c r="C13" s="11">
        <f t="shared" si="0"/>
        <v>0.152</v>
      </c>
      <c r="D13" s="6">
        <f t="shared" si="3"/>
        <v>4.2307679999999994</v>
      </c>
      <c r="E13" s="6" t="s">
        <v>15</v>
      </c>
      <c r="F13" s="11">
        <f t="shared" si="6"/>
        <v>0.16</v>
      </c>
      <c r="G13" s="6">
        <f t="shared" si="7"/>
        <v>0.67692287999999989</v>
      </c>
      <c r="H13" s="6" t="s">
        <v>7</v>
      </c>
      <c r="I13" s="6">
        <f>5.1/100</f>
        <v>5.0999999999999997E-2</v>
      </c>
      <c r="J13" s="8">
        <f t="shared" si="8"/>
        <v>3.4523066879999995E-2</v>
      </c>
      <c r="K13" s="2" t="s">
        <v>34</v>
      </c>
      <c r="L13" s="2">
        <f>8.8/100</f>
        <v>8.8000000000000009E-2</v>
      </c>
      <c r="M13" s="2">
        <f t="shared" si="9"/>
        <v>5.9569213439999998E-2</v>
      </c>
    </row>
    <row r="14" spans="1:13" ht="31.2" customHeight="1" x14ac:dyDescent="0.25">
      <c r="A14" s="4">
        <v>27.834</v>
      </c>
      <c r="B14" s="4" t="s">
        <v>2</v>
      </c>
      <c r="C14" s="11">
        <f t="shared" si="0"/>
        <v>0.152</v>
      </c>
      <c r="D14" s="6">
        <f t="shared" si="3"/>
        <v>4.2307679999999994</v>
      </c>
      <c r="E14" s="6" t="s">
        <v>15</v>
      </c>
      <c r="F14" s="11">
        <f t="shared" si="6"/>
        <v>0.16</v>
      </c>
      <c r="G14" s="6">
        <f t="shared" si="7"/>
        <v>0.67692287999999989</v>
      </c>
      <c r="H14" s="6" t="s">
        <v>8</v>
      </c>
      <c r="I14" s="6">
        <f>42.8/100</f>
        <v>0.42799999999999999</v>
      </c>
      <c r="J14" s="8">
        <f>I14*G14</f>
        <v>0.28972299263999995</v>
      </c>
      <c r="K14" s="2" t="s">
        <v>35</v>
      </c>
      <c r="L14" s="2">
        <f>29.7/100</f>
        <v>0.29699999999999999</v>
      </c>
      <c r="M14" s="2">
        <f t="shared" si="9"/>
        <v>0.20104609535999995</v>
      </c>
    </row>
    <row r="15" spans="1:13" ht="31.2" customHeight="1" x14ac:dyDescent="0.25">
      <c r="A15" s="4">
        <v>27.834</v>
      </c>
      <c r="B15" s="4" t="s">
        <v>2</v>
      </c>
      <c r="C15" s="11">
        <f t="shared" si="0"/>
        <v>0.152</v>
      </c>
      <c r="D15" s="6">
        <f t="shared" si="3"/>
        <v>4.2307679999999994</v>
      </c>
      <c r="E15" s="6" t="s">
        <v>15</v>
      </c>
      <c r="F15" s="11">
        <f t="shared" si="6"/>
        <v>0.16</v>
      </c>
      <c r="G15" s="6">
        <f t="shared" si="7"/>
        <v>0.67692287999999989</v>
      </c>
      <c r="H15" s="6" t="s">
        <v>10</v>
      </c>
      <c r="I15" s="6">
        <f>4.5/100</f>
        <v>4.4999999999999998E-2</v>
      </c>
      <c r="J15" s="8">
        <f t="shared" si="8"/>
        <v>3.0461529599999995E-2</v>
      </c>
      <c r="K15" s="2" t="s">
        <v>36</v>
      </c>
      <c r="L15" s="2">
        <f>26.1/100</f>
        <v>0.26100000000000001</v>
      </c>
      <c r="M15" s="2">
        <f t="shared" si="9"/>
        <v>0.17667687167999999</v>
      </c>
    </row>
    <row r="16" spans="1:13" ht="31.2" customHeight="1" x14ac:dyDescent="0.25">
      <c r="A16" s="4">
        <v>27.834</v>
      </c>
      <c r="B16" s="4" t="s">
        <v>2</v>
      </c>
      <c r="C16" s="11">
        <f t="shared" si="0"/>
        <v>0.152</v>
      </c>
      <c r="D16" s="6">
        <f t="shared" si="3"/>
        <v>4.2307679999999994</v>
      </c>
      <c r="E16" s="6" t="s">
        <v>15</v>
      </c>
      <c r="F16" s="11">
        <f t="shared" si="6"/>
        <v>0.16</v>
      </c>
      <c r="G16" s="6">
        <f t="shared" si="7"/>
        <v>0.67692287999999989</v>
      </c>
      <c r="H16" s="6" t="s">
        <v>9</v>
      </c>
      <c r="I16" s="6">
        <f>36.3/100</f>
        <v>0.36299999999999999</v>
      </c>
      <c r="J16" s="8">
        <f t="shared" si="8"/>
        <v>0.24572300543999995</v>
      </c>
      <c r="K16" s="2" t="s">
        <v>37</v>
      </c>
      <c r="L16" s="2">
        <f>30.3/100</f>
        <v>0.30299999999999999</v>
      </c>
      <c r="M16" s="2">
        <f t="shared" si="9"/>
        <v>0.20510763263999995</v>
      </c>
    </row>
    <row r="17" spans="1:13" ht="31.2" customHeight="1" x14ac:dyDescent="0.25">
      <c r="A17" s="4">
        <v>27.834</v>
      </c>
      <c r="B17" s="4" t="s">
        <v>2</v>
      </c>
      <c r="C17" s="11">
        <f t="shared" si="0"/>
        <v>0.152</v>
      </c>
      <c r="D17" s="6">
        <f t="shared" si="3"/>
        <v>4.2307679999999994</v>
      </c>
      <c r="E17" s="6" t="s">
        <v>15</v>
      </c>
      <c r="F17" s="11">
        <f t="shared" si="6"/>
        <v>0.16</v>
      </c>
      <c r="G17" s="6">
        <f t="shared" si="7"/>
        <v>0.67692287999999989</v>
      </c>
      <c r="H17" s="6" t="s">
        <v>58</v>
      </c>
      <c r="I17" s="6">
        <f>1.8/100</f>
        <v>1.8000000000000002E-2</v>
      </c>
      <c r="J17" s="8">
        <f t="shared" si="8"/>
        <v>1.218461184E-2</v>
      </c>
      <c r="K17" s="2" t="s">
        <v>38</v>
      </c>
      <c r="L17" s="2">
        <f>0/100</f>
        <v>0</v>
      </c>
      <c r="M17" s="2">
        <f t="shared" si="9"/>
        <v>0</v>
      </c>
    </row>
    <row r="18" spans="1:13" ht="31.2" customHeight="1" x14ac:dyDescent="0.25">
      <c r="A18" s="4">
        <v>27.834</v>
      </c>
      <c r="B18" s="4" t="s">
        <v>2</v>
      </c>
      <c r="C18" s="11">
        <f t="shared" si="0"/>
        <v>0.152</v>
      </c>
      <c r="D18" s="6">
        <f t="shared" si="3"/>
        <v>4.2307679999999994</v>
      </c>
      <c r="E18" s="6" t="s">
        <v>15</v>
      </c>
      <c r="F18" s="11">
        <f t="shared" si="6"/>
        <v>0.16</v>
      </c>
      <c r="G18" s="6">
        <f t="shared" si="7"/>
        <v>0.67692287999999989</v>
      </c>
      <c r="H18" s="6"/>
      <c r="I18" s="6"/>
      <c r="J18" s="8"/>
      <c r="K18" s="2" t="s">
        <v>39</v>
      </c>
      <c r="L18" s="2">
        <f>0/100</f>
        <v>0</v>
      </c>
      <c r="M18" s="2">
        <f t="shared" si="9"/>
        <v>0</v>
      </c>
    </row>
    <row r="19" spans="1:13" ht="31.2" customHeight="1" x14ac:dyDescent="0.25">
      <c r="A19" s="4">
        <v>27.834</v>
      </c>
      <c r="B19" s="4" t="s">
        <v>2</v>
      </c>
      <c r="C19" s="11">
        <f t="shared" si="0"/>
        <v>0.152</v>
      </c>
      <c r="D19" s="6">
        <f t="shared" si="3"/>
        <v>4.2307679999999994</v>
      </c>
      <c r="E19" s="6" t="s">
        <v>45</v>
      </c>
      <c r="F19" s="11">
        <f>16.8/100</f>
        <v>0.16800000000000001</v>
      </c>
      <c r="G19" s="6">
        <f>F19*D19</f>
        <v>0.71076902399999997</v>
      </c>
      <c r="H19" s="6" t="s">
        <v>11</v>
      </c>
      <c r="I19" s="6">
        <f>12/100</f>
        <v>0.12</v>
      </c>
      <c r="J19" s="6">
        <f>I19*G19</f>
        <v>8.5292282879999987E-2</v>
      </c>
      <c r="K19" s="2" t="s">
        <v>32</v>
      </c>
      <c r="L19" s="2">
        <f>2.4/100</f>
        <v>2.4E-2</v>
      </c>
      <c r="M19" s="2">
        <f>L19*G19</f>
        <v>1.7058456576000001E-2</v>
      </c>
    </row>
    <row r="20" spans="1:13" ht="31.2" customHeight="1" x14ac:dyDescent="0.25">
      <c r="A20" s="4">
        <v>27.834</v>
      </c>
      <c r="B20" s="4" t="s">
        <v>2</v>
      </c>
      <c r="C20" s="11">
        <f t="shared" si="0"/>
        <v>0.152</v>
      </c>
      <c r="D20" s="6">
        <f t="shared" si="3"/>
        <v>4.2307679999999994</v>
      </c>
      <c r="E20" s="6" t="s">
        <v>16</v>
      </c>
      <c r="F20" s="11">
        <f t="shared" ref="F20:F26" si="10">16.8/100</f>
        <v>0.16800000000000001</v>
      </c>
      <c r="G20" s="6">
        <f t="shared" ref="G20:G97" si="11">F20*D20</f>
        <v>0.71076902399999997</v>
      </c>
      <c r="H20" s="6" t="s">
        <v>12</v>
      </c>
      <c r="I20" s="6">
        <f>1.3/100</f>
        <v>1.3000000000000001E-2</v>
      </c>
      <c r="J20" s="6">
        <f t="shared" ref="J20:J25" si="12">I20*G20</f>
        <v>9.2399973120000003E-3</v>
      </c>
      <c r="K20" s="2" t="s">
        <v>33</v>
      </c>
      <c r="L20" s="2">
        <f>6.6/100</f>
        <v>6.6000000000000003E-2</v>
      </c>
      <c r="M20" s="2">
        <f t="shared" ref="M20:M26" si="13">L20*G20</f>
        <v>4.6910755584E-2</v>
      </c>
    </row>
    <row r="21" spans="1:13" ht="31.2" customHeight="1" x14ac:dyDescent="0.25">
      <c r="A21" s="4">
        <v>27.834</v>
      </c>
      <c r="B21" s="4" t="s">
        <v>2</v>
      </c>
      <c r="C21" s="11">
        <f t="shared" si="0"/>
        <v>0.152</v>
      </c>
      <c r="D21" s="6">
        <f t="shared" si="3"/>
        <v>4.2307679999999994</v>
      </c>
      <c r="E21" s="6" t="s">
        <v>16</v>
      </c>
      <c r="F21" s="11">
        <f t="shared" si="10"/>
        <v>0.16800000000000001</v>
      </c>
      <c r="G21" s="6">
        <f t="shared" si="11"/>
        <v>0.71076902399999997</v>
      </c>
      <c r="H21" s="6" t="s">
        <v>7</v>
      </c>
      <c r="I21" s="6">
        <f>6.3/100</f>
        <v>6.3E-2</v>
      </c>
      <c r="J21" s="6">
        <f t="shared" si="12"/>
        <v>4.4778448511999996E-2</v>
      </c>
      <c r="K21" s="2" t="s">
        <v>34</v>
      </c>
      <c r="L21" s="2">
        <f>13.7/100</f>
        <v>0.13699999999999998</v>
      </c>
      <c r="M21" s="2">
        <f t="shared" si="13"/>
        <v>9.7375356287999981E-2</v>
      </c>
    </row>
    <row r="22" spans="1:13" ht="31.2" customHeight="1" x14ac:dyDescent="0.25">
      <c r="A22" s="4">
        <v>27.834</v>
      </c>
      <c r="B22" s="4" t="s">
        <v>2</v>
      </c>
      <c r="C22" s="11">
        <f t="shared" si="0"/>
        <v>0.152</v>
      </c>
      <c r="D22" s="6">
        <f t="shared" si="3"/>
        <v>4.2307679999999994</v>
      </c>
      <c r="E22" s="6" t="s">
        <v>16</v>
      </c>
      <c r="F22" s="11">
        <f t="shared" si="10"/>
        <v>0.16800000000000001</v>
      </c>
      <c r="G22" s="6">
        <f t="shared" si="11"/>
        <v>0.71076902399999997</v>
      </c>
      <c r="H22" s="6" t="s">
        <v>8</v>
      </c>
      <c r="I22" s="6">
        <f>22.3/100</f>
        <v>0.223</v>
      </c>
      <c r="J22" s="6">
        <f t="shared" si="12"/>
        <v>0.15850149235200001</v>
      </c>
      <c r="K22" s="2" t="s">
        <v>35</v>
      </c>
      <c r="L22" s="2">
        <f>30.5/100</f>
        <v>0.30499999999999999</v>
      </c>
      <c r="M22" s="2">
        <f t="shared" si="13"/>
        <v>0.21678455231999999</v>
      </c>
    </row>
    <row r="23" spans="1:13" ht="31.2" customHeight="1" x14ac:dyDescent="0.25">
      <c r="A23" s="4">
        <v>27.834</v>
      </c>
      <c r="B23" s="4" t="s">
        <v>2</v>
      </c>
      <c r="C23" s="11">
        <f t="shared" si="0"/>
        <v>0.152</v>
      </c>
      <c r="D23" s="6">
        <f t="shared" si="3"/>
        <v>4.2307679999999994</v>
      </c>
      <c r="E23" s="6" t="s">
        <v>16</v>
      </c>
      <c r="F23" s="11">
        <f t="shared" si="10"/>
        <v>0.16800000000000001</v>
      </c>
      <c r="G23" s="6">
        <f t="shared" si="11"/>
        <v>0.71076902399999997</v>
      </c>
      <c r="H23" s="6" t="s">
        <v>10</v>
      </c>
      <c r="I23" s="6">
        <f>7.2/100</f>
        <v>7.2000000000000008E-2</v>
      </c>
      <c r="J23" s="6">
        <f t="shared" si="12"/>
        <v>5.1175369728000006E-2</v>
      </c>
      <c r="K23" s="2" t="s">
        <v>36</v>
      </c>
      <c r="L23" s="2">
        <f>26.6/100</f>
        <v>0.26600000000000001</v>
      </c>
      <c r="M23" s="2">
        <f t="shared" si="13"/>
        <v>0.18906456038399999</v>
      </c>
    </row>
    <row r="24" spans="1:13" ht="31.2" customHeight="1" x14ac:dyDescent="0.25">
      <c r="A24" s="4">
        <v>27.834</v>
      </c>
      <c r="B24" s="4" t="s">
        <v>2</v>
      </c>
      <c r="C24" s="11">
        <f t="shared" si="0"/>
        <v>0.152</v>
      </c>
      <c r="D24" s="6">
        <f t="shared" si="3"/>
        <v>4.2307679999999994</v>
      </c>
      <c r="E24" s="6" t="s">
        <v>16</v>
      </c>
      <c r="F24" s="11">
        <f t="shared" si="10"/>
        <v>0.16800000000000001</v>
      </c>
      <c r="G24" s="6">
        <f t="shared" si="11"/>
        <v>0.71076902399999997</v>
      </c>
      <c r="H24" s="6" t="s">
        <v>9</v>
      </c>
      <c r="I24" s="6">
        <f>48.5/100</f>
        <v>0.48499999999999999</v>
      </c>
      <c r="J24" s="6">
        <f t="shared" si="12"/>
        <v>0.34472297663999996</v>
      </c>
      <c r="K24" s="2" t="s">
        <v>37</v>
      </c>
      <c r="L24" s="2">
        <f>17.6/100</f>
        <v>0.17600000000000002</v>
      </c>
      <c r="M24" s="2">
        <f t="shared" si="13"/>
        <v>0.12509534822400001</v>
      </c>
    </row>
    <row r="25" spans="1:13" ht="31.2" customHeight="1" x14ac:dyDescent="0.25">
      <c r="A25" s="4">
        <v>27.834</v>
      </c>
      <c r="B25" s="4" t="s">
        <v>2</v>
      </c>
      <c r="C25" s="11">
        <f t="shared" si="0"/>
        <v>0.152</v>
      </c>
      <c r="D25" s="6">
        <f t="shared" si="3"/>
        <v>4.2307679999999994</v>
      </c>
      <c r="E25" s="6" t="s">
        <v>16</v>
      </c>
      <c r="F25" s="11">
        <f t="shared" si="10"/>
        <v>0.16800000000000001</v>
      </c>
      <c r="G25" s="6">
        <f t="shared" si="11"/>
        <v>0.71076902399999997</v>
      </c>
      <c r="H25" s="6" t="s">
        <v>58</v>
      </c>
      <c r="I25" s="6">
        <f>2.4/100</f>
        <v>2.4E-2</v>
      </c>
      <c r="J25" s="8">
        <f t="shared" si="12"/>
        <v>1.7058456576000001E-2</v>
      </c>
      <c r="K25" s="2" t="s">
        <v>38</v>
      </c>
      <c r="L25" s="2">
        <f>2.2/100</f>
        <v>2.2000000000000002E-2</v>
      </c>
      <c r="M25" s="2">
        <f t="shared" si="13"/>
        <v>1.5636918528000001E-2</v>
      </c>
    </row>
    <row r="26" spans="1:13" ht="31.2" customHeight="1" x14ac:dyDescent="0.25">
      <c r="A26" s="4">
        <v>27.834</v>
      </c>
      <c r="B26" s="4" t="s">
        <v>2</v>
      </c>
      <c r="C26" s="11">
        <f t="shared" si="0"/>
        <v>0.152</v>
      </c>
      <c r="D26" s="6">
        <f t="shared" si="3"/>
        <v>4.2307679999999994</v>
      </c>
      <c r="E26" s="6" t="s">
        <v>16</v>
      </c>
      <c r="F26" s="11">
        <f t="shared" si="10"/>
        <v>0.16800000000000001</v>
      </c>
      <c r="G26" s="6">
        <f t="shared" si="11"/>
        <v>0.71076902399999997</v>
      </c>
      <c r="H26" s="6"/>
      <c r="I26" s="6"/>
      <c r="J26" s="6"/>
      <c r="K26" s="2" t="s">
        <v>39</v>
      </c>
      <c r="L26" s="2">
        <f>0.3/100</f>
        <v>3.0000000000000001E-3</v>
      </c>
      <c r="M26" s="2">
        <f t="shared" si="13"/>
        <v>2.1323070720000001E-3</v>
      </c>
    </row>
    <row r="27" spans="1:13" ht="31.2" customHeight="1" x14ac:dyDescent="0.25">
      <c r="A27" s="4">
        <v>27.834</v>
      </c>
      <c r="B27" s="4" t="s">
        <v>2</v>
      </c>
      <c r="C27" s="11">
        <f t="shared" si="0"/>
        <v>0.152</v>
      </c>
      <c r="D27" s="6">
        <f t="shared" si="3"/>
        <v>4.2307679999999994</v>
      </c>
      <c r="E27" s="6" t="s">
        <v>46</v>
      </c>
      <c r="F27" s="11">
        <f>16.3/100</f>
        <v>0.16300000000000001</v>
      </c>
      <c r="G27" s="6">
        <f t="shared" si="11"/>
        <v>0.68961518399999988</v>
      </c>
      <c r="H27" s="6" t="s">
        <v>11</v>
      </c>
      <c r="I27" s="8">
        <f>23.7/100</f>
        <v>0.23699999999999999</v>
      </c>
      <c r="J27" s="8">
        <f>I27*G27</f>
        <v>0.16343879860799995</v>
      </c>
      <c r="K27" s="2" t="s">
        <v>32</v>
      </c>
      <c r="L27" s="2">
        <f>1.5/100</f>
        <v>1.4999999999999999E-2</v>
      </c>
      <c r="M27" s="2">
        <f>L27*G27</f>
        <v>1.0344227759999998E-2</v>
      </c>
    </row>
    <row r="28" spans="1:13" ht="31.2" customHeight="1" x14ac:dyDescent="0.25">
      <c r="A28" s="4">
        <v>27.834</v>
      </c>
      <c r="B28" s="4" t="s">
        <v>2</v>
      </c>
      <c r="C28" s="11">
        <f t="shared" si="0"/>
        <v>0.152</v>
      </c>
      <c r="D28" s="6">
        <f t="shared" si="3"/>
        <v>4.2307679999999994</v>
      </c>
      <c r="E28" s="6" t="s">
        <v>13</v>
      </c>
      <c r="F28" s="11">
        <f t="shared" ref="F28:F34" si="14">16.3/100</f>
        <v>0.16300000000000001</v>
      </c>
      <c r="G28" s="6">
        <f t="shared" si="11"/>
        <v>0.68961518399999988</v>
      </c>
      <c r="H28" s="6" t="s">
        <v>12</v>
      </c>
      <c r="I28" s="8">
        <f>3.7/100</f>
        <v>3.7000000000000005E-2</v>
      </c>
      <c r="J28" s="8">
        <f t="shared" ref="J28:J33" si="15">I28*G28</f>
        <v>2.5515761807999998E-2</v>
      </c>
      <c r="K28" s="2" t="s">
        <v>33</v>
      </c>
      <c r="L28" s="2">
        <f>7.3/100</f>
        <v>7.2999999999999995E-2</v>
      </c>
      <c r="M28" s="2">
        <f t="shared" ref="M28:M34" si="16">L28*G28</f>
        <v>5.0341908431999989E-2</v>
      </c>
    </row>
    <row r="29" spans="1:13" ht="31.2" customHeight="1" x14ac:dyDescent="0.25">
      <c r="A29" s="4">
        <v>27.834</v>
      </c>
      <c r="B29" s="4" t="s">
        <v>2</v>
      </c>
      <c r="C29" s="11">
        <f t="shared" si="0"/>
        <v>0.152</v>
      </c>
      <c r="D29" s="6">
        <f t="shared" si="3"/>
        <v>4.2307679999999994</v>
      </c>
      <c r="E29" s="6" t="s">
        <v>13</v>
      </c>
      <c r="F29" s="11">
        <f t="shared" si="14"/>
        <v>0.16300000000000001</v>
      </c>
      <c r="G29" s="6">
        <f t="shared" si="11"/>
        <v>0.68961518399999988</v>
      </c>
      <c r="H29" s="6" t="s">
        <v>7</v>
      </c>
      <c r="I29" s="8">
        <f>9.7/100</f>
        <v>9.6999999999999989E-2</v>
      </c>
      <c r="J29" s="8">
        <f t="shared" si="15"/>
        <v>6.6892672847999976E-2</v>
      </c>
      <c r="K29" s="2" t="s">
        <v>34</v>
      </c>
      <c r="L29" s="2">
        <f>10.9/100</f>
        <v>0.109</v>
      </c>
      <c r="M29" s="2">
        <f t="shared" si="16"/>
        <v>7.516805505599998E-2</v>
      </c>
    </row>
    <row r="30" spans="1:13" ht="31.2" customHeight="1" x14ac:dyDescent="0.25">
      <c r="A30" s="4">
        <v>27.834</v>
      </c>
      <c r="B30" s="4" t="s">
        <v>2</v>
      </c>
      <c r="C30" s="11">
        <f t="shared" si="0"/>
        <v>0.152</v>
      </c>
      <c r="D30" s="6">
        <f t="shared" si="3"/>
        <v>4.2307679999999994</v>
      </c>
      <c r="E30" s="6" t="s">
        <v>13</v>
      </c>
      <c r="F30" s="11">
        <f t="shared" si="14"/>
        <v>0.16300000000000001</v>
      </c>
      <c r="G30" s="6">
        <f t="shared" si="11"/>
        <v>0.68961518399999988</v>
      </c>
      <c r="H30" s="6" t="s">
        <v>8</v>
      </c>
      <c r="I30" s="8">
        <f>28.9/100</f>
        <v>0.28899999999999998</v>
      </c>
      <c r="J30" s="8">
        <f t="shared" si="15"/>
        <v>0.19929878817599994</v>
      </c>
      <c r="K30" s="2" t="s">
        <v>35</v>
      </c>
      <c r="L30" s="2">
        <f>29.1/100</f>
        <v>0.29100000000000004</v>
      </c>
      <c r="M30" s="2">
        <f t="shared" si="16"/>
        <v>0.200678018544</v>
      </c>
    </row>
    <row r="31" spans="1:13" ht="31.2" customHeight="1" x14ac:dyDescent="0.25">
      <c r="A31" s="4">
        <v>27.834</v>
      </c>
      <c r="B31" s="4" t="s">
        <v>2</v>
      </c>
      <c r="C31" s="11">
        <f t="shared" si="0"/>
        <v>0.152</v>
      </c>
      <c r="D31" s="6">
        <f t="shared" si="3"/>
        <v>4.2307679999999994</v>
      </c>
      <c r="E31" s="6" t="s">
        <v>13</v>
      </c>
      <c r="F31" s="11">
        <f t="shared" si="14"/>
        <v>0.16300000000000001</v>
      </c>
      <c r="G31" s="6">
        <f t="shared" si="11"/>
        <v>0.68961518399999988</v>
      </c>
      <c r="H31" s="6" t="s">
        <v>10</v>
      </c>
      <c r="I31" s="8">
        <f>6.7/100</f>
        <v>6.7000000000000004E-2</v>
      </c>
      <c r="J31" s="8">
        <f t="shared" si="15"/>
        <v>4.6204217327999994E-2</v>
      </c>
      <c r="K31" s="2" t="s">
        <v>36</v>
      </c>
      <c r="L31" s="2">
        <f>28.9/100</f>
        <v>0.28899999999999998</v>
      </c>
      <c r="M31" s="2">
        <f t="shared" si="16"/>
        <v>0.19929878817599994</v>
      </c>
    </row>
    <row r="32" spans="1:13" ht="31.2" customHeight="1" x14ac:dyDescent="0.25">
      <c r="A32" s="4">
        <v>27.834</v>
      </c>
      <c r="B32" s="4" t="s">
        <v>2</v>
      </c>
      <c r="C32" s="11">
        <f t="shared" si="0"/>
        <v>0.152</v>
      </c>
      <c r="D32" s="6">
        <f t="shared" si="3"/>
        <v>4.2307679999999994</v>
      </c>
      <c r="E32" s="6" t="s">
        <v>13</v>
      </c>
      <c r="F32" s="11">
        <f t="shared" si="14"/>
        <v>0.16300000000000001</v>
      </c>
      <c r="G32" s="6">
        <f t="shared" si="11"/>
        <v>0.68961518399999988</v>
      </c>
      <c r="H32" s="6" t="s">
        <v>9</v>
      </c>
      <c r="I32" s="8">
        <f>24.9/100</f>
        <v>0.249</v>
      </c>
      <c r="J32" s="8">
        <f t="shared" si="15"/>
        <v>0.17171418081599996</v>
      </c>
      <c r="K32" s="2" t="s">
        <v>37</v>
      </c>
      <c r="L32" s="2">
        <f>19.5/100</f>
        <v>0.19500000000000001</v>
      </c>
      <c r="M32" s="2">
        <f t="shared" si="16"/>
        <v>0.13447496087999999</v>
      </c>
    </row>
    <row r="33" spans="1:13" ht="31.2" customHeight="1" x14ac:dyDescent="0.25">
      <c r="A33" s="4">
        <v>27.834</v>
      </c>
      <c r="B33" s="4" t="s">
        <v>2</v>
      </c>
      <c r="C33" s="11">
        <f t="shared" si="0"/>
        <v>0.152</v>
      </c>
      <c r="D33" s="6">
        <f t="shared" si="3"/>
        <v>4.2307679999999994</v>
      </c>
      <c r="E33" s="6" t="s">
        <v>13</v>
      </c>
      <c r="F33" s="11">
        <f t="shared" si="14"/>
        <v>0.16300000000000001</v>
      </c>
      <c r="G33" s="6">
        <f t="shared" si="11"/>
        <v>0.68961518399999988</v>
      </c>
      <c r="H33" s="6" t="s">
        <v>58</v>
      </c>
      <c r="I33" s="6">
        <f>2.3/100</f>
        <v>2.3E-2</v>
      </c>
      <c r="J33" s="8">
        <f t="shared" si="15"/>
        <v>1.5861149231999997E-2</v>
      </c>
      <c r="K33" s="2" t="s">
        <v>38</v>
      </c>
      <c r="L33" s="2">
        <f>1.8/100</f>
        <v>1.8000000000000002E-2</v>
      </c>
      <c r="M33" s="2">
        <f t="shared" si="16"/>
        <v>1.2413073311999999E-2</v>
      </c>
    </row>
    <row r="34" spans="1:13" ht="31.2" customHeight="1" x14ac:dyDescent="0.25">
      <c r="A34" s="4">
        <v>27.834</v>
      </c>
      <c r="B34" s="4" t="s">
        <v>2</v>
      </c>
      <c r="C34" s="11">
        <f t="shared" si="0"/>
        <v>0.152</v>
      </c>
      <c r="D34" s="6">
        <f t="shared" si="3"/>
        <v>4.2307679999999994</v>
      </c>
      <c r="E34" s="6" t="s">
        <v>13</v>
      </c>
      <c r="F34" s="11">
        <f t="shared" si="14"/>
        <v>0.16300000000000001</v>
      </c>
      <c r="G34" s="6">
        <f t="shared" si="11"/>
        <v>0.68961518399999988</v>
      </c>
      <c r="H34" s="6"/>
      <c r="I34" s="8"/>
      <c r="J34" s="8"/>
      <c r="K34" s="2" t="s">
        <v>39</v>
      </c>
      <c r="L34" s="2">
        <f>1/100</f>
        <v>0.01</v>
      </c>
      <c r="M34" s="2">
        <f t="shared" si="16"/>
        <v>6.8961518399999989E-3</v>
      </c>
    </row>
    <row r="35" spans="1:13" ht="31.2" customHeight="1" x14ac:dyDescent="0.25">
      <c r="A35" s="4">
        <v>27.834</v>
      </c>
      <c r="B35" s="4" t="s">
        <v>2</v>
      </c>
      <c r="C35" s="11">
        <f t="shared" si="0"/>
        <v>0.152</v>
      </c>
      <c r="D35" s="6">
        <f t="shared" si="3"/>
        <v>4.2307679999999994</v>
      </c>
      <c r="E35" s="8" t="s">
        <v>47</v>
      </c>
      <c r="F35" s="11">
        <f>9.5/100</f>
        <v>9.5000000000000001E-2</v>
      </c>
      <c r="G35" s="6">
        <f t="shared" si="11"/>
        <v>0.40192295999999994</v>
      </c>
      <c r="H35" s="6" t="s">
        <v>11</v>
      </c>
      <c r="I35" s="6">
        <f>0/100</f>
        <v>0</v>
      </c>
      <c r="J35" s="6">
        <f>I35*G35</f>
        <v>0</v>
      </c>
      <c r="K35" s="2" t="s">
        <v>32</v>
      </c>
      <c r="L35" s="2">
        <f>0/100</f>
        <v>0</v>
      </c>
      <c r="M35" s="2">
        <f>L35*G35</f>
        <v>0</v>
      </c>
    </row>
    <row r="36" spans="1:13" ht="31.2" customHeight="1" x14ac:dyDescent="0.25">
      <c r="A36" s="4">
        <v>27.834</v>
      </c>
      <c r="B36" s="4" t="s">
        <v>2</v>
      </c>
      <c r="C36" s="11">
        <f t="shared" si="0"/>
        <v>0.152</v>
      </c>
      <c r="D36" s="6">
        <f t="shared" si="3"/>
        <v>4.2307679999999994</v>
      </c>
      <c r="E36" s="8" t="s">
        <v>17</v>
      </c>
      <c r="F36" s="11">
        <f>9.5/100</f>
        <v>9.5000000000000001E-2</v>
      </c>
      <c r="G36" s="6">
        <f t="shared" si="11"/>
        <v>0.40192295999999994</v>
      </c>
      <c r="H36" s="6" t="s">
        <v>12</v>
      </c>
      <c r="I36" s="6">
        <f>0/100</f>
        <v>0</v>
      </c>
      <c r="J36" s="6">
        <f t="shared" ref="J36:J41" si="17">I36*G36</f>
        <v>0</v>
      </c>
      <c r="K36" s="2" t="s">
        <v>33</v>
      </c>
      <c r="L36" s="2">
        <f>8.7/100</f>
        <v>8.6999999999999994E-2</v>
      </c>
      <c r="M36" s="2">
        <f t="shared" ref="M36:M42" si="18">L36*G36</f>
        <v>3.4967297519999996E-2</v>
      </c>
    </row>
    <row r="37" spans="1:13" ht="31.2" customHeight="1" x14ac:dyDescent="0.25">
      <c r="A37" s="4">
        <v>27.834</v>
      </c>
      <c r="B37" s="4" t="s">
        <v>2</v>
      </c>
      <c r="C37" s="11">
        <f t="shared" si="0"/>
        <v>0.152</v>
      </c>
      <c r="D37" s="6">
        <f t="shared" si="3"/>
        <v>4.2307679999999994</v>
      </c>
      <c r="E37" s="8" t="s">
        <v>17</v>
      </c>
      <c r="F37" s="11">
        <f t="shared" ref="F37:F50" si="19">9.5/100</f>
        <v>9.5000000000000001E-2</v>
      </c>
      <c r="G37" s="6">
        <f t="shared" si="11"/>
        <v>0.40192295999999994</v>
      </c>
      <c r="H37" s="6" t="s">
        <v>7</v>
      </c>
      <c r="I37" s="6">
        <f>6.5/100</f>
        <v>6.5000000000000002E-2</v>
      </c>
      <c r="J37" s="6">
        <f t="shared" si="17"/>
        <v>2.6124992399999998E-2</v>
      </c>
      <c r="K37" s="2" t="s">
        <v>34</v>
      </c>
      <c r="L37" s="2">
        <f>6.5/100</f>
        <v>6.5000000000000002E-2</v>
      </c>
      <c r="M37" s="2">
        <f t="shared" si="18"/>
        <v>2.6124992399999998E-2</v>
      </c>
    </row>
    <row r="38" spans="1:13" ht="31.2" customHeight="1" x14ac:dyDescent="0.25">
      <c r="A38" s="4">
        <v>27.834</v>
      </c>
      <c r="B38" s="4" t="s">
        <v>2</v>
      </c>
      <c r="C38" s="11">
        <f t="shared" si="0"/>
        <v>0.152</v>
      </c>
      <c r="D38" s="6">
        <f t="shared" si="3"/>
        <v>4.2307679999999994</v>
      </c>
      <c r="E38" s="8" t="s">
        <v>17</v>
      </c>
      <c r="F38" s="11">
        <f t="shared" si="19"/>
        <v>9.5000000000000001E-2</v>
      </c>
      <c r="G38" s="6">
        <f t="shared" si="11"/>
        <v>0.40192295999999994</v>
      </c>
      <c r="H38" s="6" t="s">
        <v>8</v>
      </c>
      <c r="I38" s="6">
        <f>54.3/100</f>
        <v>0.54299999999999993</v>
      </c>
      <c r="J38" s="6">
        <f t="shared" si="17"/>
        <v>0.21824416727999993</v>
      </c>
      <c r="K38" s="2" t="s">
        <v>35</v>
      </c>
      <c r="L38" s="2">
        <f>39.1/100</f>
        <v>0.39100000000000001</v>
      </c>
      <c r="M38" s="2">
        <f t="shared" si="18"/>
        <v>0.15715187735999997</v>
      </c>
    </row>
    <row r="39" spans="1:13" ht="31.2" customHeight="1" x14ac:dyDescent="0.25">
      <c r="A39" s="4">
        <v>27.834</v>
      </c>
      <c r="B39" s="4" t="s">
        <v>2</v>
      </c>
      <c r="C39" s="11">
        <f t="shared" si="0"/>
        <v>0.152</v>
      </c>
      <c r="D39" s="6">
        <f t="shared" si="3"/>
        <v>4.2307679999999994</v>
      </c>
      <c r="E39" s="8" t="s">
        <v>17</v>
      </c>
      <c r="F39" s="11">
        <f t="shared" si="19"/>
        <v>9.5000000000000001E-2</v>
      </c>
      <c r="G39" s="6">
        <f t="shared" si="11"/>
        <v>0.40192295999999994</v>
      </c>
      <c r="H39" s="6" t="s">
        <v>10</v>
      </c>
      <c r="I39" s="6">
        <f>4.3/100</f>
        <v>4.2999999999999997E-2</v>
      </c>
      <c r="J39" s="6">
        <f t="shared" si="17"/>
        <v>1.7282687279999997E-2</v>
      </c>
      <c r="K39" s="2" t="s">
        <v>36</v>
      </c>
      <c r="L39" s="2">
        <f>13/100</f>
        <v>0.13</v>
      </c>
      <c r="M39" s="2">
        <f t="shared" si="18"/>
        <v>5.2249984799999996E-2</v>
      </c>
    </row>
    <row r="40" spans="1:13" ht="31.2" customHeight="1" x14ac:dyDescent="0.25">
      <c r="A40" s="4">
        <v>27.834</v>
      </c>
      <c r="B40" s="4" t="s">
        <v>2</v>
      </c>
      <c r="C40" s="11">
        <f t="shared" si="0"/>
        <v>0.152</v>
      </c>
      <c r="D40" s="6">
        <f t="shared" si="3"/>
        <v>4.2307679999999994</v>
      </c>
      <c r="E40" s="8" t="s">
        <v>17</v>
      </c>
      <c r="F40" s="11">
        <f t="shared" si="19"/>
        <v>9.5000000000000001E-2</v>
      </c>
      <c r="G40" s="6">
        <f t="shared" si="11"/>
        <v>0.40192295999999994</v>
      </c>
      <c r="H40" s="6" t="s">
        <v>9</v>
      </c>
      <c r="I40" s="6">
        <f>34.8/100</f>
        <v>0.34799999999999998</v>
      </c>
      <c r="J40" s="6">
        <f t="shared" si="17"/>
        <v>0.13986919007999998</v>
      </c>
      <c r="K40" s="2" t="s">
        <v>37</v>
      </c>
      <c r="L40" s="2">
        <f>32.6/100</f>
        <v>0.32600000000000001</v>
      </c>
      <c r="M40" s="2">
        <f t="shared" si="18"/>
        <v>0.13102688495999998</v>
      </c>
    </row>
    <row r="41" spans="1:13" ht="31.2" customHeight="1" x14ac:dyDescent="0.25">
      <c r="A41" s="4">
        <v>27.834</v>
      </c>
      <c r="B41" s="4" t="s">
        <v>2</v>
      </c>
      <c r="C41" s="11">
        <f t="shared" si="0"/>
        <v>0.152</v>
      </c>
      <c r="D41" s="6">
        <f t="shared" si="3"/>
        <v>4.2307679999999994</v>
      </c>
      <c r="E41" s="8" t="s">
        <v>17</v>
      </c>
      <c r="F41" s="11">
        <f t="shared" si="19"/>
        <v>9.5000000000000001E-2</v>
      </c>
      <c r="G41" s="6">
        <f t="shared" si="11"/>
        <v>0.40192295999999994</v>
      </c>
      <c r="H41" s="6" t="s">
        <v>58</v>
      </c>
      <c r="I41" s="6">
        <f>0/100</f>
        <v>0</v>
      </c>
      <c r="J41" s="6">
        <f t="shared" si="17"/>
        <v>0</v>
      </c>
      <c r="K41" s="2" t="s">
        <v>38</v>
      </c>
      <c r="L41" s="2">
        <f>0/100</f>
        <v>0</v>
      </c>
      <c r="M41" s="2">
        <f t="shared" si="18"/>
        <v>0</v>
      </c>
    </row>
    <row r="42" spans="1:13" ht="31.2" customHeight="1" x14ac:dyDescent="0.25">
      <c r="A42" s="4">
        <v>27.834</v>
      </c>
      <c r="B42" s="4" t="s">
        <v>2</v>
      </c>
      <c r="C42" s="11">
        <f t="shared" si="0"/>
        <v>0.152</v>
      </c>
      <c r="D42" s="6">
        <f t="shared" si="3"/>
        <v>4.2307679999999994</v>
      </c>
      <c r="E42" s="8" t="s">
        <v>17</v>
      </c>
      <c r="F42" s="11">
        <f t="shared" si="19"/>
        <v>9.5000000000000001E-2</v>
      </c>
      <c r="G42" s="6">
        <f t="shared" si="11"/>
        <v>0.40192295999999994</v>
      </c>
      <c r="H42" s="6"/>
      <c r="I42" s="6"/>
      <c r="J42" s="6"/>
      <c r="K42" s="2" t="s">
        <v>39</v>
      </c>
      <c r="L42" s="2">
        <f>0/100</f>
        <v>0</v>
      </c>
      <c r="M42" s="2">
        <f t="shared" si="18"/>
        <v>0</v>
      </c>
    </row>
    <row r="43" spans="1:13" ht="31.2" customHeight="1" x14ac:dyDescent="0.25">
      <c r="A43" s="4">
        <v>27.834</v>
      </c>
      <c r="B43" s="4" t="s">
        <v>2</v>
      </c>
      <c r="C43" s="11">
        <f t="shared" si="0"/>
        <v>0.152</v>
      </c>
      <c r="D43" s="6">
        <f t="shared" si="3"/>
        <v>4.2307679999999994</v>
      </c>
      <c r="E43" s="2" t="s">
        <v>18</v>
      </c>
      <c r="F43" s="11">
        <f t="shared" si="19"/>
        <v>9.5000000000000001E-2</v>
      </c>
      <c r="G43" s="6">
        <f t="shared" si="11"/>
        <v>0.40192295999999994</v>
      </c>
      <c r="H43" s="6" t="s">
        <v>11</v>
      </c>
      <c r="I43" s="6">
        <f>39.4/100</f>
        <v>0.39399999999999996</v>
      </c>
      <c r="J43" s="6">
        <f>I43*G43</f>
        <v>0.15835764623999996</v>
      </c>
      <c r="K43" s="2" t="s">
        <v>32</v>
      </c>
      <c r="L43" s="2">
        <f>2.7/100</f>
        <v>2.7000000000000003E-2</v>
      </c>
      <c r="M43" s="2">
        <f>L43*G43</f>
        <v>1.085191992E-2</v>
      </c>
    </row>
    <row r="44" spans="1:13" ht="31.2" customHeight="1" x14ac:dyDescent="0.25">
      <c r="A44" s="4">
        <v>27.834</v>
      </c>
      <c r="B44" s="4" t="s">
        <v>2</v>
      </c>
      <c r="C44" s="11">
        <f t="shared" si="0"/>
        <v>0.152</v>
      </c>
      <c r="D44" s="6">
        <f t="shared" si="3"/>
        <v>4.2307679999999994</v>
      </c>
      <c r="E44" s="2" t="s">
        <v>18</v>
      </c>
      <c r="F44" s="11">
        <f t="shared" si="19"/>
        <v>9.5000000000000001E-2</v>
      </c>
      <c r="G44" s="6">
        <f t="shared" si="11"/>
        <v>0.40192295999999994</v>
      </c>
      <c r="H44" s="6" t="s">
        <v>12</v>
      </c>
      <c r="I44" s="6">
        <f>3.9/100</f>
        <v>3.9E-2</v>
      </c>
      <c r="J44" s="6">
        <f t="shared" ref="J44:J49" si="20">I44*G44</f>
        <v>1.5674995439999999E-2</v>
      </c>
      <c r="K44" s="2" t="s">
        <v>33</v>
      </c>
      <c r="L44" s="2">
        <f>7.3/100</f>
        <v>7.2999999999999995E-2</v>
      </c>
      <c r="M44" s="2">
        <f t="shared" ref="M44:M50" si="21">L44*G44</f>
        <v>2.9340376079999994E-2</v>
      </c>
    </row>
    <row r="45" spans="1:13" ht="31.2" customHeight="1" x14ac:dyDescent="0.25">
      <c r="A45" s="4">
        <v>27.834</v>
      </c>
      <c r="B45" s="4" t="s">
        <v>2</v>
      </c>
      <c r="C45" s="11">
        <f t="shared" si="0"/>
        <v>0.152</v>
      </c>
      <c r="D45" s="6">
        <f t="shared" si="3"/>
        <v>4.2307679999999994</v>
      </c>
      <c r="E45" s="2" t="s">
        <v>18</v>
      </c>
      <c r="F45" s="11">
        <f t="shared" si="19"/>
        <v>9.5000000000000001E-2</v>
      </c>
      <c r="G45" s="6">
        <f t="shared" si="11"/>
        <v>0.40192295999999994</v>
      </c>
      <c r="H45" s="6" t="s">
        <v>7</v>
      </c>
      <c r="I45" s="6">
        <f>8.4/100</f>
        <v>8.4000000000000005E-2</v>
      </c>
      <c r="J45" s="6">
        <f t="shared" si="20"/>
        <v>3.3761528639999996E-2</v>
      </c>
      <c r="K45" s="2" t="s">
        <v>34</v>
      </c>
      <c r="L45" s="2">
        <f>8.5/100</f>
        <v>8.5000000000000006E-2</v>
      </c>
      <c r="M45" s="2">
        <f t="shared" si="21"/>
        <v>3.4163451599999999E-2</v>
      </c>
    </row>
    <row r="46" spans="1:13" ht="31.2" customHeight="1" x14ac:dyDescent="0.25">
      <c r="A46" s="4">
        <v>27.834</v>
      </c>
      <c r="B46" s="4" t="s">
        <v>2</v>
      </c>
      <c r="C46" s="11">
        <f t="shared" si="0"/>
        <v>0.152</v>
      </c>
      <c r="D46" s="6">
        <f t="shared" si="3"/>
        <v>4.2307679999999994</v>
      </c>
      <c r="E46" s="2" t="s">
        <v>18</v>
      </c>
      <c r="F46" s="11">
        <f t="shared" si="19"/>
        <v>9.5000000000000001E-2</v>
      </c>
      <c r="G46" s="6">
        <f t="shared" si="11"/>
        <v>0.40192295999999994</v>
      </c>
      <c r="H46" s="6" t="s">
        <v>8</v>
      </c>
      <c r="I46" s="6">
        <f>20.7/100</f>
        <v>0.20699999999999999</v>
      </c>
      <c r="J46" s="6">
        <f t="shared" si="20"/>
        <v>8.3198052719999985E-2</v>
      </c>
      <c r="K46" s="2" t="s">
        <v>35</v>
      </c>
      <c r="L46" s="2">
        <f>31.4/100</f>
        <v>0.314</v>
      </c>
      <c r="M46" s="2">
        <f t="shared" si="21"/>
        <v>0.12620380943999998</v>
      </c>
    </row>
    <row r="47" spans="1:13" ht="31.2" customHeight="1" x14ac:dyDescent="0.25">
      <c r="A47" s="4">
        <v>27.834</v>
      </c>
      <c r="B47" s="4" t="s">
        <v>2</v>
      </c>
      <c r="C47" s="11">
        <f t="shared" si="0"/>
        <v>0.152</v>
      </c>
      <c r="D47" s="6">
        <f t="shared" si="3"/>
        <v>4.2307679999999994</v>
      </c>
      <c r="E47" s="2" t="s">
        <v>18</v>
      </c>
      <c r="F47" s="11">
        <f t="shared" si="19"/>
        <v>9.5000000000000001E-2</v>
      </c>
      <c r="G47" s="6">
        <f t="shared" si="11"/>
        <v>0.40192295999999994</v>
      </c>
      <c r="H47" s="6" t="s">
        <v>10</v>
      </c>
      <c r="I47" s="6">
        <f>6.2/100</f>
        <v>6.2E-2</v>
      </c>
      <c r="J47" s="6">
        <f t="shared" si="20"/>
        <v>2.4919223519999995E-2</v>
      </c>
      <c r="K47" s="2" t="s">
        <v>36</v>
      </c>
      <c r="L47" s="2">
        <f>29.3/100</f>
        <v>0.29299999999999998</v>
      </c>
      <c r="M47" s="2">
        <f t="shared" si="21"/>
        <v>0.11776342727999997</v>
      </c>
    </row>
    <row r="48" spans="1:13" ht="31.2" customHeight="1" x14ac:dyDescent="0.25">
      <c r="A48" s="4">
        <v>27.834</v>
      </c>
      <c r="B48" s="4" t="s">
        <v>2</v>
      </c>
      <c r="C48" s="11">
        <f t="shared" si="0"/>
        <v>0.152</v>
      </c>
      <c r="D48" s="6">
        <f t="shared" si="3"/>
        <v>4.2307679999999994</v>
      </c>
      <c r="E48" s="2" t="s">
        <v>48</v>
      </c>
      <c r="F48" s="11">
        <f t="shared" si="19"/>
        <v>9.5000000000000001E-2</v>
      </c>
      <c r="G48" s="6">
        <f t="shared" si="11"/>
        <v>0.40192295999999994</v>
      </c>
      <c r="H48" s="6" t="s">
        <v>9</v>
      </c>
      <c r="I48" s="6">
        <f>21.2/100</f>
        <v>0.21199999999999999</v>
      </c>
      <c r="J48" s="6">
        <f t="shared" si="20"/>
        <v>8.5207667519999988E-2</v>
      </c>
      <c r="K48" s="2" t="s">
        <v>37</v>
      </c>
      <c r="L48" s="2">
        <f>16.9/100</f>
        <v>0.16899999999999998</v>
      </c>
      <c r="M48" s="2">
        <f t="shared" si="21"/>
        <v>6.7924980239999988E-2</v>
      </c>
    </row>
    <row r="49" spans="1:13" ht="31.2" customHeight="1" x14ac:dyDescent="0.25">
      <c r="A49" s="4">
        <v>27.834</v>
      </c>
      <c r="B49" s="4" t="s">
        <v>2</v>
      </c>
      <c r="C49" s="11">
        <f t="shared" si="0"/>
        <v>0.152</v>
      </c>
      <c r="D49" s="6">
        <f t="shared" si="3"/>
        <v>4.2307679999999994</v>
      </c>
      <c r="E49" s="2" t="s">
        <v>18</v>
      </c>
      <c r="F49" s="11">
        <f t="shared" si="19"/>
        <v>9.5000000000000001E-2</v>
      </c>
      <c r="G49" s="6">
        <f t="shared" si="11"/>
        <v>0.40192295999999994</v>
      </c>
      <c r="H49" s="6" t="s">
        <v>58</v>
      </c>
      <c r="I49" s="6">
        <f>0.2/100</f>
        <v>2E-3</v>
      </c>
      <c r="J49" s="6">
        <f t="shared" si="20"/>
        <v>8.0384591999999987E-4</v>
      </c>
      <c r="K49" s="2" t="s">
        <v>38</v>
      </c>
      <c r="L49" s="2">
        <f>2/100</f>
        <v>0.02</v>
      </c>
      <c r="M49" s="2">
        <f t="shared" si="21"/>
        <v>8.0384591999999987E-3</v>
      </c>
    </row>
    <row r="50" spans="1:13" ht="31.2" customHeight="1" x14ac:dyDescent="0.25">
      <c r="A50" s="4">
        <v>27.834</v>
      </c>
      <c r="B50" s="4" t="s">
        <v>2</v>
      </c>
      <c r="C50" s="11">
        <f t="shared" si="0"/>
        <v>0.152</v>
      </c>
      <c r="D50" s="6">
        <f t="shared" si="3"/>
        <v>4.2307679999999994</v>
      </c>
      <c r="E50" s="2" t="s">
        <v>18</v>
      </c>
      <c r="F50" s="11">
        <f t="shared" si="19"/>
        <v>9.5000000000000001E-2</v>
      </c>
      <c r="G50" s="6">
        <f t="shared" si="11"/>
        <v>0.40192295999999994</v>
      </c>
      <c r="H50" s="6"/>
      <c r="I50" s="6"/>
      <c r="J50" s="6"/>
      <c r="K50" s="2" t="s">
        <v>39</v>
      </c>
      <c r="L50" s="2">
        <f>1.9/100</f>
        <v>1.9E-2</v>
      </c>
      <c r="M50" s="2">
        <f t="shared" si="21"/>
        <v>7.6365362399999984E-3</v>
      </c>
    </row>
    <row r="51" spans="1:13" ht="31.2" customHeight="1" x14ac:dyDescent="0.25">
      <c r="A51" s="4">
        <v>27.834</v>
      </c>
      <c r="B51" s="2" t="s">
        <v>19</v>
      </c>
      <c r="C51" s="12">
        <f>84.8/100</f>
        <v>0.84799999999999998</v>
      </c>
      <c r="D51" s="6">
        <f t="shared" si="3"/>
        <v>23.603231999999998</v>
      </c>
      <c r="E51" s="6" t="s">
        <v>14</v>
      </c>
      <c r="F51" s="12">
        <f>80/100</f>
        <v>0.8</v>
      </c>
      <c r="G51" s="6">
        <f t="shared" si="11"/>
        <v>18.882585599999999</v>
      </c>
      <c r="H51" s="6" t="s">
        <v>11</v>
      </c>
      <c r="I51" s="6">
        <f>10.8/100</f>
        <v>0.10800000000000001</v>
      </c>
      <c r="J51" s="6">
        <f>I51*G51</f>
        <v>2.0393192448000002</v>
      </c>
      <c r="K51" s="2" t="s">
        <v>32</v>
      </c>
      <c r="L51" s="2">
        <f>3.1/100</f>
        <v>3.1E-2</v>
      </c>
      <c r="M51" s="2">
        <f>L51*G51</f>
        <v>0.58536015359999993</v>
      </c>
    </row>
    <row r="52" spans="1:13" ht="31.2" customHeight="1" x14ac:dyDescent="0.25">
      <c r="A52" s="4">
        <v>27.834</v>
      </c>
      <c r="B52" s="2" t="s">
        <v>19</v>
      </c>
      <c r="C52" s="12">
        <f t="shared" ref="C52:C98" si="22">84.8/100</f>
        <v>0.84799999999999998</v>
      </c>
      <c r="D52" s="6">
        <f t="shared" si="3"/>
        <v>23.603231999999998</v>
      </c>
      <c r="E52" s="6" t="s">
        <v>14</v>
      </c>
      <c r="F52" s="12">
        <f t="shared" ref="F52:F58" si="23">80/100</f>
        <v>0.8</v>
      </c>
      <c r="G52" s="6">
        <f t="shared" si="11"/>
        <v>18.882585599999999</v>
      </c>
      <c r="H52" s="6" t="s">
        <v>12</v>
      </c>
      <c r="I52" s="6">
        <f>6.3/100</f>
        <v>6.3E-2</v>
      </c>
      <c r="J52" s="6">
        <f t="shared" ref="J52:J57" si="24">I52*G52</f>
        <v>1.1896028928</v>
      </c>
      <c r="K52" s="2" t="s">
        <v>33</v>
      </c>
      <c r="L52" s="2">
        <f>7.6/100</f>
        <v>7.5999999999999998E-2</v>
      </c>
      <c r="M52" s="2">
        <f t="shared" ref="M52:M58" si="25">L52*G52</f>
        <v>1.4350765055999999</v>
      </c>
    </row>
    <row r="53" spans="1:13" ht="31.2" customHeight="1" x14ac:dyDescent="0.25">
      <c r="A53" s="4">
        <v>27.834</v>
      </c>
      <c r="B53" s="2" t="s">
        <v>19</v>
      </c>
      <c r="C53" s="12">
        <f t="shared" si="22"/>
        <v>0.84799999999999998</v>
      </c>
      <c r="D53" s="6">
        <f t="shared" si="3"/>
        <v>23.603231999999998</v>
      </c>
      <c r="E53" s="6" t="s">
        <v>14</v>
      </c>
      <c r="F53" s="12">
        <f t="shared" si="23"/>
        <v>0.8</v>
      </c>
      <c r="G53" s="6">
        <f t="shared" si="11"/>
        <v>18.882585599999999</v>
      </c>
      <c r="H53" s="6" t="s">
        <v>7</v>
      </c>
      <c r="I53" s="6">
        <f>14.5/100</f>
        <v>0.14499999999999999</v>
      </c>
      <c r="J53" s="6">
        <f t="shared" si="24"/>
        <v>2.7379749119999994</v>
      </c>
      <c r="K53" s="2" t="s">
        <v>34</v>
      </c>
      <c r="L53" s="2">
        <f>11.2/100</f>
        <v>0.11199999999999999</v>
      </c>
      <c r="M53" s="2">
        <f t="shared" si="25"/>
        <v>2.1148495871999997</v>
      </c>
    </row>
    <row r="54" spans="1:13" ht="31.2" customHeight="1" x14ac:dyDescent="0.25">
      <c r="A54" s="4">
        <v>27.834</v>
      </c>
      <c r="B54" s="2" t="s">
        <v>19</v>
      </c>
      <c r="C54" s="12">
        <f t="shared" si="22"/>
        <v>0.84799999999999998</v>
      </c>
      <c r="D54" s="6">
        <f t="shared" si="3"/>
        <v>23.603231999999998</v>
      </c>
      <c r="E54" s="6" t="s">
        <v>14</v>
      </c>
      <c r="F54" s="12">
        <f t="shared" si="23"/>
        <v>0.8</v>
      </c>
      <c r="G54" s="6">
        <f t="shared" si="11"/>
        <v>18.882585599999999</v>
      </c>
      <c r="H54" s="6" t="s">
        <v>8</v>
      </c>
      <c r="I54" s="6">
        <f>34.8/100</f>
        <v>0.34799999999999998</v>
      </c>
      <c r="J54" s="6">
        <f t="shared" si="24"/>
        <v>6.5711397887999992</v>
      </c>
      <c r="K54" s="2" t="s">
        <v>35</v>
      </c>
      <c r="L54" s="2">
        <f>29/100</f>
        <v>0.28999999999999998</v>
      </c>
      <c r="M54" s="2">
        <f t="shared" si="25"/>
        <v>5.4759498239999989</v>
      </c>
    </row>
    <row r="55" spans="1:13" ht="31.2" customHeight="1" x14ac:dyDescent="0.25">
      <c r="A55" s="4">
        <v>27.834</v>
      </c>
      <c r="B55" s="2" t="s">
        <v>19</v>
      </c>
      <c r="C55" s="12">
        <f t="shared" si="22"/>
        <v>0.84799999999999998</v>
      </c>
      <c r="D55" s="6">
        <f t="shared" si="3"/>
        <v>23.603231999999998</v>
      </c>
      <c r="E55" s="6" t="s">
        <v>14</v>
      </c>
      <c r="F55" s="12">
        <f t="shared" si="23"/>
        <v>0.8</v>
      </c>
      <c r="G55" s="6">
        <f t="shared" si="11"/>
        <v>18.882585599999999</v>
      </c>
      <c r="H55" s="6" t="s">
        <v>10</v>
      </c>
      <c r="I55" s="6">
        <f>4.1/100</f>
        <v>4.0999999999999995E-2</v>
      </c>
      <c r="J55" s="6">
        <f t="shared" si="24"/>
        <v>0.77418600959999984</v>
      </c>
      <c r="K55" s="2" t="s">
        <v>36</v>
      </c>
      <c r="L55" s="2">
        <f>25.6/100</f>
        <v>0.25600000000000001</v>
      </c>
      <c r="M55" s="2">
        <f t="shared" si="25"/>
        <v>4.8339419135999995</v>
      </c>
    </row>
    <row r="56" spans="1:13" ht="31.2" customHeight="1" x14ac:dyDescent="0.25">
      <c r="A56" s="4">
        <v>27.834</v>
      </c>
      <c r="B56" s="2" t="s">
        <v>19</v>
      </c>
      <c r="C56" s="12">
        <f t="shared" si="22"/>
        <v>0.84799999999999998</v>
      </c>
      <c r="D56" s="6">
        <f t="shared" si="3"/>
        <v>23.603231999999998</v>
      </c>
      <c r="E56" s="6" t="s">
        <v>14</v>
      </c>
      <c r="F56" s="12">
        <f t="shared" si="23"/>
        <v>0.8</v>
      </c>
      <c r="G56" s="6">
        <f t="shared" si="11"/>
        <v>18.882585599999999</v>
      </c>
      <c r="H56" s="6" t="s">
        <v>9</v>
      </c>
      <c r="I56" s="6">
        <f>27.3/100</f>
        <v>0.27300000000000002</v>
      </c>
      <c r="J56" s="6">
        <f t="shared" si="24"/>
        <v>5.1549458687999996</v>
      </c>
      <c r="K56" s="2" t="s">
        <v>37</v>
      </c>
      <c r="L56" s="2">
        <f>18.8/100</f>
        <v>0.188</v>
      </c>
      <c r="M56" s="2">
        <f t="shared" si="25"/>
        <v>3.5499260927999998</v>
      </c>
    </row>
    <row r="57" spans="1:13" ht="31.2" customHeight="1" x14ac:dyDescent="0.25">
      <c r="A57" s="4">
        <v>27.834</v>
      </c>
      <c r="B57" s="2" t="s">
        <v>19</v>
      </c>
      <c r="C57" s="12">
        <f t="shared" si="22"/>
        <v>0.84799999999999998</v>
      </c>
      <c r="D57" s="6">
        <f t="shared" si="3"/>
        <v>23.603231999999998</v>
      </c>
      <c r="E57" s="6" t="s">
        <v>14</v>
      </c>
      <c r="F57" s="12">
        <f t="shared" si="23"/>
        <v>0.8</v>
      </c>
      <c r="G57" s="6">
        <f t="shared" si="11"/>
        <v>18.882585599999999</v>
      </c>
      <c r="H57" s="6" t="s">
        <v>58</v>
      </c>
      <c r="I57" s="6">
        <f>2.2/100</f>
        <v>2.2000000000000002E-2</v>
      </c>
      <c r="J57" s="6">
        <f t="shared" si="24"/>
        <v>0.41541688320000003</v>
      </c>
      <c r="K57" s="2" t="s">
        <v>38</v>
      </c>
      <c r="L57" s="2">
        <f>3.5/100</f>
        <v>3.5000000000000003E-2</v>
      </c>
      <c r="M57" s="2">
        <f t="shared" si="25"/>
        <v>0.66089049600000005</v>
      </c>
    </row>
    <row r="58" spans="1:13" ht="31.2" customHeight="1" x14ac:dyDescent="0.25">
      <c r="A58" s="4">
        <v>27.834</v>
      </c>
      <c r="B58" s="2" t="s">
        <v>19</v>
      </c>
      <c r="C58" s="12">
        <f t="shared" si="22"/>
        <v>0.84799999999999998</v>
      </c>
      <c r="D58" s="6">
        <f t="shared" si="3"/>
        <v>23.603231999999998</v>
      </c>
      <c r="E58" s="6" t="s">
        <v>14</v>
      </c>
      <c r="F58" s="12">
        <f t="shared" si="23"/>
        <v>0.8</v>
      </c>
      <c r="G58" s="6">
        <f t="shared" si="11"/>
        <v>18.882585599999999</v>
      </c>
      <c r="H58" s="6"/>
      <c r="I58" s="6"/>
      <c r="J58" s="6"/>
      <c r="K58" s="2" t="s">
        <v>39</v>
      </c>
      <c r="L58" s="2">
        <f>1.1/100</f>
        <v>1.1000000000000001E-2</v>
      </c>
      <c r="M58" s="2">
        <f t="shared" si="25"/>
        <v>0.20770844160000002</v>
      </c>
    </row>
    <row r="59" spans="1:13" ht="32.25" customHeight="1" x14ac:dyDescent="0.25">
      <c r="A59" s="4">
        <v>27.834</v>
      </c>
      <c r="B59" s="2" t="s">
        <v>19</v>
      </c>
      <c r="C59" s="12">
        <f t="shared" si="22"/>
        <v>0.84799999999999998</v>
      </c>
      <c r="D59" s="6">
        <f t="shared" si="3"/>
        <v>23.603231999999998</v>
      </c>
      <c r="E59" s="6" t="s">
        <v>15</v>
      </c>
      <c r="F59" s="12">
        <f>84/100</f>
        <v>0.84</v>
      </c>
      <c r="G59" s="6">
        <f t="shared" si="11"/>
        <v>19.826714879999997</v>
      </c>
      <c r="H59" s="6" t="s">
        <v>11</v>
      </c>
      <c r="I59" s="6">
        <f>7.7/100</f>
        <v>7.6999999999999999E-2</v>
      </c>
      <c r="J59" s="6">
        <f>I59*G59</f>
        <v>1.5266570457599997</v>
      </c>
      <c r="K59" s="2" t="s">
        <v>32</v>
      </c>
      <c r="L59" s="2">
        <f>0.7/100</f>
        <v>6.9999999999999993E-3</v>
      </c>
      <c r="M59" s="2">
        <f>L59*G59</f>
        <v>0.13878700415999998</v>
      </c>
    </row>
    <row r="60" spans="1:13" ht="32.25" customHeight="1" x14ac:dyDescent="0.25">
      <c r="A60" s="4">
        <v>27.834</v>
      </c>
      <c r="B60" s="2" t="s">
        <v>19</v>
      </c>
      <c r="C60" s="12">
        <f t="shared" si="22"/>
        <v>0.84799999999999998</v>
      </c>
      <c r="D60" s="6">
        <f t="shared" si="3"/>
        <v>23.603231999999998</v>
      </c>
      <c r="E60" s="6" t="s">
        <v>15</v>
      </c>
      <c r="F60" s="12">
        <f t="shared" ref="F60:F66" si="26">84/100</f>
        <v>0.84</v>
      </c>
      <c r="G60" s="6">
        <f t="shared" si="11"/>
        <v>19.826714879999997</v>
      </c>
      <c r="H60" s="6" t="s">
        <v>12</v>
      </c>
      <c r="I60" s="6">
        <f>5.8/100</f>
        <v>5.7999999999999996E-2</v>
      </c>
      <c r="J60" s="6">
        <f t="shared" ref="J60:J65" si="27">I60*G60</f>
        <v>1.1499494630399998</v>
      </c>
      <c r="K60" s="2" t="s">
        <v>33</v>
      </c>
      <c r="L60" s="2">
        <f>9/100</f>
        <v>0.09</v>
      </c>
      <c r="M60" s="2">
        <f t="shared" ref="M60:M66" si="28">L60*G60</f>
        <v>1.7844043391999997</v>
      </c>
    </row>
    <row r="61" spans="1:13" ht="32.25" customHeight="1" x14ac:dyDescent="0.25">
      <c r="A61" s="4">
        <v>27.834</v>
      </c>
      <c r="B61" s="2" t="s">
        <v>19</v>
      </c>
      <c r="C61" s="12">
        <f t="shared" si="22"/>
        <v>0.84799999999999998</v>
      </c>
      <c r="D61" s="6">
        <f t="shared" si="3"/>
        <v>23.603231999999998</v>
      </c>
      <c r="E61" s="6" t="s">
        <v>15</v>
      </c>
      <c r="F61" s="12">
        <f t="shared" si="26"/>
        <v>0.84</v>
      </c>
      <c r="G61" s="6">
        <f t="shared" si="11"/>
        <v>19.826714879999997</v>
      </c>
      <c r="H61" s="6" t="s">
        <v>7</v>
      </c>
      <c r="I61" s="6">
        <f>19/100</f>
        <v>0.19</v>
      </c>
      <c r="J61" s="6">
        <f t="shared" si="27"/>
        <v>3.7670758271999993</v>
      </c>
      <c r="K61" s="2" t="s">
        <v>34</v>
      </c>
      <c r="L61" s="2">
        <f>13.2/100</f>
        <v>0.13200000000000001</v>
      </c>
      <c r="M61" s="2">
        <f t="shared" si="28"/>
        <v>2.6171263641599998</v>
      </c>
    </row>
    <row r="62" spans="1:13" ht="32.25" customHeight="1" x14ac:dyDescent="0.25">
      <c r="A62" s="4">
        <v>27.834</v>
      </c>
      <c r="B62" s="2" t="s">
        <v>19</v>
      </c>
      <c r="C62" s="12">
        <f t="shared" si="22"/>
        <v>0.84799999999999998</v>
      </c>
      <c r="D62" s="6">
        <f t="shared" si="3"/>
        <v>23.603231999999998</v>
      </c>
      <c r="E62" s="6" t="s">
        <v>15</v>
      </c>
      <c r="F62" s="12">
        <f t="shared" si="26"/>
        <v>0.84</v>
      </c>
      <c r="G62" s="6">
        <f t="shared" si="11"/>
        <v>19.826714879999997</v>
      </c>
      <c r="H62" s="6" t="s">
        <v>8</v>
      </c>
      <c r="I62" s="6">
        <f>35.7/100</f>
        <v>0.35700000000000004</v>
      </c>
      <c r="J62" s="6">
        <f t="shared" si="27"/>
        <v>7.0781372121599997</v>
      </c>
      <c r="K62" s="2" t="s">
        <v>35</v>
      </c>
      <c r="L62" s="2">
        <f>28.8/100</f>
        <v>0.28800000000000003</v>
      </c>
      <c r="M62" s="2">
        <f t="shared" si="28"/>
        <v>5.7100938854400001</v>
      </c>
    </row>
    <row r="63" spans="1:13" ht="32.25" customHeight="1" x14ac:dyDescent="0.25">
      <c r="A63" s="4">
        <v>27.834</v>
      </c>
      <c r="B63" s="2" t="s">
        <v>19</v>
      </c>
      <c r="C63" s="12">
        <f t="shared" si="22"/>
        <v>0.84799999999999998</v>
      </c>
      <c r="D63" s="6">
        <f t="shared" si="3"/>
        <v>23.603231999999998</v>
      </c>
      <c r="E63" s="6" t="s">
        <v>15</v>
      </c>
      <c r="F63" s="12">
        <f t="shared" si="26"/>
        <v>0.84</v>
      </c>
      <c r="G63" s="6">
        <f t="shared" si="11"/>
        <v>19.826714879999997</v>
      </c>
      <c r="H63" s="6" t="s">
        <v>10</v>
      </c>
      <c r="I63" s="6">
        <f>6.5/100</f>
        <v>6.5000000000000002E-2</v>
      </c>
      <c r="J63" s="6">
        <f t="shared" si="27"/>
        <v>1.2887364671999999</v>
      </c>
      <c r="K63" s="2" t="s">
        <v>36</v>
      </c>
      <c r="L63" s="2">
        <f>27/100</f>
        <v>0.27</v>
      </c>
      <c r="M63" s="2">
        <f t="shared" si="28"/>
        <v>5.3532130175999999</v>
      </c>
    </row>
    <row r="64" spans="1:13" ht="32.25" customHeight="1" x14ac:dyDescent="0.25">
      <c r="A64" s="4">
        <v>27.834</v>
      </c>
      <c r="B64" s="2" t="s">
        <v>19</v>
      </c>
      <c r="C64" s="12">
        <f t="shared" si="22"/>
        <v>0.84799999999999998</v>
      </c>
      <c r="D64" s="6">
        <f t="shared" si="3"/>
        <v>23.603231999999998</v>
      </c>
      <c r="E64" s="6" t="s">
        <v>15</v>
      </c>
      <c r="F64" s="12">
        <f t="shared" si="26"/>
        <v>0.84</v>
      </c>
      <c r="G64" s="6">
        <f t="shared" si="11"/>
        <v>19.826714879999997</v>
      </c>
      <c r="H64" s="6" t="s">
        <v>9</v>
      </c>
      <c r="I64" s="6">
        <f>22.2/100</f>
        <v>0.222</v>
      </c>
      <c r="J64" s="6">
        <f t="shared" si="27"/>
        <v>4.4015307033599997</v>
      </c>
      <c r="K64" s="2" t="s">
        <v>37</v>
      </c>
      <c r="L64" s="2">
        <f>19.6/100</f>
        <v>0.19600000000000001</v>
      </c>
      <c r="M64" s="2">
        <f t="shared" si="28"/>
        <v>3.8860361164799997</v>
      </c>
    </row>
    <row r="65" spans="1:13" ht="32.25" customHeight="1" x14ac:dyDescent="0.25">
      <c r="A65" s="4">
        <v>27.834</v>
      </c>
      <c r="B65" s="2" t="s">
        <v>19</v>
      </c>
      <c r="C65" s="12">
        <f t="shared" si="22"/>
        <v>0.84799999999999998</v>
      </c>
      <c r="D65" s="6">
        <f t="shared" si="3"/>
        <v>23.603231999999998</v>
      </c>
      <c r="E65" s="6" t="s">
        <v>15</v>
      </c>
      <c r="F65" s="12">
        <f t="shared" si="26"/>
        <v>0.84</v>
      </c>
      <c r="G65" s="6">
        <f t="shared" si="11"/>
        <v>19.826714879999997</v>
      </c>
      <c r="H65" s="6" t="s">
        <v>58</v>
      </c>
      <c r="I65" s="6">
        <f>3/100</f>
        <v>0.03</v>
      </c>
      <c r="J65" s="6">
        <f t="shared" si="27"/>
        <v>0.59480144639999988</v>
      </c>
      <c r="K65" s="2" t="s">
        <v>38</v>
      </c>
      <c r="L65" s="2">
        <f>0.7/100</f>
        <v>6.9999999999999993E-3</v>
      </c>
      <c r="M65" s="2">
        <f t="shared" si="28"/>
        <v>0.13878700415999998</v>
      </c>
    </row>
    <row r="66" spans="1:13" ht="32.25" customHeight="1" x14ac:dyDescent="0.25">
      <c r="A66" s="4">
        <v>27.834</v>
      </c>
      <c r="B66" s="2" t="s">
        <v>19</v>
      </c>
      <c r="C66" s="12">
        <f t="shared" si="22"/>
        <v>0.84799999999999998</v>
      </c>
      <c r="D66" s="6">
        <f t="shared" si="3"/>
        <v>23.603231999999998</v>
      </c>
      <c r="E66" s="6" t="s">
        <v>15</v>
      </c>
      <c r="F66" s="12">
        <f t="shared" si="26"/>
        <v>0.84</v>
      </c>
      <c r="G66" s="6">
        <f t="shared" si="11"/>
        <v>19.826714879999997</v>
      </c>
      <c r="H66" s="6"/>
      <c r="I66" s="6"/>
      <c r="J66" s="6"/>
      <c r="K66" s="2" t="s">
        <v>39</v>
      </c>
      <c r="L66" s="2">
        <f>0.9/100</f>
        <v>9.0000000000000011E-3</v>
      </c>
      <c r="M66" s="2">
        <f t="shared" si="28"/>
        <v>0.17844043392</v>
      </c>
    </row>
    <row r="67" spans="1:13" ht="32.25" customHeight="1" x14ac:dyDescent="0.25">
      <c r="A67" s="4">
        <v>27.834</v>
      </c>
      <c r="B67" s="2" t="s">
        <v>19</v>
      </c>
      <c r="C67" s="12">
        <f t="shared" si="22"/>
        <v>0.84799999999999998</v>
      </c>
      <c r="D67" s="6">
        <f t="shared" si="3"/>
        <v>23.603231999999998</v>
      </c>
      <c r="E67" s="6" t="s">
        <v>16</v>
      </c>
      <c r="F67" s="12">
        <f>83.2/100</f>
        <v>0.83200000000000007</v>
      </c>
      <c r="G67" s="6">
        <f t="shared" si="11"/>
        <v>19.637889024</v>
      </c>
      <c r="H67" s="6" t="s">
        <v>11</v>
      </c>
      <c r="I67" s="6">
        <f>12.6/100</f>
        <v>0.126</v>
      </c>
      <c r="J67" s="6">
        <f>I67*G67</f>
        <v>2.4743740170240001</v>
      </c>
      <c r="K67" s="2" t="s">
        <v>32</v>
      </c>
      <c r="L67" s="2">
        <f>3.5/100</f>
        <v>3.5000000000000003E-2</v>
      </c>
      <c r="M67" s="2">
        <f>L67*G67</f>
        <v>0.68732611584000003</v>
      </c>
    </row>
    <row r="68" spans="1:13" ht="32.25" customHeight="1" x14ac:dyDescent="0.25">
      <c r="A68" s="4">
        <v>27.834</v>
      </c>
      <c r="B68" s="2" t="s">
        <v>19</v>
      </c>
      <c r="C68" s="12">
        <f t="shared" si="22"/>
        <v>0.84799999999999998</v>
      </c>
      <c r="D68" s="6">
        <f t="shared" si="3"/>
        <v>23.603231999999998</v>
      </c>
      <c r="E68" s="6" t="s">
        <v>16</v>
      </c>
      <c r="F68" s="12">
        <f t="shared" ref="F68:F74" si="29">83.2/100</f>
        <v>0.83200000000000007</v>
      </c>
      <c r="G68" s="6">
        <f t="shared" si="11"/>
        <v>19.637889024</v>
      </c>
      <c r="H68" s="6" t="s">
        <v>12</v>
      </c>
      <c r="I68" s="6">
        <f>6.6/100</f>
        <v>6.6000000000000003E-2</v>
      </c>
      <c r="J68" s="6">
        <f t="shared" ref="J68:J73" si="30">I68*G68</f>
        <v>1.2961006755840001</v>
      </c>
      <c r="K68" s="2" t="s">
        <v>33</v>
      </c>
      <c r="L68" s="2">
        <f>10.1/100</f>
        <v>0.10099999999999999</v>
      </c>
      <c r="M68" s="2">
        <f t="shared" ref="M68:M74" si="31">L68*G68</f>
        <v>1.9834267914239998</v>
      </c>
    </row>
    <row r="69" spans="1:13" ht="32.25" customHeight="1" x14ac:dyDescent="0.25">
      <c r="A69" s="4">
        <v>27.834</v>
      </c>
      <c r="B69" s="2" t="s">
        <v>19</v>
      </c>
      <c r="C69" s="12">
        <f t="shared" si="22"/>
        <v>0.84799999999999998</v>
      </c>
      <c r="D69" s="6">
        <f t="shared" si="3"/>
        <v>23.603231999999998</v>
      </c>
      <c r="E69" s="6" t="s">
        <v>16</v>
      </c>
      <c r="F69" s="12">
        <f t="shared" si="29"/>
        <v>0.83200000000000007</v>
      </c>
      <c r="G69" s="6">
        <f t="shared" si="11"/>
        <v>19.637889024</v>
      </c>
      <c r="H69" s="6" t="s">
        <v>7</v>
      </c>
      <c r="I69" s="6">
        <f>16/100</f>
        <v>0.16</v>
      </c>
      <c r="J69" s="6">
        <f t="shared" si="30"/>
        <v>3.1420622438399999</v>
      </c>
      <c r="K69" s="2" t="s">
        <v>34</v>
      </c>
      <c r="L69" s="2">
        <f>12.1/100</f>
        <v>0.121</v>
      </c>
      <c r="M69" s="2">
        <f t="shared" si="31"/>
        <v>2.376184571904</v>
      </c>
    </row>
    <row r="70" spans="1:13" ht="32.25" customHeight="1" x14ac:dyDescent="0.25">
      <c r="A70" s="4">
        <v>27.834</v>
      </c>
      <c r="B70" s="2" t="s">
        <v>19</v>
      </c>
      <c r="C70" s="12">
        <f t="shared" si="22"/>
        <v>0.84799999999999998</v>
      </c>
      <c r="D70" s="6">
        <f t="shared" si="3"/>
        <v>23.603231999999998</v>
      </c>
      <c r="E70" s="6" t="s">
        <v>16</v>
      </c>
      <c r="F70" s="12">
        <f t="shared" si="29"/>
        <v>0.83200000000000007</v>
      </c>
      <c r="G70" s="6">
        <f t="shared" si="11"/>
        <v>19.637889024</v>
      </c>
      <c r="H70" s="6" t="s">
        <v>8</v>
      </c>
      <c r="I70" s="6">
        <f>37.9/100</f>
        <v>0.379</v>
      </c>
      <c r="J70" s="6">
        <f t="shared" si="30"/>
        <v>7.4427599400959998</v>
      </c>
      <c r="K70" s="2" t="s">
        <v>35</v>
      </c>
      <c r="L70" s="2">
        <f>30/100</f>
        <v>0.3</v>
      </c>
      <c r="M70" s="2">
        <f t="shared" si="31"/>
        <v>5.8913667071999996</v>
      </c>
    </row>
    <row r="71" spans="1:13" ht="32.25" customHeight="1" x14ac:dyDescent="0.25">
      <c r="A71" s="4">
        <v>27.834</v>
      </c>
      <c r="B71" s="2" t="s">
        <v>19</v>
      </c>
      <c r="C71" s="12">
        <f t="shared" si="22"/>
        <v>0.84799999999999998</v>
      </c>
      <c r="D71" s="6">
        <f t="shared" si="3"/>
        <v>23.603231999999998</v>
      </c>
      <c r="E71" s="6" t="s">
        <v>16</v>
      </c>
      <c r="F71" s="12">
        <f t="shared" si="29"/>
        <v>0.83200000000000007</v>
      </c>
      <c r="G71" s="6">
        <f t="shared" si="11"/>
        <v>19.637889024</v>
      </c>
      <c r="H71" s="6" t="s">
        <v>10</v>
      </c>
      <c r="I71" s="6">
        <f>4.4/100</f>
        <v>4.4000000000000004E-2</v>
      </c>
      <c r="J71" s="6">
        <f t="shared" si="30"/>
        <v>0.86406711705600003</v>
      </c>
      <c r="K71" s="2" t="s">
        <v>36</v>
      </c>
      <c r="L71" s="2">
        <f>23.9/100</f>
        <v>0.23899999999999999</v>
      </c>
      <c r="M71" s="2">
        <f t="shared" si="31"/>
        <v>4.6934554767360002</v>
      </c>
    </row>
    <row r="72" spans="1:13" ht="32.25" customHeight="1" x14ac:dyDescent="0.25">
      <c r="A72" s="4">
        <v>27.834</v>
      </c>
      <c r="B72" s="2" t="s">
        <v>19</v>
      </c>
      <c r="C72" s="12">
        <f t="shared" si="22"/>
        <v>0.84799999999999998</v>
      </c>
      <c r="D72" s="6">
        <f t="shared" si="3"/>
        <v>23.603231999999998</v>
      </c>
      <c r="E72" s="6" t="s">
        <v>16</v>
      </c>
      <c r="F72" s="12">
        <f t="shared" si="29"/>
        <v>0.83200000000000007</v>
      </c>
      <c r="G72" s="6">
        <f t="shared" si="11"/>
        <v>19.637889024</v>
      </c>
      <c r="H72" s="6" t="s">
        <v>9</v>
      </c>
      <c r="I72" s="6">
        <f>20.7/100</f>
        <v>0.20699999999999999</v>
      </c>
      <c r="J72" s="6">
        <f t="shared" si="30"/>
        <v>4.0650430279679997</v>
      </c>
      <c r="K72" s="2" t="s">
        <v>37</v>
      </c>
      <c r="L72" s="2">
        <f>17/100</f>
        <v>0.17</v>
      </c>
      <c r="M72" s="2">
        <f t="shared" si="31"/>
        <v>3.33844113408</v>
      </c>
    </row>
    <row r="73" spans="1:13" ht="32.25" customHeight="1" x14ac:dyDescent="0.25">
      <c r="A73" s="4">
        <v>27.834</v>
      </c>
      <c r="B73" s="2" t="s">
        <v>19</v>
      </c>
      <c r="C73" s="12">
        <f t="shared" si="22"/>
        <v>0.84799999999999998</v>
      </c>
      <c r="D73" s="6">
        <f t="shared" si="3"/>
        <v>23.603231999999998</v>
      </c>
      <c r="E73" s="6" t="s">
        <v>16</v>
      </c>
      <c r="F73" s="12">
        <f t="shared" si="29"/>
        <v>0.83200000000000007</v>
      </c>
      <c r="G73" s="6">
        <f t="shared" si="11"/>
        <v>19.637889024</v>
      </c>
      <c r="H73" s="6" t="s">
        <v>58</v>
      </c>
      <c r="I73" s="6">
        <f>1.9/100</f>
        <v>1.9E-2</v>
      </c>
      <c r="J73" s="8">
        <f t="shared" si="30"/>
        <v>0.373119891456</v>
      </c>
      <c r="K73" s="2" t="s">
        <v>38</v>
      </c>
      <c r="L73" s="2">
        <f>2.8/100</f>
        <v>2.7999999999999997E-2</v>
      </c>
      <c r="M73" s="2">
        <f t="shared" si="31"/>
        <v>0.54986089267199989</v>
      </c>
    </row>
    <row r="74" spans="1:13" ht="32.25" customHeight="1" x14ac:dyDescent="0.25">
      <c r="A74" s="4">
        <v>27.834</v>
      </c>
      <c r="B74" s="2" t="s">
        <v>19</v>
      </c>
      <c r="C74" s="12">
        <f t="shared" si="22"/>
        <v>0.84799999999999998</v>
      </c>
      <c r="D74" s="6">
        <f t="shared" si="3"/>
        <v>23.603231999999998</v>
      </c>
      <c r="E74" s="6" t="s">
        <v>16</v>
      </c>
      <c r="F74" s="12">
        <f t="shared" si="29"/>
        <v>0.83200000000000007</v>
      </c>
      <c r="G74" s="6">
        <f t="shared" si="11"/>
        <v>19.637889024</v>
      </c>
      <c r="H74" s="6"/>
      <c r="I74" s="6"/>
      <c r="J74" s="6"/>
      <c r="K74" s="2" t="s">
        <v>39</v>
      </c>
      <c r="L74" s="2">
        <f>0.7/100</f>
        <v>6.9999999999999993E-3</v>
      </c>
      <c r="M74" s="2">
        <f t="shared" si="31"/>
        <v>0.13746522316799997</v>
      </c>
    </row>
    <row r="75" spans="1:13" ht="32.25" customHeight="1" x14ac:dyDescent="0.25">
      <c r="A75" s="4">
        <v>27.834</v>
      </c>
      <c r="B75" s="2" t="s">
        <v>19</v>
      </c>
      <c r="C75" s="12">
        <f t="shared" si="22"/>
        <v>0.84799999999999998</v>
      </c>
      <c r="D75" s="6">
        <f t="shared" si="3"/>
        <v>23.603231999999998</v>
      </c>
      <c r="E75" s="2" t="s">
        <v>13</v>
      </c>
      <c r="F75" s="12">
        <f>83.7/100</f>
        <v>0.83700000000000008</v>
      </c>
      <c r="G75" s="6">
        <f t="shared" si="11"/>
        <v>19.755905184</v>
      </c>
      <c r="H75" s="6" t="s">
        <v>11</v>
      </c>
      <c r="I75" s="6">
        <f>16.9/100</f>
        <v>0.16899999999999998</v>
      </c>
      <c r="J75" s="8">
        <f>I75*G75</f>
        <v>3.3387479760959997</v>
      </c>
      <c r="K75" s="2" t="s">
        <v>32</v>
      </c>
      <c r="L75" s="2">
        <f>4/100</f>
        <v>0.04</v>
      </c>
      <c r="M75" s="2">
        <f>L75*G75</f>
        <v>0.79023620736</v>
      </c>
    </row>
    <row r="76" spans="1:13" ht="32.25" customHeight="1" x14ac:dyDescent="0.25">
      <c r="A76" s="4">
        <v>27.834</v>
      </c>
      <c r="B76" s="2" t="s">
        <v>19</v>
      </c>
      <c r="C76" s="12">
        <f t="shared" si="22"/>
        <v>0.84799999999999998</v>
      </c>
      <c r="D76" s="6">
        <f t="shared" si="3"/>
        <v>23.603231999999998</v>
      </c>
      <c r="E76" s="2" t="s">
        <v>13</v>
      </c>
      <c r="F76" s="12">
        <f t="shared" ref="F76:F82" si="32">83.7/100</f>
        <v>0.83700000000000008</v>
      </c>
      <c r="G76" s="6">
        <f t="shared" si="11"/>
        <v>19.755905184</v>
      </c>
      <c r="H76" s="6" t="s">
        <v>12</v>
      </c>
      <c r="I76" s="6">
        <f>7.5/100</f>
        <v>7.4999999999999997E-2</v>
      </c>
      <c r="J76" s="8">
        <f t="shared" ref="J76:J81" si="33">I76*G76</f>
        <v>1.4816928887999998</v>
      </c>
      <c r="K76" s="2" t="s">
        <v>33</v>
      </c>
      <c r="L76" s="2">
        <f>8.9/100</f>
        <v>8.900000000000001E-2</v>
      </c>
      <c r="M76" s="2">
        <f t="shared" ref="M76:M82" si="34">L76*G76</f>
        <v>1.7582755613760002</v>
      </c>
    </row>
    <row r="77" spans="1:13" ht="32.25" customHeight="1" x14ac:dyDescent="0.25">
      <c r="A77" s="4">
        <v>27.834</v>
      </c>
      <c r="B77" s="2" t="s">
        <v>19</v>
      </c>
      <c r="C77" s="12">
        <f t="shared" si="22"/>
        <v>0.84799999999999998</v>
      </c>
      <c r="D77" s="6">
        <f t="shared" si="3"/>
        <v>23.603231999999998</v>
      </c>
      <c r="E77" s="2" t="s">
        <v>13</v>
      </c>
      <c r="F77" s="12">
        <f t="shared" si="32"/>
        <v>0.83700000000000008</v>
      </c>
      <c r="G77" s="6">
        <f t="shared" si="11"/>
        <v>19.755905184</v>
      </c>
      <c r="H77" s="6" t="s">
        <v>7</v>
      </c>
      <c r="I77" s="6">
        <f>16.4/100</f>
        <v>0.16399999999999998</v>
      </c>
      <c r="J77" s="8">
        <f t="shared" si="33"/>
        <v>3.2399684501759993</v>
      </c>
      <c r="K77" s="2" t="s">
        <v>34</v>
      </c>
      <c r="L77" s="2">
        <f>11.6/100</f>
        <v>0.11599999999999999</v>
      </c>
      <c r="M77" s="2">
        <f t="shared" si="34"/>
        <v>2.2916850013439998</v>
      </c>
    </row>
    <row r="78" spans="1:13" ht="32.25" customHeight="1" x14ac:dyDescent="0.25">
      <c r="A78" s="4">
        <v>27.834</v>
      </c>
      <c r="B78" s="2" t="s">
        <v>19</v>
      </c>
      <c r="C78" s="12">
        <f t="shared" si="22"/>
        <v>0.84799999999999998</v>
      </c>
      <c r="D78" s="6">
        <f t="shared" si="3"/>
        <v>23.603231999999998</v>
      </c>
      <c r="E78" s="2" t="s">
        <v>13</v>
      </c>
      <c r="F78" s="12">
        <f t="shared" si="32"/>
        <v>0.83700000000000008</v>
      </c>
      <c r="G78" s="6">
        <f t="shared" si="11"/>
        <v>19.755905184</v>
      </c>
      <c r="H78" s="6" t="s">
        <v>8</v>
      </c>
      <c r="I78" s="6">
        <f>39.7/100</f>
        <v>0.39700000000000002</v>
      </c>
      <c r="J78" s="8">
        <f t="shared" si="33"/>
        <v>7.8430943580479999</v>
      </c>
      <c r="K78" s="2" t="s">
        <v>35</v>
      </c>
      <c r="L78" s="2">
        <f>31/100</f>
        <v>0.31</v>
      </c>
      <c r="M78" s="2">
        <f t="shared" si="34"/>
        <v>6.1243306070400001</v>
      </c>
    </row>
    <row r="79" spans="1:13" ht="32.25" customHeight="1" x14ac:dyDescent="0.25">
      <c r="A79" s="4">
        <v>27.834</v>
      </c>
      <c r="B79" s="2" t="s">
        <v>19</v>
      </c>
      <c r="C79" s="12">
        <f t="shared" si="22"/>
        <v>0.84799999999999998</v>
      </c>
      <c r="D79" s="6">
        <f t="shared" si="3"/>
        <v>23.603231999999998</v>
      </c>
      <c r="E79" s="2" t="s">
        <v>13</v>
      </c>
      <c r="F79" s="12">
        <f t="shared" si="32"/>
        <v>0.83700000000000008</v>
      </c>
      <c r="G79" s="6">
        <f t="shared" si="11"/>
        <v>19.755905184</v>
      </c>
      <c r="H79" s="6" t="s">
        <v>10</v>
      </c>
      <c r="I79" s="6">
        <f>3.1/100</f>
        <v>3.1E-2</v>
      </c>
      <c r="J79" s="8">
        <f t="shared" si="33"/>
        <v>0.61243306070399994</v>
      </c>
      <c r="K79" s="2" t="s">
        <v>36</v>
      </c>
      <c r="L79" s="2">
        <f>23.5/100</f>
        <v>0.23499999999999999</v>
      </c>
      <c r="M79" s="2">
        <f t="shared" si="34"/>
        <v>4.6426377182399996</v>
      </c>
    </row>
    <row r="80" spans="1:13" ht="32.25" customHeight="1" x14ac:dyDescent="0.25">
      <c r="A80" s="4">
        <v>27.834</v>
      </c>
      <c r="B80" s="2" t="s">
        <v>19</v>
      </c>
      <c r="C80" s="12">
        <f t="shared" si="22"/>
        <v>0.84799999999999998</v>
      </c>
      <c r="D80" s="6">
        <f t="shared" si="3"/>
        <v>23.603231999999998</v>
      </c>
      <c r="E80" s="2" t="s">
        <v>13</v>
      </c>
      <c r="F80" s="12">
        <f t="shared" si="32"/>
        <v>0.83700000000000008</v>
      </c>
      <c r="G80" s="6">
        <f t="shared" si="11"/>
        <v>19.755905184</v>
      </c>
      <c r="H80" s="6" t="s">
        <v>9</v>
      </c>
      <c r="I80" s="6">
        <f>14/100</f>
        <v>0.14000000000000001</v>
      </c>
      <c r="J80" s="8">
        <f t="shared" si="33"/>
        <v>2.7658267257600002</v>
      </c>
      <c r="K80" s="2" t="s">
        <v>37</v>
      </c>
      <c r="L80" s="2">
        <f>16.8/100</f>
        <v>0.16800000000000001</v>
      </c>
      <c r="M80" s="2">
        <f t="shared" si="34"/>
        <v>3.318992070912</v>
      </c>
    </row>
    <row r="81" spans="1:13" ht="32.25" customHeight="1" x14ac:dyDescent="0.25">
      <c r="A81" s="4">
        <v>27.834</v>
      </c>
      <c r="B81" s="2" t="s">
        <v>19</v>
      </c>
      <c r="C81" s="12">
        <f t="shared" si="22"/>
        <v>0.84799999999999998</v>
      </c>
      <c r="D81" s="6">
        <f t="shared" si="3"/>
        <v>23.603231999999998</v>
      </c>
      <c r="E81" s="2" t="s">
        <v>13</v>
      </c>
      <c r="F81" s="12">
        <f t="shared" si="32"/>
        <v>0.83700000000000008</v>
      </c>
      <c r="G81" s="6">
        <f t="shared" si="11"/>
        <v>19.755905184</v>
      </c>
      <c r="H81" s="6" t="s">
        <v>58</v>
      </c>
      <c r="I81" s="6">
        <f>2.6/100</f>
        <v>2.6000000000000002E-2</v>
      </c>
      <c r="J81" s="8">
        <f t="shared" si="33"/>
        <v>0.513653534784</v>
      </c>
      <c r="K81" s="2" t="s">
        <v>38</v>
      </c>
      <c r="L81" s="2">
        <f>2.7/100</f>
        <v>2.7000000000000003E-2</v>
      </c>
      <c r="M81" s="2">
        <f t="shared" si="34"/>
        <v>0.53340943996800005</v>
      </c>
    </row>
    <row r="82" spans="1:13" ht="32.25" customHeight="1" x14ac:dyDescent="0.25">
      <c r="A82" s="4">
        <v>27.834</v>
      </c>
      <c r="B82" s="2" t="s">
        <v>19</v>
      </c>
      <c r="C82" s="12">
        <f t="shared" si="22"/>
        <v>0.84799999999999998</v>
      </c>
      <c r="D82" s="6">
        <f t="shared" si="3"/>
        <v>23.603231999999998</v>
      </c>
      <c r="E82" s="2" t="s">
        <v>13</v>
      </c>
      <c r="F82" s="12">
        <f t="shared" si="32"/>
        <v>0.83700000000000008</v>
      </c>
      <c r="G82" s="6">
        <f t="shared" si="11"/>
        <v>19.755905184</v>
      </c>
      <c r="H82" s="6"/>
      <c r="I82" s="6"/>
      <c r="J82" s="8"/>
      <c r="K82" s="2" t="s">
        <v>39</v>
      </c>
      <c r="L82" s="2">
        <f>1.5/100</f>
        <v>1.4999999999999999E-2</v>
      </c>
      <c r="M82" s="2">
        <f t="shared" si="34"/>
        <v>0.29633857776</v>
      </c>
    </row>
    <row r="83" spans="1:13" ht="32.25" customHeight="1" x14ac:dyDescent="0.25">
      <c r="A83" s="4">
        <v>27.834</v>
      </c>
      <c r="B83" s="2" t="s">
        <v>19</v>
      </c>
      <c r="C83" s="12">
        <f t="shared" si="22"/>
        <v>0.84799999999999998</v>
      </c>
      <c r="D83" s="6">
        <f t="shared" si="3"/>
        <v>23.603231999999998</v>
      </c>
      <c r="E83" s="2" t="s">
        <v>17</v>
      </c>
      <c r="F83" s="12">
        <f>90.5/100</f>
        <v>0.90500000000000003</v>
      </c>
      <c r="G83" s="6">
        <f t="shared" si="11"/>
        <v>21.360924959999998</v>
      </c>
      <c r="H83" s="6" t="s">
        <v>11</v>
      </c>
      <c r="I83" s="6">
        <f>21.2/100</f>
        <v>0.21199999999999999</v>
      </c>
      <c r="J83" s="6">
        <f>I83*G83</f>
        <v>4.5285160915199993</v>
      </c>
      <c r="K83" s="2" t="s">
        <v>32</v>
      </c>
      <c r="L83" s="2">
        <f>4.5/100</f>
        <v>4.4999999999999998E-2</v>
      </c>
      <c r="M83" s="2">
        <f>L83*G83</f>
        <v>0.96124162319999984</v>
      </c>
    </row>
    <row r="84" spans="1:13" ht="32.25" customHeight="1" x14ac:dyDescent="0.25">
      <c r="A84" s="4">
        <v>27.834</v>
      </c>
      <c r="B84" s="2" t="s">
        <v>19</v>
      </c>
      <c r="C84" s="12">
        <f t="shared" si="22"/>
        <v>0.84799999999999998</v>
      </c>
      <c r="D84" s="6">
        <f t="shared" si="3"/>
        <v>23.603231999999998</v>
      </c>
      <c r="E84" s="2" t="s">
        <v>17</v>
      </c>
      <c r="F84" s="12">
        <f t="shared" ref="F84:F90" si="35">90.5/100</f>
        <v>0.90500000000000003</v>
      </c>
      <c r="G84" s="6">
        <f t="shared" si="11"/>
        <v>21.360924959999998</v>
      </c>
      <c r="H84" s="6" t="s">
        <v>12</v>
      </c>
      <c r="I84" s="6">
        <f>4.2/100</f>
        <v>4.2000000000000003E-2</v>
      </c>
      <c r="J84" s="6">
        <f t="shared" ref="J84:J89" si="36">I84*G84</f>
        <v>0.89715884832000004</v>
      </c>
      <c r="K84" s="2" t="s">
        <v>33</v>
      </c>
      <c r="L84" s="2">
        <f>7.5/100</f>
        <v>7.4999999999999997E-2</v>
      </c>
      <c r="M84" s="2">
        <f t="shared" ref="M84:M90" si="37">L84*G84</f>
        <v>1.6020693719999999</v>
      </c>
    </row>
    <row r="85" spans="1:13" ht="32.25" customHeight="1" x14ac:dyDescent="0.25">
      <c r="A85" s="4">
        <v>27.834</v>
      </c>
      <c r="B85" s="2" t="s">
        <v>19</v>
      </c>
      <c r="C85" s="12">
        <f t="shared" si="22"/>
        <v>0.84799999999999998</v>
      </c>
      <c r="D85" s="6">
        <f t="shared" si="3"/>
        <v>23.603231999999998</v>
      </c>
      <c r="E85" s="2" t="s">
        <v>17</v>
      </c>
      <c r="F85" s="12">
        <f t="shared" si="35"/>
        <v>0.90500000000000003</v>
      </c>
      <c r="G85" s="6">
        <f t="shared" si="11"/>
        <v>21.360924959999998</v>
      </c>
      <c r="H85" s="6" t="s">
        <v>7</v>
      </c>
      <c r="I85" s="6">
        <f>33.2/100</f>
        <v>0.33200000000000002</v>
      </c>
      <c r="J85" s="6">
        <f t="shared" si="36"/>
        <v>7.0918270867199995</v>
      </c>
      <c r="K85" s="2" t="s">
        <v>34</v>
      </c>
      <c r="L85" s="2">
        <f>19.2/100</f>
        <v>0.192</v>
      </c>
      <c r="M85" s="2">
        <f t="shared" si="37"/>
        <v>4.1012975923199999</v>
      </c>
    </row>
    <row r="86" spans="1:13" ht="32.25" customHeight="1" x14ac:dyDescent="0.25">
      <c r="A86" s="4">
        <v>27.834</v>
      </c>
      <c r="B86" s="2" t="s">
        <v>19</v>
      </c>
      <c r="C86" s="12">
        <f t="shared" si="22"/>
        <v>0.84799999999999998</v>
      </c>
      <c r="D86" s="6">
        <f t="shared" si="3"/>
        <v>23.603231999999998</v>
      </c>
      <c r="E86" s="2" t="s">
        <v>17</v>
      </c>
      <c r="F86" s="12">
        <f t="shared" si="35"/>
        <v>0.90500000000000003</v>
      </c>
      <c r="G86" s="6">
        <f t="shared" si="11"/>
        <v>21.360924959999998</v>
      </c>
      <c r="H86" s="6" t="s">
        <v>8</v>
      </c>
      <c r="I86" s="6">
        <f>23/100</f>
        <v>0.23</v>
      </c>
      <c r="J86" s="6">
        <f t="shared" si="36"/>
        <v>4.9130127408000002</v>
      </c>
      <c r="K86" s="2" t="s">
        <v>35</v>
      </c>
      <c r="L86" s="2">
        <f>33.5/100</f>
        <v>0.33500000000000002</v>
      </c>
      <c r="M86" s="2">
        <f t="shared" si="37"/>
        <v>7.1559098615999996</v>
      </c>
    </row>
    <row r="87" spans="1:13" ht="32.25" customHeight="1" x14ac:dyDescent="0.25">
      <c r="A87" s="4">
        <v>27.834</v>
      </c>
      <c r="B87" s="2" t="s">
        <v>19</v>
      </c>
      <c r="C87" s="12">
        <f t="shared" si="22"/>
        <v>0.84799999999999998</v>
      </c>
      <c r="D87" s="6">
        <f t="shared" si="3"/>
        <v>23.603231999999998</v>
      </c>
      <c r="E87" s="2" t="s">
        <v>17</v>
      </c>
      <c r="F87" s="12">
        <f t="shared" si="35"/>
        <v>0.90500000000000003</v>
      </c>
      <c r="G87" s="6">
        <f t="shared" si="11"/>
        <v>21.360924959999998</v>
      </c>
      <c r="H87" s="6" t="s">
        <v>10</v>
      </c>
      <c r="I87" s="6">
        <f>3/100</f>
        <v>0.03</v>
      </c>
      <c r="J87" s="6">
        <f t="shared" si="36"/>
        <v>0.64082774879999993</v>
      </c>
      <c r="K87" s="2" t="s">
        <v>36</v>
      </c>
      <c r="L87" s="2">
        <f>20.7/100</f>
        <v>0.20699999999999999</v>
      </c>
      <c r="M87" s="2">
        <f t="shared" si="37"/>
        <v>4.4217114667199997</v>
      </c>
    </row>
    <row r="88" spans="1:13" ht="32.25" customHeight="1" x14ac:dyDescent="0.25">
      <c r="A88" s="4">
        <v>27.834</v>
      </c>
      <c r="B88" s="2" t="s">
        <v>19</v>
      </c>
      <c r="C88" s="12">
        <f t="shared" si="22"/>
        <v>0.84799999999999998</v>
      </c>
      <c r="D88" s="6">
        <f t="shared" si="3"/>
        <v>23.603231999999998</v>
      </c>
      <c r="E88" s="2" t="s">
        <v>17</v>
      </c>
      <c r="F88" s="12">
        <f t="shared" si="35"/>
        <v>0.90500000000000003</v>
      </c>
      <c r="G88" s="6">
        <f t="shared" si="11"/>
        <v>21.360924959999998</v>
      </c>
      <c r="H88" s="6" t="s">
        <v>9</v>
      </c>
      <c r="I88" s="6">
        <f>13.3/100</f>
        <v>0.13300000000000001</v>
      </c>
      <c r="J88" s="6">
        <f t="shared" si="36"/>
        <v>2.84100301968</v>
      </c>
      <c r="K88" s="2" t="s">
        <v>37</v>
      </c>
      <c r="L88" s="2">
        <f>13.3/100</f>
        <v>0.13300000000000001</v>
      </c>
      <c r="M88" s="2">
        <f t="shared" si="37"/>
        <v>2.84100301968</v>
      </c>
    </row>
    <row r="89" spans="1:13" ht="32.25" customHeight="1" x14ac:dyDescent="0.25">
      <c r="A89" s="4">
        <v>27.834</v>
      </c>
      <c r="B89" s="2" t="s">
        <v>19</v>
      </c>
      <c r="C89" s="12">
        <f t="shared" si="22"/>
        <v>0.84799999999999998</v>
      </c>
      <c r="D89" s="6">
        <f t="shared" si="3"/>
        <v>23.603231999999998</v>
      </c>
      <c r="E89" s="2" t="s">
        <v>17</v>
      </c>
      <c r="F89" s="12">
        <f t="shared" si="35"/>
        <v>0.90500000000000003</v>
      </c>
      <c r="G89" s="6">
        <f t="shared" si="11"/>
        <v>21.360924959999998</v>
      </c>
      <c r="H89" s="6" t="s">
        <v>58</v>
      </c>
      <c r="I89" s="6">
        <f>2/100</f>
        <v>0.02</v>
      </c>
      <c r="J89" s="8">
        <f t="shared" si="36"/>
        <v>0.42721849919999999</v>
      </c>
      <c r="K89" s="2" t="s">
        <v>38</v>
      </c>
      <c r="L89" s="2">
        <f>1/100</f>
        <v>0.01</v>
      </c>
      <c r="M89" s="2">
        <f t="shared" si="37"/>
        <v>0.2136092496</v>
      </c>
    </row>
    <row r="90" spans="1:13" ht="32.25" customHeight="1" x14ac:dyDescent="0.25">
      <c r="A90" s="4">
        <v>27.834</v>
      </c>
      <c r="B90" s="2" t="s">
        <v>19</v>
      </c>
      <c r="C90" s="12">
        <f t="shared" si="22"/>
        <v>0.84799999999999998</v>
      </c>
      <c r="D90" s="6">
        <f t="shared" si="3"/>
        <v>23.603231999999998</v>
      </c>
      <c r="E90" s="2" t="s">
        <v>17</v>
      </c>
      <c r="F90" s="12">
        <f t="shared" si="35"/>
        <v>0.90500000000000003</v>
      </c>
      <c r="G90" s="6">
        <f t="shared" si="11"/>
        <v>21.360924959999998</v>
      </c>
      <c r="H90" s="6"/>
      <c r="I90" s="6"/>
      <c r="J90" s="6"/>
      <c r="K90" s="2" t="s">
        <v>39</v>
      </c>
      <c r="L90" s="2">
        <f>0.3/100</f>
        <v>3.0000000000000001E-3</v>
      </c>
      <c r="M90" s="2">
        <f t="shared" si="37"/>
        <v>6.4082774879999999E-2</v>
      </c>
    </row>
    <row r="91" spans="1:13" ht="32.25" customHeight="1" x14ac:dyDescent="0.25">
      <c r="A91" s="4">
        <v>27.834</v>
      </c>
      <c r="B91" s="2" t="s">
        <v>19</v>
      </c>
      <c r="C91" s="12">
        <f t="shared" si="22"/>
        <v>0.84799999999999998</v>
      </c>
      <c r="D91" s="6">
        <f t="shared" si="3"/>
        <v>23.603231999999998</v>
      </c>
      <c r="E91" s="2" t="s">
        <v>18</v>
      </c>
      <c r="F91" s="12">
        <f>90.5/100</f>
        <v>0.90500000000000003</v>
      </c>
      <c r="G91" s="6">
        <f t="shared" si="11"/>
        <v>21.360924959999998</v>
      </c>
      <c r="H91" s="6" t="s">
        <v>11</v>
      </c>
      <c r="I91" s="6">
        <f>19.8/100</f>
        <v>0.19800000000000001</v>
      </c>
      <c r="J91" s="6">
        <f>I91*G91</f>
        <v>4.2294631420800002</v>
      </c>
      <c r="K91" s="2" t="s">
        <v>32</v>
      </c>
      <c r="L91" s="2">
        <f>5.7/100</f>
        <v>5.7000000000000002E-2</v>
      </c>
      <c r="M91" s="2">
        <f>L91*G91</f>
        <v>1.2175727227199999</v>
      </c>
    </row>
    <row r="92" spans="1:13" ht="32.25" customHeight="1" x14ac:dyDescent="0.25">
      <c r="A92" s="4">
        <v>27.834</v>
      </c>
      <c r="B92" s="2" t="s">
        <v>19</v>
      </c>
      <c r="C92" s="12">
        <f t="shared" si="22"/>
        <v>0.84799999999999998</v>
      </c>
      <c r="D92" s="6">
        <f t="shared" ref="D92:D98" si="38">C92*A92</f>
        <v>23.603231999999998</v>
      </c>
      <c r="E92" s="2" t="s">
        <v>18</v>
      </c>
      <c r="F92" s="12">
        <f t="shared" ref="F92:F98" si="39">90.5/100</f>
        <v>0.90500000000000003</v>
      </c>
      <c r="G92" s="6">
        <f t="shared" si="11"/>
        <v>21.360924959999998</v>
      </c>
      <c r="H92" s="6" t="s">
        <v>12</v>
      </c>
      <c r="I92" s="6">
        <f>9.2/100</f>
        <v>9.1999999999999998E-2</v>
      </c>
      <c r="J92" s="6">
        <f t="shared" ref="J92:J97" si="40">I92*G92</f>
        <v>1.9652050963199998</v>
      </c>
      <c r="K92" s="2" t="s">
        <v>33</v>
      </c>
      <c r="L92" s="2">
        <f>12.8/100</f>
        <v>0.128</v>
      </c>
      <c r="M92" s="2">
        <f t="shared" ref="M92:M98" si="41">L92*G92</f>
        <v>2.7341983948799999</v>
      </c>
    </row>
    <row r="93" spans="1:13" ht="32.25" customHeight="1" x14ac:dyDescent="0.25">
      <c r="A93" s="4">
        <v>27.834</v>
      </c>
      <c r="B93" s="2" t="s">
        <v>19</v>
      </c>
      <c r="C93" s="12">
        <f t="shared" si="22"/>
        <v>0.84799999999999998</v>
      </c>
      <c r="D93" s="6">
        <f t="shared" si="38"/>
        <v>23.603231999999998</v>
      </c>
      <c r="E93" s="2" t="s">
        <v>18</v>
      </c>
      <c r="F93" s="12">
        <f t="shared" si="39"/>
        <v>0.90500000000000003</v>
      </c>
      <c r="G93" s="6">
        <f t="shared" si="11"/>
        <v>21.360924959999998</v>
      </c>
      <c r="H93" s="6" t="s">
        <v>7</v>
      </c>
      <c r="I93" s="6">
        <f>17.8/100</f>
        <v>0.17800000000000002</v>
      </c>
      <c r="J93" s="6">
        <f t="shared" si="40"/>
        <v>3.8022446428800003</v>
      </c>
      <c r="K93" s="2" t="s">
        <v>34</v>
      </c>
      <c r="L93" s="2">
        <f>14.4/100</f>
        <v>0.14400000000000002</v>
      </c>
      <c r="M93" s="2">
        <f t="shared" si="41"/>
        <v>3.0759731942399999</v>
      </c>
    </row>
    <row r="94" spans="1:13" ht="32.25" customHeight="1" x14ac:dyDescent="0.25">
      <c r="A94" s="4">
        <v>27.834</v>
      </c>
      <c r="B94" s="2" t="s">
        <v>19</v>
      </c>
      <c r="C94" s="12">
        <f t="shared" si="22"/>
        <v>0.84799999999999998</v>
      </c>
      <c r="D94" s="6">
        <f t="shared" si="38"/>
        <v>23.603231999999998</v>
      </c>
      <c r="E94" s="2" t="s">
        <v>18</v>
      </c>
      <c r="F94" s="12">
        <f t="shared" si="39"/>
        <v>0.90500000000000003</v>
      </c>
      <c r="G94" s="6">
        <f t="shared" si="11"/>
        <v>21.360924959999998</v>
      </c>
      <c r="H94" s="6" t="s">
        <v>8</v>
      </c>
      <c r="I94" s="6">
        <f>39.9/100</f>
        <v>0.39899999999999997</v>
      </c>
      <c r="J94" s="6">
        <f t="shared" si="40"/>
        <v>8.5230090590399978</v>
      </c>
      <c r="K94" s="2" t="s">
        <v>35</v>
      </c>
      <c r="L94" s="2">
        <f>28.4/100</f>
        <v>0.28399999999999997</v>
      </c>
      <c r="M94" s="2">
        <f t="shared" si="41"/>
        <v>6.0665026886399991</v>
      </c>
    </row>
    <row r="95" spans="1:13" ht="32.25" customHeight="1" x14ac:dyDescent="0.25">
      <c r="A95" s="4">
        <v>27.834</v>
      </c>
      <c r="B95" s="2" t="s">
        <v>19</v>
      </c>
      <c r="C95" s="12">
        <f t="shared" si="22"/>
        <v>0.84799999999999998</v>
      </c>
      <c r="D95" s="6">
        <f t="shared" si="38"/>
        <v>23.603231999999998</v>
      </c>
      <c r="E95" s="2" t="s">
        <v>18</v>
      </c>
      <c r="F95" s="12">
        <f t="shared" si="39"/>
        <v>0.90500000000000003</v>
      </c>
      <c r="G95" s="6">
        <f t="shared" si="11"/>
        <v>21.360924959999998</v>
      </c>
      <c r="H95" s="6" t="s">
        <v>10</v>
      </c>
      <c r="I95" s="6">
        <f>2.9/100</f>
        <v>2.8999999999999998E-2</v>
      </c>
      <c r="J95" s="6">
        <f t="shared" si="40"/>
        <v>0.61946682383999996</v>
      </c>
      <c r="K95" s="2" t="s">
        <v>36</v>
      </c>
      <c r="L95" s="2">
        <f>19.6/100</f>
        <v>0.19600000000000001</v>
      </c>
      <c r="M95" s="2">
        <f t="shared" si="41"/>
        <v>4.1867412921599998</v>
      </c>
    </row>
    <row r="96" spans="1:13" ht="32.25" customHeight="1" x14ac:dyDescent="0.25">
      <c r="A96" s="4">
        <v>27.834</v>
      </c>
      <c r="B96" s="2" t="s">
        <v>19</v>
      </c>
      <c r="C96" s="12">
        <f t="shared" si="22"/>
        <v>0.84799999999999998</v>
      </c>
      <c r="D96" s="6">
        <f t="shared" si="38"/>
        <v>23.603231999999998</v>
      </c>
      <c r="E96" s="2" t="s">
        <v>18</v>
      </c>
      <c r="F96" s="12">
        <f t="shared" si="39"/>
        <v>0.90500000000000003</v>
      </c>
      <c r="G96" s="6">
        <f t="shared" si="11"/>
        <v>21.360924959999998</v>
      </c>
      <c r="H96" s="6" t="s">
        <v>9</v>
      </c>
      <c r="I96" s="6">
        <f>8.4/100</f>
        <v>8.4000000000000005E-2</v>
      </c>
      <c r="J96" s="6">
        <f t="shared" si="40"/>
        <v>1.7943176966400001</v>
      </c>
      <c r="K96" s="2" t="s">
        <v>37</v>
      </c>
      <c r="L96" s="2">
        <f>14.3/100</f>
        <v>0.14300000000000002</v>
      </c>
      <c r="M96" s="2">
        <f t="shared" si="41"/>
        <v>3.0546122692800002</v>
      </c>
    </row>
    <row r="97" spans="1:13" ht="32.25" customHeight="1" x14ac:dyDescent="0.25">
      <c r="A97" s="4">
        <v>27.834</v>
      </c>
      <c r="B97" s="2" t="s">
        <v>19</v>
      </c>
      <c r="C97" s="12">
        <f t="shared" si="22"/>
        <v>0.84799999999999998</v>
      </c>
      <c r="D97" s="6">
        <f t="shared" si="38"/>
        <v>23.603231999999998</v>
      </c>
      <c r="E97" s="2" t="s">
        <v>18</v>
      </c>
      <c r="F97" s="12">
        <f t="shared" si="39"/>
        <v>0.90500000000000003</v>
      </c>
      <c r="G97" s="6">
        <f t="shared" si="11"/>
        <v>21.360924959999998</v>
      </c>
      <c r="H97" s="6" t="s">
        <v>58</v>
      </c>
      <c r="I97" s="6">
        <f>2/100</f>
        <v>0.02</v>
      </c>
      <c r="J97" s="8">
        <f t="shared" si="40"/>
        <v>0.42721849919999999</v>
      </c>
      <c r="K97" s="2" t="s">
        <v>38</v>
      </c>
      <c r="L97" s="2">
        <f>2.8/100</f>
        <v>2.7999999999999997E-2</v>
      </c>
      <c r="M97" s="2">
        <f t="shared" si="41"/>
        <v>0.59810589887999988</v>
      </c>
    </row>
    <row r="98" spans="1:13" ht="32.25" customHeight="1" x14ac:dyDescent="0.25">
      <c r="A98" s="4">
        <v>27.834</v>
      </c>
      <c r="B98" s="2" t="s">
        <v>19</v>
      </c>
      <c r="C98" s="12">
        <f t="shared" si="22"/>
        <v>0.84799999999999998</v>
      </c>
      <c r="D98" s="6">
        <f t="shared" si="38"/>
        <v>23.603231999999998</v>
      </c>
      <c r="E98" s="2" t="s">
        <v>18</v>
      </c>
      <c r="F98" s="12">
        <f t="shared" si="39"/>
        <v>0.90500000000000003</v>
      </c>
      <c r="G98" s="6">
        <f>F98*D98</f>
        <v>21.360924959999998</v>
      </c>
      <c r="H98" s="2"/>
      <c r="I98" s="2"/>
      <c r="J98" s="2"/>
      <c r="K98" s="2" t="s">
        <v>39</v>
      </c>
      <c r="L98" s="2">
        <f>1.9/100</f>
        <v>1.9E-2</v>
      </c>
      <c r="M98" s="2">
        <f t="shared" si="41"/>
        <v>0.40585757423999996</v>
      </c>
    </row>
    <row r="99" spans="1:13" ht="32.25" customHeight="1" x14ac:dyDescent="0.25"/>
    <row r="100" spans="1:13" ht="32.25" customHeight="1" x14ac:dyDescent="0.25"/>
    <row r="101" spans="1:13" ht="32.25" customHeight="1" x14ac:dyDescent="0.25"/>
    <row r="102" spans="1:13" ht="32.25" customHeight="1" x14ac:dyDescent="0.25"/>
    <row r="103" spans="1:13" ht="32.25" customHeight="1" x14ac:dyDescent="0.25"/>
    <row r="104" spans="1:13" ht="32.25" customHeight="1" x14ac:dyDescent="0.25"/>
    <row r="105" spans="1:13" ht="32.25" customHeight="1" x14ac:dyDescent="0.25"/>
    <row r="106" spans="1:13" ht="32.25" customHeight="1" x14ac:dyDescent="0.25"/>
    <row r="107" spans="1:13" ht="32.25" customHeight="1" x14ac:dyDescent="0.25"/>
    <row r="108" spans="1:13" ht="32.25" customHeight="1" x14ac:dyDescent="0.25"/>
    <row r="109" spans="1:13" ht="32.25" customHeight="1" x14ac:dyDescent="0.25"/>
    <row r="110" spans="1:13" ht="32.25" customHeight="1" x14ac:dyDescent="0.25"/>
    <row r="111" spans="1:13" ht="32.25" customHeight="1" x14ac:dyDescent="0.25"/>
    <row r="112" spans="1:13" ht="32.25" customHeight="1" x14ac:dyDescent="0.25"/>
    <row r="113" ht="32.25" customHeight="1" x14ac:dyDescent="0.25"/>
    <row r="114" ht="32.25" customHeight="1" x14ac:dyDescent="0.25"/>
    <row r="115" ht="32.25" customHeight="1" x14ac:dyDescent="0.25"/>
    <row r="116" ht="32.25" customHeight="1" x14ac:dyDescent="0.25"/>
    <row r="117" ht="32.25" customHeight="1" x14ac:dyDescent="0.25"/>
    <row r="118" ht="32.25" customHeight="1" x14ac:dyDescent="0.25"/>
    <row r="119" ht="32.25" customHeight="1" x14ac:dyDescent="0.25"/>
    <row r="120" ht="32.25" customHeight="1" x14ac:dyDescent="0.25"/>
    <row r="121" ht="32.25" customHeight="1" x14ac:dyDescent="0.25"/>
    <row r="122" ht="32.25" customHeight="1" x14ac:dyDescent="0.25"/>
    <row r="123" ht="32.25" customHeight="1" x14ac:dyDescent="0.25"/>
    <row r="124" ht="32.25" customHeight="1" x14ac:dyDescent="0.25"/>
    <row r="125" ht="32.25" customHeight="1" x14ac:dyDescent="0.25"/>
    <row r="126" ht="32.25" customHeight="1" x14ac:dyDescent="0.25"/>
    <row r="127" ht="32.25" customHeight="1" x14ac:dyDescent="0.25"/>
    <row r="128" ht="32.25" customHeight="1" x14ac:dyDescent="0.25"/>
    <row r="129" spans="5:9" ht="32.25" customHeight="1" x14ac:dyDescent="0.25"/>
    <row r="130" spans="5:9" ht="32.25" customHeight="1" x14ac:dyDescent="0.25"/>
    <row r="131" spans="5:9" ht="32.25" customHeight="1" x14ac:dyDescent="0.25"/>
    <row r="132" spans="5:9" ht="32.25" customHeight="1" x14ac:dyDescent="0.25"/>
    <row r="133" spans="5:9" ht="32.25" customHeight="1" x14ac:dyDescent="0.25"/>
    <row r="134" spans="5:9" x14ac:dyDescent="0.25">
      <c r="E134" t="s">
        <v>21</v>
      </c>
      <c r="G134" s="22" t="s">
        <v>20</v>
      </c>
      <c r="H134" s="22"/>
      <c r="I134" s="22"/>
    </row>
    <row r="135" spans="5:9" x14ac:dyDescent="0.25">
      <c r="G135" s="22"/>
      <c r="H135" s="22"/>
      <c r="I135" s="22"/>
    </row>
    <row r="136" spans="5:9" x14ac:dyDescent="0.25">
      <c r="G136" s="22"/>
      <c r="H136" s="22"/>
      <c r="I136" s="22"/>
    </row>
  </sheetData>
  <mergeCells count="2">
    <mergeCell ref="E1:J1"/>
    <mergeCell ref="G134:I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99"/>
  <sheetViews>
    <sheetView workbookViewId="0">
      <selection activeCell="A3" sqref="A3:M3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79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26.091999999999999</v>
      </c>
      <c r="B4" s="4" t="s">
        <v>2</v>
      </c>
      <c r="C4" s="5">
        <f>19.8/100</f>
        <v>0.19800000000000001</v>
      </c>
      <c r="D4" s="6">
        <f>C4*A4</f>
        <v>5.1662160000000004</v>
      </c>
      <c r="E4" s="6" t="s">
        <v>14</v>
      </c>
      <c r="F4" s="5">
        <f>19.6/100</f>
        <v>0.19600000000000001</v>
      </c>
      <c r="G4" s="5">
        <f>D4*F4</f>
        <v>1.012578336</v>
      </c>
      <c r="H4" s="6" t="s">
        <v>11</v>
      </c>
      <c r="I4" s="6">
        <f>8.8/100</f>
        <v>8.8000000000000009E-2</v>
      </c>
      <c r="J4" s="7">
        <f>I4*G4</f>
        <v>8.9106893568000015E-2</v>
      </c>
      <c r="K4" s="2" t="s">
        <v>32</v>
      </c>
      <c r="L4" s="2">
        <f>1.3/100</f>
        <v>1.3000000000000001E-2</v>
      </c>
      <c r="M4" s="2">
        <f>L4*G4</f>
        <v>1.3163518368000001E-2</v>
      </c>
    </row>
    <row r="5" spans="1:13" x14ac:dyDescent="0.25">
      <c r="A5" s="4">
        <v>26.091999999999999</v>
      </c>
      <c r="B5" s="4" t="s">
        <v>2</v>
      </c>
      <c r="C5" s="5">
        <f t="shared" ref="C5:C51" si="0">19.8/100</f>
        <v>0.19800000000000001</v>
      </c>
      <c r="D5" s="6">
        <f>C5*A5</f>
        <v>5.1662160000000004</v>
      </c>
      <c r="E5" s="6" t="s">
        <v>43</v>
      </c>
      <c r="F5" s="5">
        <f t="shared" ref="F5:F11" si="1">19.6/100</f>
        <v>0.19600000000000001</v>
      </c>
      <c r="G5" s="5">
        <f>D5*F5</f>
        <v>1.012578336</v>
      </c>
      <c r="H5" s="6" t="s">
        <v>12</v>
      </c>
      <c r="I5" s="6">
        <f>4.6/100</f>
        <v>4.5999999999999999E-2</v>
      </c>
      <c r="J5" s="8">
        <f t="shared" ref="J5:J10" si="2">G5*I5</f>
        <v>4.6578603455999998E-2</v>
      </c>
      <c r="K5" s="2" t="s">
        <v>33</v>
      </c>
      <c r="L5" s="2">
        <f>9.6/100</f>
        <v>9.6000000000000002E-2</v>
      </c>
      <c r="M5" s="2">
        <f t="shared" ref="M5:M11" si="3">L5*G5</f>
        <v>9.7207520256000005E-2</v>
      </c>
    </row>
    <row r="6" spans="1:13" x14ac:dyDescent="0.25">
      <c r="A6" s="4">
        <v>26.091999999999999</v>
      </c>
      <c r="B6" s="4" t="s">
        <v>2</v>
      </c>
      <c r="C6" s="5">
        <f t="shared" si="0"/>
        <v>0.19800000000000001</v>
      </c>
      <c r="D6" s="6">
        <f t="shared" ref="D6:D92" si="4">C6*A6</f>
        <v>5.1662160000000004</v>
      </c>
      <c r="E6" s="6" t="s">
        <v>14</v>
      </c>
      <c r="F6" s="5">
        <f t="shared" si="1"/>
        <v>0.19600000000000001</v>
      </c>
      <c r="G6" s="5">
        <f t="shared" ref="G6:G11" si="5">D6*F6</f>
        <v>1.012578336</v>
      </c>
      <c r="H6" s="6" t="s">
        <v>7</v>
      </c>
      <c r="I6" s="14">
        <f>5.9/100</f>
        <v>5.9000000000000004E-2</v>
      </c>
      <c r="J6" s="8">
        <f t="shared" si="2"/>
        <v>5.9742121824000002E-2</v>
      </c>
      <c r="K6" s="2" t="s">
        <v>34</v>
      </c>
      <c r="L6" s="2">
        <f>12.8/100</f>
        <v>0.128</v>
      </c>
      <c r="M6" s="2">
        <f t="shared" si="3"/>
        <v>0.12961002700800001</v>
      </c>
    </row>
    <row r="7" spans="1:13" x14ac:dyDescent="0.25">
      <c r="A7" s="4">
        <v>26.091999999999999</v>
      </c>
      <c r="B7" s="4" t="s">
        <v>2</v>
      </c>
      <c r="C7" s="5">
        <f t="shared" si="0"/>
        <v>0.19800000000000001</v>
      </c>
      <c r="D7" s="6">
        <f t="shared" si="4"/>
        <v>5.1662160000000004</v>
      </c>
      <c r="E7" s="6" t="s">
        <v>14</v>
      </c>
      <c r="F7" s="5">
        <f t="shared" si="1"/>
        <v>0.19600000000000001</v>
      </c>
      <c r="G7" s="5">
        <f t="shared" si="5"/>
        <v>1.012578336</v>
      </c>
      <c r="H7" s="6" t="s">
        <v>8</v>
      </c>
      <c r="I7" s="6">
        <f>31.5/100</f>
        <v>0.315</v>
      </c>
      <c r="J7" s="8">
        <f t="shared" si="2"/>
        <v>0.31896217584000003</v>
      </c>
      <c r="K7" s="2" t="s">
        <v>35</v>
      </c>
      <c r="L7" s="2">
        <f>24.3/100</f>
        <v>0.24299999999999999</v>
      </c>
      <c r="M7" s="2">
        <f t="shared" si="3"/>
        <v>0.24605653564800001</v>
      </c>
    </row>
    <row r="8" spans="1:13" x14ac:dyDescent="0.25">
      <c r="A8" s="4">
        <v>26.091999999999999</v>
      </c>
      <c r="B8" s="4" t="s">
        <v>2</v>
      </c>
      <c r="C8" s="5">
        <f t="shared" si="0"/>
        <v>0.19800000000000001</v>
      </c>
      <c r="D8" s="6">
        <f t="shared" si="4"/>
        <v>5.1662160000000004</v>
      </c>
      <c r="E8" s="6" t="s">
        <v>14</v>
      </c>
      <c r="F8" s="5">
        <f t="shared" si="1"/>
        <v>0.19600000000000001</v>
      </c>
      <c r="G8" s="5">
        <f t="shared" si="5"/>
        <v>1.012578336</v>
      </c>
      <c r="H8" s="6" t="s">
        <v>10</v>
      </c>
      <c r="I8" s="6">
        <f>5.3/100</f>
        <v>5.2999999999999999E-2</v>
      </c>
      <c r="J8" s="8">
        <f t="shared" si="2"/>
        <v>5.3666651808000003E-2</v>
      </c>
      <c r="K8" s="2" t="s">
        <v>36</v>
      </c>
      <c r="L8" s="2">
        <f>24.1/100</f>
        <v>0.24100000000000002</v>
      </c>
      <c r="M8" s="2">
        <f t="shared" si="3"/>
        <v>0.24403137897600002</v>
      </c>
    </row>
    <row r="9" spans="1:13" x14ac:dyDescent="0.25">
      <c r="A9" s="4">
        <v>26.091999999999999</v>
      </c>
      <c r="B9" s="4" t="s">
        <v>2</v>
      </c>
      <c r="C9" s="5">
        <f t="shared" si="0"/>
        <v>0.19800000000000001</v>
      </c>
      <c r="D9" s="6">
        <f>C9*A9</f>
        <v>5.1662160000000004</v>
      </c>
      <c r="E9" s="6" t="s">
        <v>14</v>
      </c>
      <c r="F9" s="5">
        <f t="shared" si="1"/>
        <v>0.19600000000000001</v>
      </c>
      <c r="G9" s="5">
        <f t="shared" si="5"/>
        <v>1.012578336</v>
      </c>
      <c r="H9" s="6" t="s">
        <v>9</v>
      </c>
      <c r="I9" s="6">
        <f>43.2/100</f>
        <v>0.43200000000000005</v>
      </c>
      <c r="J9" s="8">
        <f t="shared" si="2"/>
        <v>0.43743384115200007</v>
      </c>
      <c r="K9" s="2" t="s">
        <v>37</v>
      </c>
      <c r="L9" s="2">
        <f>26.1/100</f>
        <v>0.26100000000000001</v>
      </c>
      <c r="M9" s="2">
        <f t="shared" si="3"/>
        <v>0.26428294569600003</v>
      </c>
    </row>
    <row r="10" spans="1:13" x14ac:dyDescent="0.25">
      <c r="A10" s="4">
        <v>26.091999999999999</v>
      </c>
      <c r="B10" s="4" t="s">
        <v>2</v>
      </c>
      <c r="C10" s="5">
        <f t="shared" si="0"/>
        <v>0.19800000000000001</v>
      </c>
      <c r="D10" s="6">
        <f t="shared" si="4"/>
        <v>5.1662160000000004</v>
      </c>
      <c r="E10" s="6" t="s">
        <v>14</v>
      </c>
      <c r="F10" s="5">
        <f t="shared" si="1"/>
        <v>0.19600000000000001</v>
      </c>
      <c r="G10" s="5">
        <f t="shared" si="5"/>
        <v>1.012578336</v>
      </c>
      <c r="H10" s="6" t="s">
        <v>55</v>
      </c>
      <c r="I10" s="6">
        <f>0.7/100</f>
        <v>6.9999999999999993E-3</v>
      </c>
      <c r="J10" s="8">
        <f t="shared" si="2"/>
        <v>7.088048351999999E-3</v>
      </c>
      <c r="K10" s="2" t="s">
        <v>38</v>
      </c>
      <c r="L10" s="2">
        <f>0.6/100</f>
        <v>6.0000000000000001E-3</v>
      </c>
      <c r="M10" s="2">
        <f t="shared" si="3"/>
        <v>6.0754700160000003E-3</v>
      </c>
    </row>
    <row r="11" spans="1:13" x14ac:dyDescent="0.25">
      <c r="A11" s="4">
        <v>26.091999999999999</v>
      </c>
      <c r="B11" s="4" t="s">
        <v>2</v>
      </c>
      <c r="C11" s="5">
        <f t="shared" si="0"/>
        <v>0.19800000000000001</v>
      </c>
      <c r="D11" s="6">
        <f t="shared" si="4"/>
        <v>5.1662160000000004</v>
      </c>
      <c r="E11" s="6" t="s">
        <v>14</v>
      </c>
      <c r="F11" s="5">
        <f t="shared" si="1"/>
        <v>0.19600000000000001</v>
      </c>
      <c r="G11" s="5">
        <f t="shared" si="5"/>
        <v>1.012578336</v>
      </c>
      <c r="H11" s="6"/>
      <c r="I11" s="6"/>
      <c r="J11" s="8"/>
      <c r="K11" s="2" t="s">
        <v>39</v>
      </c>
      <c r="L11" s="2">
        <f>1.2/100</f>
        <v>1.2E-2</v>
      </c>
      <c r="M11" s="2">
        <f t="shared" si="3"/>
        <v>1.2150940032000001E-2</v>
      </c>
    </row>
    <row r="12" spans="1:13" x14ac:dyDescent="0.25">
      <c r="A12" s="4">
        <v>26.091999999999999</v>
      </c>
      <c r="B12" s="4" t="s">
        <v>2</v>
      </c>
      <c r="C12" s="5">
        <f t="shared" si="0"/>
        <v>0.19800000000000001</v>
      </c>
      <c r="D12" s="6">
        <f t="shared" si="4"/>
        <v>5.1662160000000004</v>
      </c>
      <c r="E12" s="6" t="s">
        <v>44</v>
      </c>
      <c r="F12" s="8">
        <f>17.7/100</f>
        <v>0.17699999999999999</v>
      </c>
      <c r="G12" s="6">
        <f>F12*D12</f>
        <v>0.914420232</v>
      </c>
      <c r="H12" s="6" t="s">
        <v>11</v>
      </c>
      <c r="I12" s="6">
        <f>5.7/100</f>
        <v>5.7000000000000002E-2</v>
      </c>
      <c r="J12" s="8">
        <f>I12*G12</f>
        <v>5.2121953224000005E-2</v>
      </c>
      <c r="K12" s="2" t="s">
        <v>32</v>
      </c>
      <c r="L12" s="2">
        <f>2.1/100</f>
        <v>2.1000000000000001E-2</v>
      </c>
      <c r="M12" s="2">
        <f>L12*G12</f>
        <v>1.9202824872E-2</v>
      </c>
    </row>
    <row r="13" spans="1:13" x14ac:dyDescent="0.25">
      <c r="A13" s="4">
        <v>26.091999999999999</v>
      </c>
      <c r="B13" s="4" t="s">
        <v>2</v>
      </c>
      <c r="C13" s="5">
        <f t="shared" si="0"/>
        <v>0.19800000000000001</v>
      </c>
      <c r="D13" s="6">
        <f t="shared" si="4"/>
        <v>5.1662160000000004</v>
      </c>
      <c r="E13" s="6" t="s">
        <v>15</v>
      </c>
      <c r="F13" s="8">
        <f t="shared" ref="F13:F19" si="6">17.7/100</f>
        <v>0.17699999999999999</v>
      </c>
      <c r="G13" s="6">
        <f t="shared" ref="G13:G19" si="7">F13*D13</f>
        <v>0.914420232</v>
      </c>
      <c r="H13" s="6" t="s">
        <v>12</v>
      </c>
      <c r="I13" s="6">
        <f>2.1/100</f>
        <v>2.1000000000000001E-2</v>
      </c>
      <c r="J13" s="8">
        <f t="shared" ref="J13:J17" si="8">I13*G13</f>
        <v>1.9202824872E-2</v>
      </c>
      <c r="K13" s="2" t="s">
        <v>33</v>
      </c>
      <c r="L13" s="2">
        <f>4/100</f>
        <v>0.04</v>
      </c>
      <c r="M13" s="2">
        <f t="shared" ref="M13:M19" si="9">L13*G13</f>
        <v>3.6576809280000004E-2</v>
      </c>
    </row>
    <row r="14" spans="1:13" x14ac:dyDescent="0.25">
      <c r="A14" s="4">
        <v>26.091999999999999</v>
      </c>
      <c r="B14" s="4" t="s">
        <v>2</v>
      </c>
      <c r="C14" s="5">
        <f t="shared" si="0"/>
        <v>0.19800000000000001</v>
      </c>
      <c r="D14" s="6">
        <f t="shared" si="4"/>
        <v>5.1662160000000004</v>
      </c>
      <c r="E14" s="6" t="s">
        <v>15</v>
      </c>
      <c r="F14" s="8">
        <f t="shared" si="6"/>
        <v>0.17699999999999999</v>
      </c>
      <c r="G14" s="6">
        <f t="shared" si="7"/>
        <v>0.914420232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13.5/100</f>
        <v>0.13500000000000001</v>
      </c>
      <c r="M14" s="2">
        <f t="shared" si="9"/>
        <v>0.12344673132</v>
      </c>
    </row>
    <row r="15" spans="1:13" x14ac:dyDescent="0.25">
      <c r="A15" s="4">
        <v>26.091999999999999</v>
      </c>
      <c r="B15" s="4" t="s">
        <v>2</v>
      </c>
      <c r="C15" s="5">
        <f t="shared" si="0"/>
        <v>0.19800000000000001</v>
      </c>
      <c r="D15" s="6">
        <f t="shared" si="4"/>
        <v>5.1662160000000004</v>
      </c>
      <c r="E15" s="6" t="s">
        <v>15</v>
      </c>
      <c r="F15" s="8">
        <f t="shared" si="6"/>
        <v>0.17699999999999999</v>
      </c>
      <c r="G15" s="6">
        <f t="shared" si="7"/>
        <v>0.914420232</v>
      </c>
      <c r="H15" s="6" t="s">
        <v>8</v>
      </c>
      <c r="I15" s="6">
        <f>27.4/100</f>
        <v>0.27399999999999997</v>
      </c>
      <c r="J15" s="8">
        <f>I15*G15</f>
        <v>0.25055114356799996</v>
      </c>
      <c r="K15" s="2" t="s">
        <v>35</v>
      </c>
      <c r="L15" s="2">
        <f>33.7/100</f>
        <v>0.33700000000000002</v>
      </c>
      <c r="M15" s="2">
        <f t="shared" si="9"/>
        <v>0.30815961818400001</v>
      </c>
    </row>
    <row r="16" spans="1:13" x14ac:dyDescent="0.25">
      <c r="A16" s="4">
        <v>26.091999999999999</v>
      </c>
      <c r="B16" s="4" t="s">
        <v>2</v>
      </c>
      <c r="C16" s="5">
        <f t="shared" si="0"/>
        <v>0.19800000000000001</v>
      </c>
      <c r="D16" s="6">
        <f t="shared" si="4"/>
        <v>5.1662160000000004</v>
      </c>
      <c r="E16" s="6" t="s">
        <v>15</v>
      </c>
      <c r="F16" s="8">
        <f t="shared" si="6"/>
        <v>0.17699999999999999</v>
      </c>
      <c r="G16" s="6">
        <f t="shared" si="7"/>
        <v>0.914420232</v>
      </c>
      <c r="H16" s="6" t="s">
        <v>10</v>
      </c>
      <c r="I16" s="6">
        <f>4.5/100</f>
        <v>4.4999999999999998E-2</v>
      </c>
      <c r="J16" s="8">
        <f t="shared" si="8"/>
        <v>4.1148910439999999E-2</v>
      </c>
      <c r="K16" s="2" t="s">
        <v>36</v>
      </c>
      <c r="L16" s="2">
        <f>28.6/100</f>
        <v>0.28600000000000003</v>
      </c>
      <c r="M16" s="2">
        <f t="shared" si="9"/>
        <v>0.26152418635200003</v>
      </c>
    </row>
    <row r="17" spans="1:13" x14ac:dyDescent="0.25">
      <c r="A17" s="4">
        <v>26.091999999999999</v>
      </c>
      <c r="B17" s="4" t="s">
        <v>2</v>
      </c>
      <c r="C17" s="5">
        <f t="shared" si="0"/>
        <v>0.19800000000000001</v>
      </c>
      <c r="D17" s="6">
        <f t="shared" si="4"/>
        <v>5.1662160000000004</v>
      </c>
      <c r="E17" s="6" t="s">
        <v>15</v>
      </c>
      <c r="F17" s="8">
        <f t="shared" si="6"/>
        <v>0.17699999999999999</v>
      </c>
      <c r="G17" s="6">
        <f t="shared" si="7"/>
        <v>0.914420232</v>
      </c>
      <c r="H17" s="6" t="s">
        <v>9</v>
      </c>
      <c r="I17" s="6">
        <f>52.2/100</f>
        <v>0.52200000000000002</v>
      </c>
      <c r="J17" s="8">
        <f t="shared" si="8"/>
        <v>0.47732736110400004</v>
      </c>
      <c r="K17" s="2" t="s">
        <v>37</v>
      </c>
      <c r="L17" s="2">
        <f>18.1/100</f>
        <v>0.18100000000000002</v>
      </c>
      <c r="M17" s="2">
        <f t="shared" si="9"/>
        <v>0.16551006199200002</v>
      </c>
    </row>
    <row r="18" spans="1:13" x14ac:dyDescent="0.25">
      <c r="A18" s="4">
        <v>26.091999999999999</v>
      </c>
      <c r="B18" s="4" t="s">
        <v>2</v>
      </c>
      <c r="C18" s="5">
        <f t="shared" si="0"/>
        <v>0.19800000000000001</v>
      </c>
      <c r="D18" s="6">
        <f t="shared" si="4"/>
        <v>5.1662160000000004</v>
      </c>
      <c r="E18" s="6" t="s">
        <v>15</v>
      </c>
      <c r="F18" s="8">
        <f t="shared" si="6"/>
        <v>0.17699999999999999</v>
      </c>
      <c r="G18" s="6">
        <f t="shared" si="7"/>
        <v>0.914420232</v>
      </c>
      <c r="H18" s="6" t="s">
        <v>55</v>
      </c>
      <c r="I18" s="6">
        <f>6.2/100</f>
        <v>6.2E-2</v>
      </c>
      <c r="J18" s="8">
        <f>I18*G18</f>
        <v>5.6694054383999999E-2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26.091999999999999</v>
      </c>
      <c r="B19" s="4" t="s">
        <v>2</v>
      </c>
      <c r="C19" s="5">
        <f t="shared" si="0"/>
        <v>0.19800000000000001</v>
      </c>
      <c r="D19" s="6">
        <f t="shared" si="4"/>
        <v>5.1662160000000004</v>
      </c>
      <c r="E19" s="6" t="s">
        <v>15</v>
      </c>
      <c r="F19" s="8">
        <f t="shared" si="6"/>
        <v>0.17699999999999999</v>
      </c>
      <c r="G19" s="6">
        <f t="shared" si="7"/>
        <v>0.914420232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26.091999999999999</v>
      </c>
      <c r="B20" s="4" t="s">
        <v>2</v>
      </c>
      <c r="C20" s="5">
        <f t="shared" si="0"/>
        <v>0.19800000000000001</v>
      </c>
      <c r="D20" s="6">
        <f t="shared" si="4"/>
        <v>5.1662160000000004</v>
      </c>
      <c r="E20" s="6" t="s">
        <v>45</v>
      </c>
      <c r="F20" s="6">
        <f>19.7/100</f>
        <v>0.19699999999999998</v>
      </c>
      <c r="G20" s="6">
        <f>F20*D20</f>
        <v>1.0177445519999999</v>
      </c>
      <c r="H20" s="6" t="s">
        <v>11</v>
      </c>
      <c r="I20" s="6">
        <f>10.6/100</f>
        <v>0.106</v>
      </c>
      <c r="J20" s="6">
        <f>I20*G20</f>
        <v>0.10788092251199999</v>
      </c>
      <c r="K20" s="2" t="s">
        <v>32</v>
      </c>
      <c r="L20" s="2">
        <f>2/100</f>
        <v>0.02</v>
      </c>
      <c r="M20" s="2">
        <f>L20*G20</f>
        <v>2.035489104E-2</v>
      </c>
    </row>
    <row r="21" spans="1:13" x14ac:dyDescent="0.25">
      <c r="A21" s="4">
        <v>26.091999999999999</v>
      </c>
      <c r="B21" s="4" t="s">
        <v>2</v>
      </c>
      <c r="C21" s="5">
        <f t="shared" si="0"/>
        <v>0.19800000000000001</v>
      </c>
      <c r="D21" s="6">
        <f t="shared" si="4"/>
        <v>5.1662160000000004</v>
      </c>
      <c r="E21" s="6" t="s">
        <v>16</v>
      </c>
      <c r="F21" s="6">
        <f t="shared" ref="F21:F27" si="10">19.7/100</f>
        <v>0.19699999999999998</v>
      </c>
      <c r="G21" s="6">
        <f t="shared" ref="G21:G98" si="11">F21*D21</f>
        <v>1.0177445519999999</v>
      </c>
      <c r="H21" s="6" t="s">
        <v>12</v>
      </c>
      <c r="I21" s="6">
        <f>2.3/100</f>
        <v>2.3E-2</v>
      </c>
      <c r="J21" s="6">
        <f t="shared" ref="J21:J26" si="12">I21*G21</f>
        <v>2.3408124695999996E-2</v>
      </c>
      <c r="K21" s="2" t="s">
        <v>33</v>
      </c>
      <c r="L21" s="2">
        <f>11.6/100</f>
        <v>0.11599999999999999</v>
      </c>
      <c r="M21" s="2">
        <f t="shared" ref="M21:M27" si="13">L21*G21</f>
        <v>0.11805836803199998</v>
      </c>
    </row>
    <row r="22" spans="1:13" x14ac:dyDescent="0.25">
      <c r="A22" s="4">
        <v>26.091999999999999</v>
      </c>
      <c r="B22" s="4" t="s">
        <v>2</v>
      </c>
      <c r="C22" s="5">
        <f t="shared" si="0"/>
        <v>0.19800000000000001</v>
      </c>
      <c r="D22" s="6">
        <f t="shared" si="4"/>
        <v>5.1662160000000004</v>
      </c>
      <c r="E22" s="6" t="s">
        <v>16</v>
      </c>
      <c r="F22" s="6">
        <f t="shared" si="10"/>
        <v>0.19699999999999998</v>
      </c>
      <c r="G22" s="6">
        <f t="shared" si="11"/>
        <v>1.0177445519999999</v>
      </c>
      <c r="H22" s="6" t="s">
        <v>7</v>
      </c>
      <c r="I22" s="6">
        <f>4.9/100</f>
        <v>4.9000000000000002E-2</v>
      </c>
      <c r="J22" s="6">
        <f t="shared" si="12"/>
        <v>4.9869483047999999E-2</v>
      </c>
      <c r="K22" s="2" t="s">
        <v>34</v>
      </c>
      <c r="L22" s="2">
        <f>19.5/100</f>
        <v>0.19500000000000001</v>
      </c>
      <c r="M22" s="2">
        <f t="shared" si="13"/>
        <v>0.19846018763999998</v>
      </c>
    </row>
    <row r="23" spans="1:13" x14ac:dyDescent="0.25">
      <c r="A23" s="4">
        <v>26.091999999999999</v>
      </c>
      <c r="B23" s="4" t="s">
        <v>2</v>
      </c>
      <c r="C23" s="5">
        <f t="shared" si="0"/>
        <v>0.19800000000000001</v>
      </c>
      <c r="D23" s="6">
        <f t="shared" si="4"/>
        <v>5.1662160000000004</v>
      </c>
      <c r="E23" s="6" t="s">
        <v>16</v>
      </c>
      <c r="F23" s="6">
        <f t="shared" si="10"/>
        <v>0.19699999999999998</v>
      </c>
      <c r="G23" s="6">
        <f t="shared" si="11"/>
        <v>1.0177445519999999</v>
      </c>
      <c r="H23" s="6" t="s">
        <v>8</v>
      </c>
      <c r="I23" s="6">
        <f>28.3/100</f>
        <v>0.28300000000000003</v>
      </c>
      <c r="J23" s="6">
        <f t="shared" si="12"/>
        <v>0.28802170821599998</v>
      </c>
      <c r="K23" s="2" t="s">
        <v>35</v>
      </c>
      <c r="L23" s="2">
        <f>23.1/100</f>
        <v>0.23100000000000001</v>
      </c>
      <c r="M23" s="2">
        <f t="shared" si="13"/>
        <v>0.23509899151199998</v>
      </c>
    </row>
    <row r="24" spans="1:13" x14ac:dyDescent="0.25">
      <c r="A24" s="4">
        <v>26.091999999999999</v>
      </c>
      <c r="B24" s="4" t="s">
        <v>2</v>
      </c>
      <c r="C24" s="5">
        <f t="shared" si="0"/>
        <v>0.19800000000000001</v>
      </c>
      <c r="D24" s="6">
        <f t="shared" si="4"/>
        <v>5.1662160000000004</v>
      </c>
      <c r="E24" s="6" t="s">
        <v>16</v>
      </c>
      <c r="F24" s="6">
        <f t="shared" si="10"/>
        <v>0.19699999999999998</v>
      </c>
      <c r="G24" s="6">
        <f t="shared" si="11"/>
        <v>1.0177445519999999</v>
      </c>
      <c r="H24" s="6" t="s">
        <v>10</v>
      </c>
      <c r="I24" s="6">
        <f>6.3/100</f>
        <v>6.3E-2</v>
      </c>
      <c r="J24" s="6">
        <f t="shared" si="12"/>
        <v>6.4117906775999989E-2</v>
      </c>
      <c r="K24" s="2" t="s">
        <v>36</v>
      </c>
      <c r="L24" s="2">
        <f>21.4/100</f>
        <v>0.214</v>
      </c>
      <c r="M24" s="2">
        <f t="shared" si="13"/>
        <v>0.21779733412799998</v>
      </c>
    </row>
    <row r="25" spans="1:13" x14ac:dyDescent="0.25">
      <c r="A25" s="4">
        <v>26.091999999999999</v>
      </c>
      <c r="B25" s="4" t="s">
        <v>2</v>
      </c>
      <c r="C25" s="5">
        <f t="shared" si="0"/>
        <v>0.19800000000000001</v>
      </c>
      <c r="D25" s="6">
        <f t="shared" si="4"/>
        <v>5.1662160000000004</v>
      </c>
      <c r="E25" s="6" t="s">
        <v>16</v>
      </c>
      <c r="F25" s="6">
        <f t="shared" si="10"/>
        <v>0.19699999999999998</v>
      </c>
      <c r="G25" s="6">
        <f t="shared" si="11"/>
        <v>1.0177445519999999</v>
      </c>
      <c r="H25" s="6" t="s">
        <v>9</v>
      </c>
      <c r="I25" s="6">
        <f>46.5/100</f>
        <v>0.46500000000000002</v>
      </c>
      <c r="J25" s="6">
        <f t="shared" si="12"/>
        <v>0.47325121667999998</v>
      </c>
      <c r="K25" s="2" t="s">
        <v>37</v>
      </c>
      <c r="L25" s="2">
        <f>19.9/100</f>
        <v>0.19899999999999998</v>
      </c>
      <c r="M25" s="2">
        <f t="shared" si="13"/>
        <v>0.20253116584799996</v>
      </c>
    </row>
    <row r="26" spans="1:13" x14ac:dyDescent="0.25">
      <c r="A26" s="4">
        <v>26.091999999999999</v>
      </c>
      <c r="B26" s="4" t="s">
        <v>2</v>
      </c>
      <c r="C26" s="5">
        <f t="shared" si="0"/>
        <v>0.19800000000000001</v>
      </c>
      <c r="D26" s="6">
        <f t="shared" si="4"/>
        <v>5.1662160000000004</v>
      </c>
      <c r="E26" s="6" t="s">
        <v>16</v>
      </c>
      <c r="F26" s="6">
        <f t="shared" si="10"/>
        <v>0.19699999999999998</v>
      </c>
      <c r="G26" s="6">
        <f t="shared" si="11"/>
        <v>1.0177445519999999</v>
      </c>
      <c r="H26" s="6" t="s">
        <v>55</v>
      </c>
      <c r="I26" s="6">
        <f>1/100</f>
        <v>0.01</v>
      </c>
      <c r="J26" s="6">
        <f t="shared" si="12"/>
        <v>1.017744552E-2</v>
      </c>
      <c r="K26" s="2" t="s">
        <v>38</v>
      </c>
      <c r="L26" s="2">
        <f>1.8/100</f>
        <v>1.8000000000000002E-2</v>
      </c>
      <c r="M26" s="2">
        <f t="shared" si="13"/>
        <v>1.8319401936000002E-2</v>
      </c>
    </row>
    <row r="27" spans="1:13" x14ac:dyDescent="0.25">
      <c r="A27" s="4">
        <v>26.091999999999999</v>
      </c>
      <c r="B27" s="4" t="s">
        <v>2</v>
      </c>
      <c r="C27" s="5">
        <f t="shared" si="0"/>
        <v>0.19800000000000001</v>
      </c>
      <c r="D27" s="6">
        <f t="shared" si="4"/>
        <v>5.1662160000000004</v>
      </c>
      <c r="E27" s="6" t="s">
        <v>16</v>
      </c>
      <c r="F27" s="6">
        <f t="shared" si="10"/>
        <v>0.19699999999999998</v>
      </c>
      <c r="G27" s="6">
        <f t="shared" si="11"/>
        <v>1.0177445519999999</v>
      </c>
      <c r="H27" s="6"/>
      <c r="I27" s="6"/>
      <c r="J27" s="6"/>
      <c r="K27" s="2" t="s">
        <v>39</v>
      </c>
      <c r="L27" s="2">
        <f>0.6/100</f>
        <v>6.0000000000000001E-3</v>
      </c>
      <c r="M27" s="2">
        <f t="shared" si="13"/>
        <v>6.1064673119999996E-3</v>
      </c>
    </row>
    <row r="28" spans="1:13" x14ac:dyDescent="0.25">
      <c r="A28" s="4">
        <v>26.091999999999999</v>
      </c>
      <c r="B28" s="4" t="s">
        <v>2</v>
      </c>
      <c r="C28" s="5">
        <f t="shared" si="0"/>
        <v>0.19800000000000001</v>
      </c>
      <c r="D28" s="6">
        <f t="shared" si="4"/>
        <v>5.1662160000000004</v>
      </c>
      <c r="E28" s="6" t="s">
        <v>46</v>
      </c>
      <c r="F28" s="8">
        <f>22.9/100</f>
        <v>0.22899999999999998</v>
      </c>
      <c r="G28" s="6">
        <f t="shared" si="11"/>
        <v>1.183063464</v>
      </c>
      <c r="H28" s="6" t="s">
        <v>11</v>
      </c>
      <c r="I28" s="8">
        <f>31.2/100</f>
        <v>0.312</v>
      </c>
      <c r="J28" s="8">
        <f>I28*G28</f>
        <v>0.36911580076799999</v>
      </c>
      <c r="K28" s="2" t="s">
        <v>32</v>
      </c>
      <c r="L28" s="2">
        <f>3/100</f>
        <v>0.03</v>
      </c>
      <c r="M28" s="2">
        <f>L28*G28</f>
        <v>3.5491903919999998E-2</v>
      </c>
    </row>
    <row r="29" spans="1:13" x14ac:dyDescent="0.25">
      <c r="A29" s="4">
        <v>26.091999999999999</v>
      </c>
      <c r="B29" s="4" t="s">
        <v>2</v>
      </c>
      <c r="C29" s="5">
        <f t="shared" si="0"/>
        <v>0.19800000000000001</v>
      </c>
      <c r="D29" s="6">
        <f t="shared" si="4"/>
        <v>5.1662160000000004</v>
      </c>
      <c r="E29" s="6" t="s">
        <v>13</v>
      </c>
      <c r="F29" s="8">
        <f t="shared" ref="F29:F35" si="14">22.9/100</f>
        <v>0.22899999999999998</v>
      </c>
      <c r="G29" s="6">
        <f t="shared" si="11"/>
        <v>1.183063464</v>
      </c>
      <c r="H29" s="6" t="s">
        <v>12</v>
      </c>
      <c r="I29" s="8">
        <f>3.5/100</f>
        <v>3.5000000000000003E-2</v>
      </c>
      <c r="J29" s="8">
        <f t="shared" ref="J29:J33" si="15">I29*G29</f>
        <v>4.140722124E-2</v>
      </c>
      <c r="K29" s="2" t="s">
        <v>33</v>
      </c>
      <c r="L29" s="2">
        <f>9/100</f>
        <v>0.09</v>
      </c>
      <c r="M29" s="2">
        <f t="shared" ref="M29:M32" si="16">L29*G29</f>
        <v>0.10647571175999999</v>
      </c>
    </row>
    <row r="30" spans="1:13" x14ac:dyDescent="0.25">
      <c r="A30" s="4">
        <v>26.091999999999999</v>
      </c>
      <c r="B30" s="4" t="s">
        <v>2</v>
      </c>
      <c r="C30" s="5">
        <f t="shared" si="0"/>
        <v>0.19800000000000001</v>
      </c>
      <c r="D30" s="6">
        <f t="shared" si="4"/>
        <v>5.1662160000000004</v>
      </c>
      <c r="E30" s="6" t="s">
        <v>13</v>
      </c>
      <c r="F30" s="8">
        <f t="shared" si="14"/>
        <v>0.22899999999999998</v>
      </c>
      <c r="G30" s="6">
        <f t="shared" si="11"/>
        <v>1.183063464</v>
      </c>
      <c r="H30" s="6" t="s">
        <v>7</v>
      </c>
      <c r="I30" s="8">
        <f>11.7/100</f>
        <v>0.11699999999999999</v>
      </c>
      <c r="J30" s="8">
        <f t="shared" si="15"/>
        <v>0.138418425288</v>
      </c>
      <c r="K30" s="2" t="s">
        <v>34</v>
      </c>
      <c r="L30" s="2">
        <f>11.5/100</f>
        <v>0.115</v>
      </c>
      <c r="M30" s="2">
        <f t="shared" si="16"/>
        <v>0.13605229835999999</v>
      </c>
    </row>
    <row r="31" spans="1:13" x14ac:dyDescent="0.25">
      <c r="A31" s="4">
        <v>26.091999999999999</v>
      </c>
      <c r="B31" s="4" t="s">
        <v>2</v>
      </c>
      <c r="C31" s="5">
        <f t="shared" si="0"/>
        <v>0.19800000000000001</v>
      </c>
      <c r="D31" s="6">
        <f t="shared" si="4"/>
        <v>5.1662160000000004</v>
      </c>
      <c r="E31" s="6" t="s">
        <v>13</v>
      </c>
      <c r="F31" s="8">
        <f t="shared" si="14"/>
        <v>0.22899999999999998</v>
      </c>
      <c r="G31" s="6">
        <f t="shared" si="11"/>
        <v>1.183063464</v>
      </c>
      <c r="H31" s="6" t="s">
        <v>8</v>
      </c>
      <c r="I31" s="8">
        <f>29.7/100</f>
        <v>0.29699999999999999</v>
      </c>
      <c r="J31" s="8">
        <f t="shared" si="15"/>
        <v>0.35136984880799998</v>
      </c>
      <c r="K31" s="2" t="s">
        <v>35</v>
      </c>
      <c r="L31" s="2">
        <f>27.5/100</f>
        <v>0.27500000000000002</v>
      </c>
      <c r="M31" s="2">
        <f t="shared" si="16"/>
        <v>0.3253424526</v>
      </c>
    </row>
    <row r="32" spans="1:13" x14ac:dyDescent="0.25">
      <c r="A32" s="4">
        <v>26.091999999999999</v>
      </c>
      <c r="B32" s="4" t="s">
        <v>2</v>
      </c>
      <c r="C32" s="5">
        <f t="shared" si="0"/>
        <v>0.19800000000000001</v>
      </c>
      <c r="D32" s="6">
        <f t="shared" si="4"/>
        <v>5.1662160000000004</v>
      </c>
      <c r="E32" s="6" t="s">
        <v>13</v>
      </c>
      <c r="F32" s="8">
        <f t="shared" si="14"/>
        <v>0.22899999999999998</v>
      </c>
      <c r="G32" s="6">
        <f t="shared" si="11"/>
        <v>1.183063464</v>
      </c>
      <c r="H32" s="6" t="s">
        <v>10</v>
      </c>
      <c r="I32" s="8">
        <f>4.8/100</f>
        <v>4.8000000000000001E-2</v>
      </c>
      <c r="J32" s="8">
        <f t="shared" si="15"/>
        <v>5.6787046272E-2</v>
      </c>
      <c r="K32" s="2" t="s">
        <v>36</v>
      </c>
      <c r="L32" s="2">
        <f>26/100</f>
        <v>0.26</v>
      </c>
      <c r="M32" s="2">
        <f t="shared" si="16"/>
        <v>0.30759650063999999</v>
      </c>
    </row>
    <row r="33" spans="1:13" x14ac:dyDescent="0.25">
      <c r="A33" s="4">
        <v>26.091999999999999</v>
      </c>
      <c r="B33" s="4" t="s">
        <v>2</v>
      </c>
      <c r="C33" s="5">
        <f t="shared" si="0"/>
        <v>0.19800000000000001</v>
      </c>
      <c r="D33" s="6">
        <f t="shared" si="4"/>
        <v>5.1662160000000004</v>
      </c>
      <c r="E33" s="6" t="s">
        <v>13</v>
      </c>
      <c r="F33" s="8">
        <f t="shared" si="14"/>
        <v>0.22899999999999998</v>
      </c>
      <c r="G33" s="6">
        <f t="shared" si="11"/>
        <v>1.183063464</v>
      </c>
      <c r="H33" s="6" t="s">
        <v>9</v>
      </c>
      <c r="I33" s="8">
        <f>17.3/100</f>
        <v>0.17300000000000001</v>
      </c>
      <c r="J33" s="8">
        <f t="shared" si="15"/>
        <v>0.20466997927200001</v>
      </c>
      <c r="K33" s="2" t="s">
        <v>37</v>
      </c>
      <c r="L33" s="2">
        <f>19.7/100</f>
        <v>0.19699999999999998</v>
      </c>
      <c r="M33" s="2">
        <f>L32*G33</f>
        <v>0.30759650063999999</v>
      </c>
    </row>
    <row r="34" spans="1:13" x14ac:dyDescent="0.25">
      <c r="A34" s="4">
        <v>26.091999999999999</v>
      </c>
      <c r="B34" s="4" t="s">
        <v>2</v>
      </c>
      <c r="C34" s="5">
        <f t="shared" si="0"/>
        <v>0.19800000000000001</v>
      </c>
      <c r="D34" s="6">
        <f t="shared" si="4"/>
        <v>5.1662160000000004</v>
      </c>
      <c r="E34" s="6" t="s">
        <v>13</v>
      </c>
      <c r="F34" s="8">
        <f t="shared" si="14"/>
        <v>0.22899999999999998</v>
      </c>
      <c r="G34" s="6">
        <f t="shared" si="11"/>
        <v>1.183063464</v>
      </c>
      <c r="H34" s="6" t="s">
        <v>55</v>
      </c>
      <c r="I34" s="8">
        <f>1.8/100</f>
        <v>1.8000000000000002E-2</v>
      </c>
      <c r="J34" s="8"/>
      <c r="K34" s="2" t="s">
        <v>38</v>
      </c>
      <c r="L34" s="2">
        <f>2.2/100</f>
        <v>2.2000000000000002E-2</v>
      </c>
      <c r="M34" s="2">
        <f>L33*G34</f>
        <v>0.23306350240799997</v>
      </c>
    </row>
    <row r="35" spans="1:13" x14ac:dyDescent="0.25">
      <c r="A35" s="4">
        <v>26.091999999999999</v>
      </c>
      <c r="B35" s="4" t="s">
        <v>2</v>
      </c>
      <c r="C35" s="5">
        <f t="shared" si="0"/>
        <v>0.19800000000000001</v>
      </c>
      <c r="D35" s="6">
        <f t="shared" si="4"/>
        <v>5.1662160000000004</v>
      </c>
      <c r="E35" s="6" t="s">
        <v>13</v>
      </c>
      <c r="F35" s="8">
        <f t="shared" si="14"/>
        <v>0.22899999999999998</v>
      </c>
      <c r="G35" s="6">
        <f t="shared" si="11"/>
        <v>1.183063464</v>
      </c>
      <c r="H35" s="6"/>
      <c r="I35" s="8"/>
      <c r="J35" s="8"/>
      <c r="K35" s="2" t="s">
        <v>39</v>
      </c>
      <c r="L35" s="2">
        <f>1.2/100</f>
        <v>1.2E-2</v>
      </c>
      <c r="M35" s="2">
        <f>L34*G35</f>
        <v>2.6027396208E-2</v>
      </c>
    </row>
    <row r="36" spans="1:13" x14ac:dyDescent="0.25">
      <c r="A36" s="4">
        <v>26.091999999999999</v>
      </c>
      <c r="B36" s="4" t="s">
        <v>2</v>
      </c>
      <c r="C36" s="5">
        <f t="shared" si="0"/>
        <v>0.19800000000000001</v>
      </c>
      <c r="D36" s="6">
        <f t="shared" si="4"/>
        <v>5.1662160000000004</v>
      </c>
      <c r="E36" s="8" t="s">
        <v>47</v>
      </c>
      <c r="F36" s="6">
        <f>13.9/100</f>
        <v>0.13900000000000001</v>
      </c>
      <c r="G36" s="6">
        <f t="shared" si="11"/>
        <v>0.71810402400000006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26.091999999999999</v>
      </c>
      <c r="B37" s="4" t="s">
        <v>2</v>
      </c>
      <c r="C37" s="5">
        <f t="shared" si="0"/>
        <v>0.19800000000000001</v>
      </c>
      <c r="D37" s="6">
        <f t="shared" si="4"/>
        <v>5.1662160000000004</v>
      </c>
      <c r="E37" s="8" t="s">
        <v>17</v>
      </c>
      <c r="F37" s="6">
        <f t="shared" ref="F37:F43" si="17">13.9/100</f>
        <v>0.13900000000000001</v>
      </c>
      <c r="G37" s="6">
        <f t="shared" si="11"/>
        <v>0.71810402400000006</v>
      </c>
      <c r="H37" s="6" t="s">
        <v>12</v>
      </c>
      <c r="I37" s="6">
        <f>0/100</f>
        <v>0</v>
      </c>
      <c r="J37" s="6">
        <f t="shared" ref="J37:J41" si="18">I37*G37</f>
        <v>0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26.091999999999999</v>
      </c>
      <c r="B38" s="4" t="s">
        <v>2</v>
      </c>
      <c r="C38" s="5">
        <f t="shared" si="0"/>
        <v>0.19800000000000001</v>
      </c>
      <c r="D38" s="6">
        <f t="shared" si="4"/>
        <v>5.1662160000000004</v>
      </c>
      <c r="E38" s="8" t="s">
        <v>17</v>
      </c>
      <c r="F38" s="6">
        <f t="shared" si="17"/>
        <v>0.13900000000000001</v>
      </c>
      <c r="G38" s="6">
        <f t="shared" si="11"/>
        <v>0.71810402400000006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13/100</f>
        <v>0.13</v>
      </c>
      <c r="M38" s="2">
        <f t="shared" si="19"/>
        <v>9.3353523120000018E-2</v>
      </c>
    </row>
    <row r="39" spans="1:13" x14ac:dyDescent="0.25">
      <c r="A39" s="4">
        <v>26.091999999999999</v>
      </c>
      <c r="B39" s="4" t="s">
        <v>2</v>
      </c>
      <c r="C39" s="5">
        <f t="shared" si="0"/>
        <v>0.19800000000000001</v>
      </c>
      <c r="D39" s="6">
        <f t="shared" si="4"/>
        <v>5.1662160000000004</v>
      </c>
      <c r="E39" s="8" t="s">
        <v>17</v>
      </c>
      <c r="F39" s="6">
        <f t="shared" si="17"/>
        <v>0.13900000000000001</v>
      </c>
      <c r="G39" s="6">
        <f t="shared" si="11"/>
        <v>0.71810402400000006</v>
      </c>
      <c r="H39" s="6" t="s">
        <v>8</v>
      </c>
      <c r="I39" s="6">
        <f>75.8/100</f>
        <v>0.75800000000000001</v>
      </c>
      <c r="J39" s="6">
        <f t="shared" si="18"/>
        <v>0.54432285019200011</v>
      </c>
      <c r="K39" s="2" t="s">
        <v>35</v>
      </c>
      <c r="L39" s="2">
        <f>58/100</f>
        <v>0.57999999999999996</v>
      </c>
      <c r="M39" s="2">
        <f t="shared" si="19"/>
        <v>0.41650033392000002</v>
      </c>
    </row>
    <row r="40" spans="1:13" x14ac:dyDescent="0.25">
      <c r="A40" s="4">
        <v>26.091999999999999</v>
      </c>
      <c r="B40" s="4" t="s">
        <v>2</v>
      </c>
      <c r="C40" s="5">
        <f t="shared" si="0"/>
        <v>0.19800000000000001</v>
      </c>
      <c r="D40" s="6">
        <f t="shared" si="4"/>
        <v>5.1662160000000004</v>
      </c>
      <c r="E40" s="8" t="s">
        <v>17</v>
      </c>
      <c r="F40" s="6">
        <f t="shared" si="17"/>
        <v>0.13900000000000001</v>
      </c>
      <c r="G40" s="6">
        <f t="shared" si="11"/>
        <v>0.71810402400000006</v>
      </c>
      <c r="H40" s="6" t="s">
        <v>10</v>
      </c>
      <c r="I40" s="6">
        <f>0/100</f>
        <v>0</v>
      </c>
      <c r="J40" s="6">
        <f t="shared" si="18"/>
        <v>0</v>
      </c>
      <c r="K40" s="2" t="s">
        <v>36</v>
      </c>
      <c r="L40" s="2">
        <f>19.3/100</f>
        <v>0.193</v>
      </c>
      <c r="M40" s="2">
        <f t="shared" si="19"/>
        <v>0.13859407663200002</v>
      </c>
    </row>
    <row r="41" spans="1:13" x14ac:dyDescent="0.25">
      <c r="A41" s="4">
        <v>26.091999999999999</v>
      </c>
      <c r="B41" s="4" t="s">
        <v>2</v>
      </c>
      <c r="C41" s="5">
        <f t="shared" si="0"/>
        <v>0.19800000000000001</v>
      </c>
      <c r="D41" s="6">
        <f t="shared" si="4"/>
        <v>5.1662160000000004</v>
      </c>
      <c r="E41" s="8" t="s">
        <v>17</v>
      </c>
      <c r="F41" s="6">
        <f t="shared" si="17"/>
        <v>0.13900000000000001</v>
      </c>
      <c r="G41" s="6">
        <f t="shared" si="11"/>
        <v>0.71810402400000006</v>
      </c>
      <c r="H41" s="6" t="s">
        <v>9</v>
      </c>
      <c r="I41" s="6">
        <f>24.2/100</f>
        <v>0.24199999999999999</v>
      </c>
      <c r="J41" s="6">
        <f t="shared" si="18"/>
        <v>0.17378117380800001</v>
      </c>
      <c r="K41" s="2" t="s">
        <v>37</v>
      </c>
      <c r="L41" s="2">
        <f>9.6/100</f>
        <v>9.6000000000000002E-2</v>
      </c>
      <c r="M41" s="2">
        <f t="shared" si="19"/>
        <v>6.8937986304000012E-2</v>
      </c>
    </row>
    <row r="42" spans="1:13" x14ac:dyDescent="0.25">
      <c r="A42" s="4">
        <v>26.091999999999999</v>
      </c>
      <c r="B42" s="4" t="s">
        <v>2</v>
      </c>
      <c r="C42" s="5">
        <f t="shared" si="0"/>
        <v>0.19800000000000001</v>
      </c>
      <c r="D42" s="6">
        <f t="shared" si="4"/>
        <v>5.1662160000000004</v>
      </c>
      <c r="E42" s="8" t="s">
        <v>17</v>
      </c>
      <c r="F42" s="6">
        <f t="shared" si="17"/>
        <v>0.13900000000000001</v>
      </c>
      <c r="G42" s="6">
        <f t="shared" si="11"/>
        <v>0.71810402400000006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26.091999999999999</v>
      </c>
      <c r="B43" s="4" t="s">
        <v>2</v>
      </c>
      <c r="C43" s="5">
        <f t="shared" si="0"/>
        <v>0.19800000000000001</v>
      </c>
      <c r="D43" s="6">
        <f t="shared" si="4"/>
        <v>5.1662160000000004</v>
      </c>
      <c r="E43" s="8" t="s">
        <v>17</v>
      </c>
      <c r="F43" s="6">
        <f t="shared" si="17"/>
        <v>0.13900000000000001</v>
      </c>
      <c r="G43" s="6">
        <f t="shared" si="11"/>
        <v>0.71810402400000006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26.091999999999999</v>
      </c>
      <c r="B44" s="4" t="s">
        <v>2</v>
      </c>
      <c r="C44" s="5">
        <f t="shared" si="0"/>
        <v>0.19800000000000001</v>
      </c>
      <c r="D44" s="6">
        <f t="shared" si="4"/>
        <v>5.1662160000000004</v>
      </c>
      <c r="E44" s="2" t="s">
        <v>18</v>
      </c>
      <c r="F44" s="6">
        <f>15.8/100</f>
        <v>0.158</v>
      </c>
      <c r="G44" s="6">
        <f t="shared" si="11"/>
        <v>0.81626212800000009</v>
      </c>
      <c r="H44" s="6" t="s">
        <v>11</v>
      </c>
      <c r="I44" s="8">
        <f>42.7/100</f>
        <v>0.42700000000000005</v>
      </c>
      <c r="J44" s="6">
        <f>I44*G44</f>
        <v>0.34854392865600009</v>
      </c>
      <c r="K44" s="2" t="s">
        <v>32</v>
      </c>
      <c r="L44" s="2">
        <f>5/100</f>
        <v>0.05</v>
      </c>
      <c r="M44" s="2">
        <f>L44*G44</f>
        <v>4.0813106400000007E-2</v>
      </c>
    </row>
    <row r="45" spans="1:13" x14ac:dyDescent="0.25">
      <c r="A45" s="4">
        <v>26.091999999999999</v>
      </c>
      <c r="B45" s="4" t="s">
        <v>2</v>
      </c>
      <c r="C45" s="5">
        <f t="shared" si="0"/>
        <v>0.19800000000000001</v>
      </c>
      <c r="D45" s="6">
        <f t="shared" si="4"/>
        <v>5.1662160000000004</v>
      </c>
      <c r="E45" s="2" t="s">
        <v>18</v>
      </c>
      <c r="F45" s="6">
        <f t="shared" ref="F45:F51" si="20">15.8/100</f>
        <v>0.158</v>
      </c>
      <c r="G45" s="6">
        <f t="shared" si="11"/>
        <v>0.81626212800000009</v>
      </c>
      <c r="H45" s="6" t="s">
        <v>12</v>
      </c>
      <c r="I45" s="8">
        <f>5.1/100</f>
        <v>5.0999999999999997E-2</v>
      </c>
      <c r="J45" s="6">
        <f t="shared" ref="J45:J50" si="21">I45*G45</f>
        <v>4.1629368528000005E-2</v>
      </c>
      <c r="K45" s="2" t="s">
        <v>33</v>
      </c>
      <c r="L45" s="2">
        <f>10.7/100</f>
        <v>0.107</v>
      </c>
      <c r="M45" s="2">
        <f t="shared" ref="M45:M51" si="22">L45*G45</f>
        <v>8.7340047696000012E-2</v>
      </c>
    </row>
    <row r="46" spans="1:13" x14ac:dyDescent="0.25">
      <c r="A46" s="4">
        <v>26.091999999999999</v>
      </c>
      <c r="B46" s="4" t="s">
        <v>2</v>
      </c>
      <c r="C46" s="5">
        <f t="shared" si="0"/>
        <v>0.19800000000000001</v>
      </c>
      <c r="D46" s="6">
        <f t="shared" si="4"/>
        <v>5.1662160000000004</v>
      </c>
      <c r="E46" s="2" t="s">
        <v>18</v>
      </c>
      <c r="F46" s="6">
        <f t="shared" si="20"/>
        <v>0.158</v>
      </c>
      <c r="G46" s="6">
        <f t="shared" si="11"/>
        <v>0.81626212800000009</v>
      </c>
      <c r="H46" s="6" t="s">
        <v>7</v>
      </c>
      <c r="I46" s="8">
        <f>9.1/100</f>
        <v>9.0999999999999998E-2</v>
      </c>
      <c r="J46" s="6">
        <f t="shared" si="21"/>
        <v>7.4279853648000008E-2</v>
      </c>
      <c r="K46" s="2" t="s">
        <v>34</v>
      </c>
      <c r="L46" s="2">
        <f>14.3/100</f>
        <v>0.14300000000000002</v>
      </c>
      <c r="M46" s="2">
        <f t="shared" si="22"/>
        <v>0.11672548430400002</v>
      </c>
    </row>
    <row r="47" spans="1:13" x14ac:dyDescent="0.25">
      <c r="A47" s="4">
        <v>26.091999999999999</v>
      </c>
      <c r="B47" s="4" t="s">
        <v>2</v>
      </c>
      <c r="C47" s="5">
        <f t="shared" si="0"/>
        <v>0.19800000000000001</v>
      </c>
      <c r="D47" s="6">
        <f t="shared" si="4"/>
        <v>5.1662160000000004</v>
      </c>
      <c r="E47" s="2" t="s">
        <v>18</v>
      </c>
      <c r="F47" s="6">
        <f t="shared" si="20"/>
        <v>0.158</v>
      </c>
      <c r="G47" s="6">
        <f t="shared" si="11"/>
        <v>0.81626212800000009</v>
      </c>
      <c r="H47" s="6" t="s">
        <v>8</v>
      </c>
      <c r="I47" s="8">
        <f>20.9/100</f>
        <v>0.20899999999999999</v>
      </c>
      <c r="J47" s="6">
        <f>I50*G47</f>
        <v>9.7951455360000012E-3</v>
      </c>
      <c r="K47" s="2" t="s">
        <v>35</v>
      </c>
      <c r="L47" s="2">
        <f>28.2/100</f>
        <v>0.28199999999999997</v>
      </c>
      <c r="M47" s="2">
        <f t="shared" si="22"/>
        <v>0.230185920096</v>
      </c>
    </row>
    <row r="48" spans="1:13" x14ac:dyDescent="0.25">
      <c r="A48" s="4">
        <v>26.091999999999999</v>
      </c>
      <c r="B48" s="4" t="s">
        <v>2</v>
      </c>
      <c r="C48" s="5">
        <f t="shared" si="0"/>
        <v>0.19800000000000001</v>
      </c>
      <c r="D48" s="6">
        <f t="shared" si="4"/>
        <v>5.1662160000000004</v>
      </c>
      <c r="E48" s="2" t="s">
        <v>18</v>
      </c>
      <c r="F48" s="6">
        <f t="shared" si="20"/>
        <v>0.158</v>
      </c>
      <c r="G48" s="6">
        <f t="shared" si="11"/>
        <v>0.81626212800000009</v>
      </c>
      <c r="H48" s="6" t="s">
        <v>10</v>
      </c>
      <c r="I48" s="8">
        <f>4.8/100</f>
        <v>4.8000000000000001E-2</v>
      </c>
      <c r="J48" s="6">
        <f>I47*G48</f>
        <v>0.17059878475200002</v>
      </c>
      <c r="K48" s="2" t="s">
        <v>36</v>
      </c>
      <c r="L48" s="2">
        <f>22.5/100</f>
        <v>0.22500000000000001</v>
      </c>
      <c r="M48" s="2">
        <f t="shared" si="22"/>
        <v>0.18365897880000001</v>
      </c>
    </row>
    <row r="49" spans="1:13" x14ac:dyDescent="0.25">
      <c r="A49" s="4">
        <v>26.091999999999999</v>
      </c>
      <c r="B49" s="4" t="s">
        <v>2</v>
      </c>
      <c r="C49" s="5">
        <f t="shared" si="0"/>
        <v>0.19800000000000001</v>
      </c>
      <c r="D49" s="6">
        <f t="shared" si="4"/>
        <v>5.1662160000000004</v>
      </c>
      <c r="E49" s="2" t="s">
        <v>48</v>
      </c>
      <c r="F49" s="6">
        <f t="shared" si="20"/>
        <v>0.158</v>
      </c>
      <c r="G49" s="6">
        <f t="shared" si="11"/>
        <v>0.81626212800000009</v>
      </c>
      <c r="H49" s="6" t="s">
        <v>9</v>
      </c>
      <c r="I49" s="8">
        <f>16.2/100</f>
        <v>0.16200000000000001</v>
      </c>
      <c r="J49" s="6">
        <f t="shared" si="21"/>
        <v>0.13223446473600001</v>
      </c>
      <c r="K49" s="2" t="s">
        <v>37</v>
      </c>
      <c r="L49" s="2">
        <f>14.7/100</f>
        <v>0.14699999999999999</v>
      </c>
      <c r="M49" s="2">
        <f t="shared" si="22"/>
        <v>0.119990532816</v>
      </c>
    </row>
    <row r="50" spans="1:13" x14ac:dyDescent="0.25">
      <c r="A50" s="4">
        <v>26.091999999999999</v>
      </c>
      <c r="B50" s="4" t="s">
        <v>2</v>
      </c>
      <c r="C50" s="5">
        <f t="shared" si="0"/>
        <v>0.19800000000000001</v>
      </c>
      <c r="D50" s="6">
        <f t="shared" si="4"/>
        <v>5.1662160000000004</v>
      </c>
      <c r="E50" s="2" t="s">
        <v>18</v>
      </c>
      <c r="F50" s="6">
        <f t="shared" si="20"/>
        <v>0.158</v>
      </c>
      <c r="G50" s="6">
        <f t="shared" si="11"/>
        <v>0.81626212800000009</v>
      </c>
      <c r="H50" s="6" t="s">
        <v>55</v>
      </c>
      <c r="I50" s="8">
        <f>1.2/100</f>
        <v>1.2E-2</v>
      </c>
      <c r="J50" s="6">
        <f t="shared" si="21"/>
        <v>9.7951455360000012E-3</v>
      </c>
      <c r="K50" s="2" t="s">
        <v>38</v>
      </c>
      <c r="L50" s="2">
        <f>3.5/100</f>
        <v>3.5000000000000003E-2</v>
      </c>
      <c r="M50" s="2">
        <f t="shared" si="22"/>
        <v>2.8569174480000004E-2</v>
      </c>
    </row>
    <row r="51" spans="1:13" x14ac:dyDescent="0.25">
      <c r="A51" s="4">
        <v>26.091999999999999</v>
      </c>
      <c r="B51" s="4" t="s">
        <v>2</v>
      </c>
      <c r="C51" s="5">
        <f t="shared" si="0"/>
        <v>0.19800000000000001</v>
      </c>
      <c r="D51" s="6">
        <f t="shared" si="4"/>
        <v>5.1662160000000004</v>
      </c>
      <c r="E51" s="2" t="s">
        <v>18</v>
      </c>
      <c r="F51" s="6">
        <f t="shared" si="20"/>
        <v>0.158</v>
      </c>
      <c r="G51" s="6">
        <f t="shared" si="11"/>
        <v>0.81626212800000009</v>
      </c>
      <c r="H51" s="6"/>
      <c r="I51" s="6"/>
      <c r="J51" s="6"/>
      <c r="K51" s="2" t="s">
        <v>39</v>
      </c>
      <c r="L51" s="2">
        <f>1.2/100</f>
        <v>1.2E-2</v>
      </c>
      <c r="M51" s="2">
        <f t="shared" si="22"/>
        <v>9.7951455360000012E-3</v>
      </c>
    </row>
    <row r="52" spans="1:13" x14ac:dyDescent="0.25">
      <c r="A52" s="4">
        <v>26.091999999999999</v>
      </c>
      <c r="B52" s="2" t="s">
        <v>19</v>
      </c>
      <c r="C52" s="6">
        <f>80.2/100</f>
        <v>0.80200000000000005</v>
      </c>
      <c r="D52" s="6">
        <f t="shared" si="4"/>
        <v>20.925784</v>
      </c>
      <c r="E52" s="6" t="s">
        <v>54</v>
      </c>
      <c r="F52" s="6">
        <f>80.4/100</f>
        <v>0.80400000000000005</v>
      </c>
      <c r="G52" s="6">
        <f t="shared" si="11"/>
        <v>16.824330336000003</v>
      </c>
      <c r="H52" s="6" t="s">
        <v>11</v>
      </c>
      <c r="I52" s="6">
        <f>11.9/100</f>
        <v>0.11900000000000001</v>
      </c>
      <c r="J52" s="6">
        <f>I52*G52</f>
        <v>2.0020953099840004</v>
      </c>
      <c r="K52" s="2" t="s">
        <v>32</v>
      </c>
      <c r="L52" s="2">
        <f>3.9/100</f>
        <v>3.9E-2</v>
      </c>
      <c r="M52" s="2">
        <f>L52*G52</f>
        <v>0.6561488831040001</v>
      </c>
    </row>
    <row r="53" spans="1:13" x14ac:dyDescent="0.25">
      <c r="A53" s="4">
        <v>26.091999999999999</v>
      </c>
      <c r="B53" s="2" t="s">
        <v>19</v>
      </c>
      <c r="C53" s="6">
        <f t="shared" ref="C53:C99" si="23">80.2/100</f>
        <v>0.80200000000000005</v>
      </c>
      <c r="D53" s="6">
        <f t="shared" si="4"/>
        <v>20.925784</v>
      </c>
      <c r="E53" s="6" t="s">
        <v>14</v>
      </c>
      <c r="F53" s="6">
        <f t="shared" ref="F53:F59" si="24">80.4/100</f>
        <v>0.80400000000000005</v>
      </c>
      <c r="G53" s="6">
        <f t="shared" si="11"/>
        <v>16.824330336000003</v>
      </c>
      <c r="H53" s="6" t="s">
        <v>12</v>
      </c>
      <c r="I53" s="6">
        <f>9.5/100</f>
        <v>9.5000000000000001E-2</v>
      </c>
      <c r="J53" s="6">
        <f t="shared" ref="J53:J56" si="25">I53*G53</f>
        <v>1.5983113819200003</v>
      </c>
      <c r="K53" s="2" t="s">
        <v>33</v>
      </c>
      <c r="L53" s="2">
        <f>9.5/100</f>
        <v>9.5000000000000001E-2</v>
      </c>
      <c r="M53" s="2">
        <f t="shared" ref="M53:M59" si="26">L53*G53</f>
        <v>1.5983113819200003</v>
      </c>
    </row>
    <row r="54" spans="1:13" x14ac:dyDescent="0.25">
      <c r="A54" s="4">
        <v>26.091999999999999</v>
      </c>
      <c r="B54" s="2" t="s">
        <v>19</v>
      </c>
      <c r="C54" s="6">
        <f t="shared" si="23"/>
        <v>0.80200000000000005</v>
      </c>
      <c r="D54" s="6">
        <f t="shared" si="4"/>
        <v>20.925784</v>
      </c>
      <c r="E54" s="6" t="s">
        <v>14</v>
      </c>
      <c r="F54" s="6">
        <f t="shared" si="24"/>
        <v>0.80400000000000005</v>
      </c>
      <c r="G54" s="6">
        <f t="shared" si="11"/>
        <v>16.824330336000003</v>
      </c>
      <c r="H54" s="6" t="s">
        <v>7</v>
      </c>
      <c r="I54" s="14">
        <f>17/100</f>
        <v>0.17</v>
      </c>
      <c r="J54" s="6">
        <f t="shared" si="25"/>
        <v>2.8601361571200008</v>
      </c>
      <c r="K54" s="2" t="s">
        <v>34</v>
      </c>
      <c r="L54" s="2">
        <f>16.3/100</f>
        <v>0.16300000000000001</v>
      </c>
      <c r="M54" s="2">
        <f t="shared" si="26"/>
        <v>2.7423658447680004</v>
      </c>
    </row>
    <row r="55" spans="1:13" x14ac:dyDescent="0.25">
      <c r="A55" s="4">
        <v>26.091999999999999</v>
      </c>
      <c r="B55" s="2" t="s">
        <v>19</v>
      </c>
      <c r="C55" s="6">
        <f t="shared" si="23"/>
        <v>0.80200000000000005</v>
      </c>
      <c r="D55" s="6">
        <f t="shared" si="4"/>
        <v>20.925784</v>
      </c>
      <c r="E55" s="6" t="s">
        <v>14</v>
      </c>
      <c r="F55" s="6">
        <f t="shared" si="24"/>
        <v>0.80400000000000005</v>
      </c>
      <c r="G55" s="6">
        <f t="shared" si="11"/>
        <v>16.824330336000003</v>
      </c>
      <c r="H55" s="6" t="s">
        <v>8</v>
      </c>
      <c r="I55" s="6">
        <f>33.5/100</f>
        <v>0.33500000000000002</v>
      </c>
      <c r="J55" s="6">
        <f t="shared" si="25"/>
        <v>5.6361506625600013</v>
      </c>
      <c r="K55" s="2" t="s">
        <v>35</v>
      </c>
      <c r="L55" s="2">
        <f>25.8/100</f>
        <v>0.25800000000000001</v>
      </c>
      <c r="M55" s="2">
        <f t="shared" si="26"/>
        <v>4.3406772266880012</v>
      </c>
    </row>
    <row r="56" spans="1:13" x14ac:dyDescent="0.25">
      <c r="A56" s="4">
        <v>26.091999999999999</v>
      </c>
      <c r="B56" s="2" t="s">
        <v>19</v>
      </c>
      <c r="C56" s="6">
        <f t="shared" si="23"/>
        <v>0.80200000000000005</v>
      </c>
      <c r="D56" s="6">
        <f t="shared" si="4"/>
        <v>20.925784</v>
      </c>
      <c r="E56" s="6" t="s">
        <v>14</v>
      </c>
      <c r="F56" s="6">
        <f t="shared" si="24"/>
        <v>0.80400000000000005</v>
      </c>
      <c r="G56" s="6">
        <f t="shared" si="11"/>
        <v>16.824330336000003</v>
      </c>
      <c r="H56" s="6" t="s">
        <v>10</v>
      </c>
      <c r="I56" s="6">
        <f>4.6/100</f>
        <v>4.5999999999999999E-2</v>
      </c>
      <c r="J56" s="6">
        <f t="shared" si="25"/>
        <v>0.77391919545600008</v>
      </c>
      <c r="K56" s="2" t="s">
        <v>36</v>
      </c>
      <c r="L56" s="2">
        <f>20.6/100</f>
        <v>0.20600000000000002</v>
      </c>
      <c r="M56" s="2">
        <f t="shared" si="26"/>
        <v>3.4658120492160007</v>
      </c>
    </row>
    <row r="57" spans="1:13" x14ac:dyDescent="0.25">
      <c r="A57" s="4">
        <v>26.091999999999999</v>
      </c>
      <c r="B57" s="2" t="s">
        <v>19</v>
      </c>
      <c r="C57" s="6">
        <f t="shared" si="23"/>
        <v>0.80200000000000005</v>
      </c>
      <c r="D57" s="6">
        <f t="shared" si="4"/>
        <v>20.925784</v>
      </c>
      <c r="E57" s="6" t="s">
        <v>14</v>
      </c>
      <c r="F57" s="6">
        <f t="shared" si="24"/>
        <v>0.80400000000000005</v>
      </c>
      <c r="G57" s="6">
        <f t="shared" si="11"/>
        <v>16.824330336000003</v>
      </c>
      <c r="H57" s="6" t="s">
        <v>9</v>
      </c>
      <c r="I57" s="6">
        <f>22/100</f>
        <v>0.22</v>
      </c>
      <c r="J57" s="6">
        <f>I58*G57</f>
        <v>0.235540624704</v>
      </c>
      <c r="K57" s="2" t="s">
        <v>37</v>
      </c>
      <c r="L57" s="2">
        <f>19.3/100</f>
        <v>0.193</v>
      </c>
      <c r="M57" s="2">
        <f t="shared" si="26"/>
        <v>3.2470957548480004</v>
      </c>
    </row>
    <row r="58" spans="1:13" x14ac:dyDescent="0.25">
      <c r="A58" s="4">
        <v>26.091999999999999</v>
      </c>
      <c r="B58" s="2" t="s">
        <v>19</v>
      </c>
      <c r="C58" s="6">
        <f t="shared" si="23"/>
        <v>0.80200000000000005</v>
      </c>
      <c r="D58" s="6">
        <f t="shared" si="4"/>
        <v>20.925784</v>
      </c>
      <c r="E58" s="6" t="s">
        <v>14</v>
      </c>
      <c r="F58" s="6">
        <f t="shared" si="24"/>
        <v>0.80400000000000005</v>
      </c>
      <c r="G58" s="6">
        <f t="shared" si="11"/>
        <v>16.824330336000003</v>
      </c>
      <c r="H58" s="6" t="s">
        <v>55</v>
      </c>
      <c r="I58" s="6">
        <f>1.4/100</f>
        <v>1.3999999999999999E-2</v>
      </c>
      <c r="J58" s="6"/>
      <c r="K58" s="2" t="s">
        <v>38</v>
      </c>
      <c r="L58" s="2">
        <f>3.2/100</f>
        <v>3.2000000000000001E-2</v>
      </c>
      <c r="M58" s="2">
        <f t="shared" si="26"/>
        <v>0.53837857075200013</v>
      </c>
    </row>
    <row r="59" spans="1:13" x14ac:dyDescent="0.25">
      <c r="A59" s="4">
        <v>26.091999999999999</v>
      </c>
      <c r="B59" s="2" t="s">
        <v>19</v>
      </c>
      <c r="C59" s="6">
        <f t="shared" si="23"/>
        <v>0.80200000000000005</v>
      </c>
      <c r="D59" s="6">
        <f t="shared" si="4"/>
        <v>20.925784</v>
      </c>
      <c r="E59" s="6" t="s">
        <v>14</v>
      </c>
      <c r="F59" s="6">
        <f t="shared" si="24"/>
        <v>0.80400000000000005</v>
      </c>
      <c r="G59" s="6">
        <f t="shared" si="11"/>
        <v>16.824330336000003</v>
      </c>
      <c r="H59" s="6"/>
      <c r="I59" s="6"/>
      <c r="J59" s="6"/>
      <c r="K59" s="2" t="s">
        <v>39</v>
      </c>
      <c r="L59" s="2">
        <f>1.4/100</f>
        <v>1.3999999999999999E-2</v>
      </c>
      <c r="M59" s="2">
        <f t="shared" si="26"/>
        <v>0.235540624704</v>
      </c>
    </row>
    <row r="60" spans="1:13" x14ac:dyDescent="0.25">
      <c r="A60" s="4">
        <v>26.091999999999999</v>
      </c>
      <c r="B60" s="2" t="s">
        <v>19</v>
      </c>
      <c r="C60" s="6">
        <f t="shared" si="23"/>
        <v>0.80200000000000005</v>
      </c>
      <c r="D60" s="6">
        <f t="shared" si="4"/>
        <v>20.925784</v>
      </c>
      <c r="E60" s="6" t="s">
        <v>52</v>
      </c>
      <c r="F60" s="6">
        <f>82.3/100</f>
        <v>0.82299999999999995</v>
      </c>
      <c r="G60" s="6">
        <f t="shared" si="11"/>
        <v>17.221920231999999</v>
      </c>
      <c r="H60" s="6" t="s">
        <v>11</v>
      </c>
      <c r="I60" s="6">
        <f>5.3/100</f>
        <v>5.2999999999999999E-2</v>
      </c>
      <c r="J60" s="6">
        <f>I60*G60</f>
        <v>0.91276177229599986</v>
      </c>
      <c r="K60" s="2" t="s">
        <v>32</v>
      </c>
      <c r="L60" s="2">
        <f>1.5/100</f>
        <v>1.4999999999999999E-2</v>
      </c>
      <c r="M60" s="2">
        <f>L60*G60</f>
        <v>0.25832880347999998</v>
      </c>
    </row>
    <row r="61" spans="1:13" x14ac:dyDescent="0.25">
      <c r="A61" s="4">
        <v>26.091999999999999</v>
      </c>
      <c r="B61" s="2" t="s">
        <v>19</v>
      </c>
      <c r="C61" s="6">
        <f t="shared" si="23"/>
        <v>0.80200000000000005</v>
      </c>
      <c r="D61" s="6">
        <f t="shared" si="4"/>
        <v>20.925784</v>
      </c>
      <c r="E61" s="6" t="s">
        <v>15</v>
      </c>
      <c r="F61" s="6">
        <f t="shared" ref="F61:F67" si="27">82.3/100</f>
        <v>0.82299999999999995</v>
      </c>
      <c r="G61" s="6">
        <f t="shared" si="11"/>
        <v>17.221920231999999</v>
      </c>
      <c r="H61" s="6" t="s">
        <v>12</v>
      </c>
      <c r="I61" s="6">
        <f>1.2/100</f>
        <v>1.2E-2</v>
      </c>
      <c r="J61" s="6">
        <f t="shared" ref="J61:J65" si="28">I61*G61</f>
        <v>0.206663042784</v>
      </c>
      <c r="K61" s="2" t="s">
        <v>33</v>
      </c>
      <c r="L61" s="2">
        <f>6/100</f>
        <v>0.06</v>
      </c>
      <c r="M61" s="2">
        <f t="shared" ref="M61:M67" si="29">L61*G61</f>
        <v>1.0333152139199999</v>
      </c>
    </row>
    <row r="62" spans="1:13" x14ac:dyDescent="0.25">
      <c r="A62" s="4">
        <v>26.091999999999999</v>
      </c>
      <c r="B62" s="2" t="s">
        <v>19</v>
      </c>
      <c r="C62" s="6">
        <f t="shared" si="23"/>
        <v>0.80200000000000005</v>
      </c>
      <c r="D62" s="6">
        <f t="shared" si="4"/>
        <v>20.925784</v>
      </c>
      <c r="E62" s="6" t="s">
        <v>15</v>
      </c>
      <c r="F62" s="6">
        <f t="shared" si="27"/>
        <v>0.82299999999999995</v>
      </c>
      <c r="G62" s="6">
        <f t="shared" si="11"/>
        <v>17.221920231999999</v>
      </c>
      <c r="H62" s="6" t="s">
        <v>7</v>
      </c>
      <c r="I62" s="6">
        <f>13.2/100</f>
        <v>0.13200000000000001</v>
      </c>
      <c r="J62" s="6">
        <f t="shared" si="28"/>
        <v>2.273293470624</v>
      </c>
      <c r="K62" s="2" t="s">
        <v>34</v>
      </c>
      <c r="L62" s="2">
        <f>21.7/100</f>
        <v>0.217</v>
      </c>
      <c r="M62" s="2">
        <f t="shared" si="29"/>
        <v>3.7371566903439999</v>
      </c>
    </row>
    <row r="63" spans="1:13" x14ac:dyDescent="0.25">
      <c r="A63" s="4">
        <v>26.091999999999999</v>
      </c>
      <c r="B63" s="2" t="s">
        <v>19</v>
      </c>
      <c r="C63" s="6">
        <f t="shared" si="23"/>
        <v>0.80200000000000005</v>
      </c>
      <c r="D63" s="6">
        <f t="shared" si="4"/>
        <v>20.925784</v>
      </c>
      <c r="E63" s="6" t="s">
        <v>15</v>
      </c>
      <c r="F63" s="6">
        <f t="shared" si="27"/>
        <v>0.82299999999999995</v>
      </c>
      <c r="G63" s="6">
        <f t="shared" si="11"/>
        <v>17.221920231999999</v>
      </c>
      <c r="H63" s="6" t="s">
        <v>8</v>
      </c>
      <c r="I63" s="6">
        <f>37.3/100</f>
        <v>0.373</v>
      </c>
      <c r="J63" s="6">
        <f t="shared" si="28"/>
        <v>6.4237762465359998</v>
      </c>
      <c r="K63" s="2" t="s">
        <v>35</v>
      </c>
      <c r="L63" s="2">
        <f>31.6/100</f>
        <v>0.316</v>
      </c>
      <c r="M63" s="2">
        <f t="shared" si="29"/>
        <v>5.4421267933119992</v>
      </c>
    </row>
    <row r="64" spans="1:13" x14ac:dyDescent="0.25">
      <c r="A64" s="4">
        <v>26.091999999999999</v>
      </c>
      <c r="B64" s="2" t="s">
        <v>19</v>
      </c>
      <c r="C64" s="6">
        <f t="shared" si="23"/>
        <v>0.80200000000000005</v>
      </c>
      <c r="D64" s="6">
        <f t="shared" si="4"/>
        <v>20.925784</v>
      </c>
      <c r="E64" s="6" t="s">
        <v>15</v>
      </c>
      <c r="F64" s="6">
        <f t="shared" si="27"/>
        <v>0.82299999999999995</v>
      </c>
      <c r="G64" s="6">
        <f t="shared" si="11"/>
        <v>17.221920231999999</v>
      </c>
      <c r="H64" s="6" t="s">
        <v>10</v>
      </c>
      <c r="I64" s="6">
        <f>5.3/100</f>
        <v>5.2999999999999999E-2</v>
      </c>
      <c r="J64" s="6">
        <f t="shared" si="28"/>
        <v>0.91276177229599986</v>
      </c>
      <c r="K64" s="2" t="s">
        <v>36</v>
      </c>
      <c r="L64" s="2">
        <f>24.6/100</f>
        <v>0.24600000000000002</v>
      </c>
      <c r="M64" s="2">
        <f t="shared" si="29"/>
        <v>4.2365923770720002</v>
      </c>
    </row>
    <row r="65" spans="1:13" x14ac:dyDescent="0.25">
      <c r="A65" s="4">
        <v>26.091999999999999</v>
      </c>
      <c r="B65" s="2" t="s">
        <v>19</v>
      </c>
      <c r="C65" s="6">
        <f t="shared" si="23"/>
        <v>0.80200000000000005</v>
      </c>
      <c r="D65" s="6">
        <f t="shared" si="4"/>
        <v>20.925784</v>
      </c>
      <c r="E65" s="6" t="s">
        <v>15</v>
      </c>
      <c r="F65" s="6">
        <f t="shared" si="27"/>
        <v>0.82299999999999995</v>
      </c>
      <c r="G65" s="6">
        <f t="shared" si="11"/>
        <v>17.221920231999999</v>
      </c>
      <c r="H65" s="6" t="s">
        <v>9</v>
      </c>
      <c r="I65" s="6">
        <f>33.9/100</f>
        <v>0.33899999999999997</v>
      </c>
      <c r="J65" s="6">
        <f t="shared" si="28"/>
        <v>5.8382309586479986</v>
      </c>
      <c r="K65" s="2" t="s">
        <v>37</v>
      </c>
      <c r="L65" s="2">
        <f>12.5/100</f>
        <v>0.125</v>
      </c>
      <c r="M65" s="2">
        <f t="shared" si="29"/>
        <v>2.1527400289999998</v>
      </c>
    </row>
    <row r="66" spans="1:13" x14ac:dyDescent="0.25">
      <c r="A66" s="4">
        <v>26.091999999999999</v>
      </c>
      <c r="B66" s="2" t="s">
        <v>19</v>
      </c>
      <c r="C66" s="6">
        <f t="shared" si="23"/>
        <v>0.80200000000000005</v>
      </c>
      <c r="D66" s="6">
        <f t="shared" si="4"/>
        <v>20.925784</v>
      </c>
      <c r="E66" s="6" t="s">
        <v>15</v>
      </c>
      <c r="F66" s="6">
        <f t="shared" si="27"/>
        <v>0.82299999999999995</v>
      </c>
      <c r="G66" s="6">
        <f t="shared" si="11"/>
        <v>17.221920231999999</v>
      </c>
      <c r="H66" s="6" t="s">
        <v>55</v>
      </c>
      <c r="I66" s="6">
        <f>3.8/100</f>
        <v>3.7999999999999999E-2</v>
      </c>
      <c r="J66" s="6"/>
      <c r="K66" s="2" t="s">
        <v>38</v>
      </c>
      <c r="L66" s="2">
        <f>1.1/100</f>
        <v>1.1000000000000001E-2</v>
      </c>
      <c r="M66" s="2">
        <f t="shared" si="29"/>
        <v>0.18944112255199999</v>
      </c>
    </row>
    <row r="67" spans="1:13" x14ac:dyDescent="0.25">
      <c r="A67" s="4">
        <v>26.091999999999999</v>
      </c>
      <c r="B67" s="2" t="s">
        <v>19</v>
      </c>
      <c r="C67" s="6">
        <f t="shared" si="23"/>
        <v>0.80200000000000005</v>
      </c>
      <c r="D67" s="6">
        <f t="shared" si="4"/>
        <v>20.925784</v>
      </c>
      <c r="E67" s="6" t="s">
        <v>15</v>
      </c>
      <c r="F67" s="6">
        <f t="shared" si="27"/>
        <v>0.82299999999999995</v>
      </c>
      <c r="G67" s="6">
        <f t="shared" si="11"/>
        <v>17.221920231999999</v>
      </c>
      <c r="H67" s="6"/>
      <c r="I67" s="6"/>
      <c r="J67" s="6"/>
      <c r="K67" s="2" t="s">
        <v>39</v>
      </c>
      <c r="L67" s="2">
        <f>1/100</f>
        <v>0.01</v>
      </c>
      <c r="M67" s="2">
        <f t="shared" si="29"/>
        <v>0.17221920231999999</v>
      </c>
    </row>
    <row r="68" spans="1:13" x14ac:dyDescent="0.25">
      <c r="A68" s="4">
        <v>26.091999999999999</v>
      </c>
      <c r="B68" s="2" t="s">
        <v>19</v>
      </c>
      <c r="C68" s="6">
        <f t="shared" si="23"/>
        <v>0.80200000000000005</v>
      </c>
      <c r="D68" s="6">
        <f t="shared" si="4"/>
        <v>20.925784</v>
      </c>
      <c r="E68" s="6" t="s">
        <v>53</v>
      </c>
      <c r="F68" s="6">
        <f>80.3/100</f>
        <v>0.80299999999999994</v>
      </c>
      <c r="G68" s="6">
        <f t="shared" si="11"/>
        <v>16.803404552</v>
      </c>
      <c r="H68" s="6" t="s">
        <v>11</v>
      </c>
      <c r="I68" s="6">
        <f>12.7/100</f>
        <v>0.127</v>
      </c>
      <c r="J68" s="6">
        <f>I68*G68</f>
        <v>2.134032378104</v>
      </c>
      <c r="K68" s="2" t="s">
        <v>32</v>
      </c>
      <c r="L68" s="2">
        <f>5.3/100</f>
        <v>5.2999999999999999E-2</v>
      </c>
      <c r="M68" s="2">
        <f>L68*G68</f>
        <v>0.890580441256</v>
      </c>
    </row>
    <row r="69" spans="1:13" x14ac:dyDescent="0.25">
      <c r="A69" s="4">
        <v>26.091999999999999</v>
      </c>
      <c r="B69" s="2" t="s">
        <v>19</v>
      </c>
      <c r="C69" s="6">
        <f t="shared" si="23"/>
        <v>0.80200000000000005</v>
      </c>
      <c r="D69" s="6">
        <f t="shared" si="4"/>
        <v>20.925784</v>
      </c>
      <c r="E69" s="6" t="s">
        <v>16</v>
      </c>
      <c r="F69" s="6">
        <f t="shared" ref="F69:F75" si="30">80.3/100</f>
        <v>0.80299999999999994</v>
      </c>
      <c r="G69" s="6">
        <f t="shared" si="11"/>
        <v>16.803404552</v>
      </c>
      <c r="H69" s="6" t="s">
        <v>12</v>
      </c>
      <c r="I69" s="6">
        <f>8.8/100</f>
        <v>8.8000000000000009E-2</v>
      </c>
      <c r="J69" s="6">
        <f t="shared" ref="J69:J73" si="31">I69*G69</f>
        <v>1.4786996005760003</v>
      </c>
      <c r="K69" s="2" t="s">
        <v>33</v>
      </c>
      <c r="L69" s="2">
        <f>11.3/100</f>
        <v>0.113</v>
      </c>
      <c r="M69" s="2">
        <f t="shared" ref="M69:M75" si="32">L69*G69</f>
        <v>1.8987847143759999</v>
      </c>
    </row>
    <row r="70" spans="1:13" x14ac:dyDescent="0.25">
      <c r="A70" s="4">
        <v>26.091999999999999</v>
      </c>
      <c r="B70" s="2" t="s">
        <v>19</v>
      </c>
      <c r="C70" s="6">
        <f t="shared" si="23"/>
        <v>0.80200000000000005</v>
      </c>
      <c r="D70" s="6">
        <f t="shared" si="4"/>
        <v>20.925784</v>
      </c>
      <c r="E70" s="6" t="s">
        <v>16</v>
      </c>
      <c r="F70" s="6">
        <f t="shared" si="30"/>
        <v>0.80299999999999994</v>
      </c>
      <c r="G70" s="6">
        <f t="shared" si="11"/>
        <v>16.803404552</v>
      </c>
      <c r="H70" s="6" t="s">
        <v>7</v>
      </c>
      <c r="I70" s="6">
        <f>16.3/100</f>
        <v>0.16300000000000001</v>
      </c>
      <c r="J70" s="6">
        <f t="shared" si="31"/>
        <v>2.738954941976</v>
      </c>
      <c r="K70" s="2" t="s">
        <v>34</v>
      </c>
      <c r="L70" s="2">
        <f>16.6/100</f>
        <v>0.16600000000000001</v>
      </c>
      <c r="M70" s="2">
        <f t="shared" si="32"/>
        <v>2.7893651556320003</v>
      </c>
    </row>
    <row r="71" spans="1:13" x14ac:dyDescent="0.25">
      <c r="A71" s="4">
        <v>26.091999999999999</v>
      </c>
      <c r="B71" s="2" t="s">
        <v>19</v>
      </c>
      <c r="C71" s="6">
        <f t="shared" si="23"/>
        <v>0.80200000000000005</v>
      </c>
      <c r="D71" s="6">
        <f t="shared" si="4"/>
        <v>20.925784</v>
      </c>
      <c r="E71" s="6" t="s">
        <v>16</v>
      </c>
      <c r="F71" s="6">
        <f t="shared" si="30"/>
        <v>0.80299999999999994</v>
      </c>
      <c r="G71" s="6">
        <f t="shared" si="11"/>
        <v>16.803404552</v>
      </c>
      <c r="H71" s="6" t="s">
        <v>8</v>
      </c>
      <c r="I71" s="6">
        <f>33/100</f>
        <v>0.33</v>
      </c>
      <c r="J71" s="6">
        <f t="shared" si="31"/>
        <v>5.5451235021600001</v>
      </c>
      <c r="K71" s="2" t="s">
        <v>35</v>
      </c>
      <c r="L71" s="2">
        <f>23.9/100</f>
        <v>0.23899999999999999</v>
      </c>
      <c r="M71" s="2">
        <f t="shared" si="32"/>
        <v>4.016013687928</v>
      </c>
    </row>
    <row r="72" spans="1:13" x14ac:dyDescent="0.25">
      <c r="A72" s="4">
        <v>26.091999999999999</v>
      </c>
      <c r="B72" s="2" t="s">
        <v>19</v>
      </c>
      <c r="C72" s="6">
        <f t="shared" si="23"/>
        <v>0.80200000000000005</v>
      </c>
      <c r="D72" s="6">
        <f t="shared" si="4"/>
        <v>20.925784</v>
      </c>
      <c r="E72" s="6" t="s">
        <v>16</v>
      </c>
      <c r="F72" s="6">
        <f t="shared" si="30"/>
        <v>0.80299999999999994</v>
      </c>
      <c r="G72" s="6">
        <f t="shared" si="11"/>
        <v>16.803404552</v>
      </c>
      <c r="H72" s="6" t="s">
        <v>10</v>
      </c>
      <c r="I72" s="6">
        <f>4.6/100</f>
        <v>4.5999999999999999E-2</v>
      </c>
      <c r="J72" s="6">
        <f t="shared" si="31"/>
        <v>0.77295660939199995</v>
      </c>
      <c r="K72" s="2" t="s">
        <v>36</v>
      </c>
      <c r="L72" s="2">
        <f>20.8/100</f>
        <v>0.20800000000000002</v>
      </c>
      <c r="M72" s="2">
        <f t="shared" si="32"/>
        <v>3.4951081468160003</v>
      </c>
    </row>
    <row r="73" spans="1:13" x14ac:dyDescent="0.25">
      <c r="A73" s="4">
        <v>26.091999999999999</v>
      </c>
      <c r="B73" s="2" t="s">
        <v>19</v>
      </c>
      <c r="C73" s="6">
        <f t="shared" si="23"/>
        <v>0.80200000000000005</v>
      </c>
      <c r="D73" s="6">
        <f t="shared" si="4"/>
        <v>20.925784</v>
      </c>
      <c r="E73" s="6" t="s">
        <v>16</v>
      </c>
      <c r="F73" s="6">
        <f t="shared" si="30"/>
        <v>0.80299999999999994</v>
      </c>
      <c r="G73" s="6">
        <f t="shared" si="11"/>
        <v>16.803404552</v>
      </c>
      <c r="H73" s="6" t="s">
        <v>9</v>
      </c>
      <c r="I73" s="6">
        <f>22.1/100</f>
        <v>0.221</v>
      </c>
      <c r="J73" s="6">
        <f t="shared" si="31"/>
        <v>3.713552405992</v>
      </c>
      <c r="K73" s="2" t="s">
        <v>37</v>
      </c>
      <c r="L73" s="2">
        <f>17.6/100</f>
        <v>0.17600000000000002</v>
      </c>
      <c r="M73" s="2">
        <f t="shared" si="32"/>
        <v>2.9573992011520005</v>
      </c>
    </row>
    <row r="74" spans="1:13" x14ac:dyDescent="0.25">
      <c r="A74" s="4">
        <v>26.091999999999999</v>
      </c>
      <c r="B74" s="2" t="s">
        <v>19</v>
      </c>
      <c r="C74" s="6">
        <f t="shared" si="23"/>
        <v>0.80200000000000005</v>
      </c>
      <c r="D74" s="6">
        <f t="shared" si="4"/>
        <v>20.925784</v>
      </c>
      <c r="E74" s="6" t="s">
        <v>16</v>
      </c>
      <c r="F74" s="6">
        <f t="shared" si="30"/>
        <v>0.80299999999999994</v>
      </c>
      <c r="G74" s="6">
        <f t="shared" si="11"/>
        <v>16.803404552</v>
      </c>
      <c r="H74" s="6" t="s">
        <v>55</v>
      </c>
      <c r="I74" s="6">
        <f>2.6/100</f>
        <v>2.6000000000000002E-2</v>
      </c>
      <c r="J74" s="6"/>
      <c r="K74" s="2" t="s">
        <v>38</v>
      </c>
      <c r="L74" s="2">
        <f>2.9/100</f>
        <v>2.8999999999999998E-2</v>
      </c>
      <c r="M74" s="2">
        <f t="shared" si="32"/>
        <v>0.48729873200799995</v>
      </c>
    </row>
    <row r="75" spans="1:13" x14ac:dyDescent="0.25">
      <c r="A75" s="4">
        <v>26.091999999999999</v>
      </c>
      <c r="B75" s="2" t="s">
        <v>19</v>
      </c>
      <c r="C75" s="6">
        <f t="shared" si="23"/>
        <v>0.80200000000000005</v>
      </c>
      <c r="D75" s="6">
        <f t="shared" si="4"/>
        <v>20.925784</v>
      </c>
      <c r="E75" s="6" t="s">
        <v>16</v>
      </c>
      <c r="F75" s="6">
        <f t="shared" si="30"/>
        <v>0.80299999999999994</v>
      </c>
      <c r="G75" s="6">
        <f t="shared" si="11"/>
        <v>16.803404552</v>
      </c>
      <c r="H75" s="6"/>
      <c r="I75" s="6"/>
      <c r="J75" s="6"/>
      <c r="K75" s="2" t="s">
        <v>39</v>
      </c>
      <c r="L75" s="2">
        <f>1.6/100</f>
        <v>1.6E-2</v>
      </c>
      <c r="M75" s="2">
        <f t="shared" si="32"/>
        <v>0.26885447283199998</v>
      </c>
    </row>
    <row r="76" spans="1:13" x14ac:dyDescent="0.25">
      <c r="A76" s="4">
        <v>26.091999999999999</v>
      </c>
      <c r="B76" s="2" t="s">
        <v>19</v>
      </c>
      <c r="C76" s="6">
        <f t="shared" si="23"/>
        <v>0.80200000000000005</v>
      </c>
      <c r="D76" s="6">
        <f t="shared" si="4"/>
        <v>20.925784</v>
      </c>
      <c r="E76" s="2" t="s">
        <v>51</v>
      </c>
      <c r="F76" s="6">
        <f>77.1/100</f>
        <v>0.77099999999999991</v>
      </c>
      <c r="G76" s="6">
        <f t="shared" si="11"/>
        <v>16.133779464</v>
      </c>
      <c r="H76" s="6" t="s">
        <v>11</v>
      </c>
      <c r="I76" s="6">
        <f>18.2/100</f>
        <v>0.182</v>
      </c>
      <c r="J76" s="8">
        <f>I76*G76</f>
        <v>2.9363478624479997</v>
      </c>
      <c r="K76" s="2" t="s">
        <v>32</v>
      </c>
      <c r="L76" s="2">
        <f>5.2/100</f>
        <v>5.2000000000000005E-2</v>
      </c>
      <c r="M76" s="2">
        <f>L76*G76</f>
        <v>0.83895653212800003</v>
      </c>
    </row>
    <row r="77" spans="1:13" x14ac:dyDescent="0.25">
      <c r="A77" s="4">
        <v>26.091999999999999</v>
      </c>
      <c r="B77" s="2" t="s">
        <v>19</v>
      </c>
      <c r="C77" s="6">
        <f t="shared" si="23"/>
        <v>0.80200000000000005</v>
      </c>
      <c r="D77" s="6">
        <f t="shared" si="4"/>
        <v>20.925784</v>
      </c>
      <c r="E77" s="2" t="s">
        <v>13</v>
      </c>
      <c r="F77" s="6">
        <f t="shared" ref="F77:F83" si="33">77.1/100</f>
        <v>0.77099999999999991</v>
      </c>
      <c r="G77" s="6">
        <f t="shared" si="11"/>
        <v>16.133779464</v>
      </c>
      <c r="H77" s="6" t="s">
        <v>12</v>
      </c>
      <c r="I77" s="6">
        <f>11.3/100</f>
        <v>0.113</v>
      </c>
      <c r="J77" s="8">
        <f t="shared" ref="J77:J81" si="34">I77*G77</f>
        <v>1.823117079432</v>
      </c>
      <c r="K77" s="2" t="s">
        <v>33</v>
      </c>
      <c r="L77" s="2">
        <f>10.9/100</f>
        <v>0.109</v>
      </c>
      <c r="M77" s="2">
        <f t="shared" ref="M77:M83" si="35">L77*G77</f>
        <v>1.7585819615759999</v>
      </c>
    </row>
    <row r="78" spans="1:13" x14ac:dyDescent="0.25">
      <c r="A78" s="4">
        <v>26.091999999999999</v>
      </c>
      <c r="B78" s="2" t="s">
        <v>19</v>
      </c>
      <c r="C78" s="6">
        <f t="shared" si="23"/>
        <v>0.80200000000000005</v>
      </c>
      <c r="D78" s="6">
        <f t="shared" si="4"/>
        <v>20.925784</v>
      </c>
      <c r="E78" s="2" t="s">
        <v>13</v>
      </c>
      <c r="F78" s="6">
        <f t="shared" si="33"/>
        <v>0.77099999999999991</v>
      </c>
      <c r="G78" s="6">
        <f t="shared" si="11"/>
        <v>16.133779464</v>
      </c>
      <c r="H78" s="6" t="s">
        <v>7</v>
      </c>
      <c r="I78" s="6">
        <f>18.5/100</f>
        <v>0.185</v>
      </c>
      <c r="J78" s="8">
        <f t="shared" si="34"/>
        <v>2.9847492008400001</v>
      </c>
      <c r="K78" s="2" t="s">
        <v>34</v>
      </c>
      <c r="L78" s="2">
        <f>15.8/100</f>
        <v>0.158</v>
      </c>
      <c r="M78" s="2">
        <f t="shared" si="35"/>
        <v>2.5491371553120001</v>
      </c>
    </row>
    <row r="79" spans="1:13" x14ac:dyDescent="0.25">
      <c r="A79" s="4">
        <v>26.091999999999999</v>
      </c>
      <c r="B79" s="2" t="s">
        <v>19</v>
      </c>
      <c r="C79" s="6">
        <f t="shared" si="23"/>
        <v>0.80200000000000005</v>
      </c>
      <c r="D79" s="6">
        <f t="shared" si="4"/>
        <v>20.925784</v>
      </c>
      <c r="E79" s="2" t="s">
        <v>13</v>
      </c>
      <c r="F79" s="6">
        <f t="shared" si="33"/>
        <v>0.77099999999999991</v>
      </c>
      <c r="G79" s="6">
        <f t="shared" si="11"/>
        <v>16.133779464</v>
      </c>
      <c r="H79" s="6" t="s">
        <v>8</v>
      </c>
      <c r="I79" s="6">
        <f>35.1/100</f>
        <v>0.35100000000000003</v>
      </c>
      <c r="J79" s="8">
        <f t="shared" si="34"/>
        <v>5.6629565918640008</v>
      </c>
      <c r="K79" s="2" t="s">
        <v>35</v>
      </c>
      <c r="L79" s="2">
        <f>25.3/100</f>
        <v>0.253</v>
      </c>
      <c r="M79" s="2">
        <f t="shared" si="35"/>
        <v>4.0818462043919999</v>
      </c>
    </row>
    <row r="80" spans="1:13" x14ac:dyDescent="0.25">
      <c r="A80" s="4">
        <v>26.091999999999999</v>
      </c>
      <c r="B80" s="2" t="s">
        <v>19</v>
      </c>
      <c r="C80" s="6">
        <f t="shared" si="23"/>
        <v>0.80200000000000005</v>
      </c>
      <c r="D80" s="6">
        <f t="shared" si="4"/>
        <v>20.925784</v>
      </c>
      <c r="E80" s="2" t="s">
        <v>13</v>
      </c>
      <c r="F80" s="6">
        <f t="shared" si="33"/>
        <v>0.77099999999999991</v>
      </c>
      <c r="G80" s="6">
        <f t="shared" si="11"/>
        <v>16.133779464</v>
      </c>
      <c r="H80" s="6" t="s">
        <v>10</v>
      </c>
      <c r="I80" s="6">
        <f>3.3/100</f>
        <v>3.3000000000000002E-2</v>
      </c>
      <c r="J80" s="8">
        <f t="shared" si="34"/>
        <v>0.53241472231200004</v>
      </c>
      <c r="K80" s="2" t="s">
        <v>36</v>
      </c>
      <c r="L80" s="2">
        <f>21.4/100</f>
        <v>0.214</v>
      </c>
      <c r="M80" s="2">
        <f t="shared" si="35"/>
        <v>3.4526288052959999</v>
      </c>
    </row>
    <row r="81" spans="1:13" x14ac:dyDescent="0.25">
      <c r="A81" s="4">
        <v>26.091999999999999</v>
      </c>
      <c r="B81" s="2" t="s">
        <v>19</v>
      </c>
      <c r="C81" s="6">
        <f t="shared" si="23"/>
        <v>0.80200000000000005</v>
      </c>
      <c r="D81" s="6">
        <f t="shared" si="4"/>
        <v>20.925784</v>
      </c>
      <c r="E81" s="2" t="s">
        <v>13</v>
      </c>
      <c r="F81" s="6">
        <f t="shared" si="33"/>
        <v>0.77099999999999991</v>
      </c>
      <c r="G81" s="6">
        <f t="shared" si="11"/>
        <v>16.133779464</v>
      </c>
      <c r="H81" s="6" t="s">
        <v>9</v>
      </c>
      <c r="I81" s="6">
        <f>11.4/100</f>
        <v>0.114</v>
      </c>
      <c r="J81" s="8">
        <f t="shared" si="34"/>
        <v>1.8392508588960002</v>
      </c>
      <c r="K81" s="2" t="s">
        <v>37</v>
      </c>
      <c r="L81" s="2">
        <f>16.3/100</f>
        <v>0.16300000000000001</v>
      </c>
      <c r="M81" s="2">
        <f t="shared" si="35"/>
        <v>2.629806052632</v>
      </c>
    </row>
    <row r="82" spans="1:13" x14ac:dyDescent="0.25">
      <c r="A82" s="4">
        <v>26.091999999999999</v>
      </c>
      <c r="B82" s="2" t="s">
        <v>19</v>
      </c>
      <c r="C82" s="6">
        <f t="shared" si="23"/>
        <v>0.80200000000000005</v>
      </c>
      <c r="D82" s="6">
        <f t="shared" si="4"/>
        <v>20.925784</v>
      </c>
      <c r="E82" s="2" t="s">
        <v>13</v>
      </c>
      <c r="F82" s="6">
        <f t="shared" si="33"/>
        <v>0.77099999999999991</v>
      </c>
      <c r="G82" s="6">
        <f t="shared" si="11"/>
        <v>16.133779464</v>
      </c>
      <c r="H82" s="6" t="s">
        <v>55</v>
      </c>
      <c r="I82" s="6">
        <f>2.1/100</f>
        <v>2.1000000000000001E-2</v>
      </c>
      <c r="J82" s="8"/>
      <c r="K82" s="2" t="s">
        <v>38</v>
      </c>
      <c r="L82" s="2">
        <f>3/100</f>
        <v>0.03</v>
      </c>
      <c r="M82" s="2">
        <f t="shared" si="35"/>
        <v>0.48401338391999998</v>
      </c>
    </row>
    <row r="83" spans="1:13" x14ac:dyDescent="0.25">
      <c r="A83" s="4">
        <v>26.091999999999999</v>
      </c>
      <c r="B83" s="2" t="s">
        <v>19</v>
      </c>
      <c r="C83" s="6">
        <f t="shared" si="23"/>
        <v>0.80200000000000005</v>
      </c>
      <c r="D83" s="6">
        <f t="shared" si="4"/>
        <v>20.925784</v>
      </c>
      <c r="E83" s="2" t="s">
        <v>13</v>
      </c>
      <c r="F83" s="6">
        <f t="shared" si="33"/>
        <v>0.77099999999999991</v>
      </c>
      <c r="G83" s="6">
        <f t="shared" si="11"/>
        <v>16.133779464</v>
      </c>
      <c r="H83" s="6"/>
      <c r="I83" s="6"/>
      <c r="J83" s="8"/>
      <c r="K83" s="2" t="s">
        <v>39</v>
      </c>
      <c r="L83" s="2">
        <f>2.1/100</f>
        <v>2.1000000000000001E-2</v>
      </c>
      <c r="M83" s="2">
        <f t="shared" si="35"/>
        <v>0.33880936874400003</v>
      </c>
    </row>
    <row r="84" spans="1:13" x14ac:dyDescent="0.25">
      <c r="A84" s="4">
        <v>26.091999999999999</v>
      </c>
      <c r="B84" s="2" t="s">
        <v>19</v>
      </c>
      <c r="C84" s="6">
        <f t="shared" si="23"/>
        <v>0.80200000000000005</v>
      </c>
      <c r="D84" s="6">
        <f t="shared" si="4"/>
        <v>20.925784</v>
      </c>
      <c r="E84" s="2" t="s">
        <v>50</v>
      </c>
      <c r="F84" s="6">
        <f>86.1/100</f>
        <v>0.86099999999999999</v>
      </c>
      <c r="G84" s="6">
        <f t="shared" si="11"/>
        <v>18.017100024000001</v>
      </c>
      <c r="H84" s="6" t="s">
        <v>11</v>
      </c>
      <c r="I84" s="6">
        <f>11.3/100</f>
        <v>0.113</v>
      </c>
      <c r="J84" s="6">
        <f>I84*G84</f>
        <v>2.0359323027120002</v>
      </c>
      <c r="K84" s="2" t="s">
        <v>32</v>
      </c>
      <c r="L84" s="2">
        <f>1.1/100</f>
        <v>1.1000000000000001E-2</v>
      </c>
      <c r="M84" s="2">
        <f>L84*G84</f>
        <v>0.19818810026400002</v>
      </c>
    </row>
    <row r="85" spans="1:13" x14ac:dyDescent="0.25">
      <c r="A85" s="4">
        <v>26.091999999999999</v>
      </c>
      <c r="B85" s="2" t="s">
        <v>19</v>
      </c>
      <c r="C85" s="6">
        <f t="shared" si="23"/>
        <v>0.80200000000000005</v>
      </c>
      <c r="D85" s="6">
        <f t="shared" si="4"/>
        <v>20.925784</v>
      </c>
      <c r="E85" s="2" t="s">
        <v>17</v>
      </c>
      <c r="F85" s="6">
        <f t="shared" ref="F85:F91" si="36">86.1/100</f>
        <v>0.86099999999999999</v>
      </c>
      <c r="G85" s="6">
        <f t="shared" si="11"/>
        <v>18.017100024000001</v>
      </c>
      <c r="H85" s="6" t="s">
        <v>12</v>
      </c>
      <c r="I85" s="6">
        <f>4.6/100</f>
        <v>4.5999999999999999E-2</v>
      </c>
      <c r="J85" s="6">
        <f t="shared" ref="J85:J89" si="37">I85*G85</f>
        <v>0.82878660110400004</v>
      </c>
      <c r="K85" s="2" t="s">
        <v>33</v>
      </c>
      <c r="L85" s="2">
        <f>12.1/100</f>
        <v>0.121</v>
      </c>
      <c r="M85" s="2">
        <f t="shared" ref="M85:M87" si="38">L85*G85</f>
        <v>2.180069102904</v>
      </c>
    </row>
    <row r="86" spans="1:13" x14ac:dyDescent="0.25">
      <c r="A86" s="4">
        <v>26.091999999999999</v>
      </c>
      <c r="B86" s="2" t="s">
        <v>19</v>
      </c>
      <c r="C86" s="6">
        <f t="shared" si="23"/>
        <v>0.80200000000000005</v>
      </c>
      <c r="D86" s="6">
        <f t="shared" si="4"/>
        <v>20.925784</v>
      </c>
      <c r="E86" s="2" t="s">
        <v>17</v>
      </c>
      <c r="F86" s="6">
        <f t="shared" si="36"/>
        <v>0.86099999999999999</v>
      </c>
      <c r="G86" s="6">
        <f t="shared" si="11"/>
        <v>18.017100024000001</v>
      </c>
      <c r="H86" s="6" t="s">
        <v>7</v>
      </c>
      <c r="I86" s="6">
        <f>15.9/100</f>
        <v>0.159</v>
      </c>
      <c r="J86" s="6">
        <f t="shared" si="37"/>
        <v>2.8647189038160001</v>
      </c>
      <c r="K86" s="2" t="s">
        <v>34</v>
      </c>
      <c r="L86" s="2">
        <f>18.2/100</f>
        <v>0.182</v>
      </c>
      <c r="M86" s="2">
        <f t="shared" si="38"/>
        <v>3.2791122043680003</v>
      </c>
    </row>
    <row r="87" spans="1:13" x14ac:dyDescent="0.25">
      <c r="A87" s="4">
        <v>26.091999999999999</v>
      </c>
      <c r="B87" s="2" t="s">
        <v>19</v>
      </c>
      <c r="C87" s="6">
        <f t="shared" si="23"/>
        <v>0.80200000000000005</v>
      </c>
      <c r="D87" s="6">
        <f t="shared" si="4"/>
        <v>20.925784</v>
      </c>
      <c r="E87" s="2" t="s">
        <v>17</v>
      </c>
      <c r="F87" s="6">
        <f t="shared" si="36"/>
        <v>0.86099999999999999</v>
      </c>
      <c r="G87" s="6">
        <f t="shared" si="11"/>
        <v>18.017100024000001</v>
      </c>
      <c r="H87" s="6" t="s">
        <v>8</v>
      </c>
      <c r="I87" s="6">
        <f>53.9/100</f>
        <v>0.53900000000000003</v>
      </c>
      <c r="J87" s="6">
        <f t="shared" si="37"/>
        <v>9.7112169129360009</v>
      </c>
      <c r="K87" s="2" t="s">
        <v>35</v>
      </c>
      <c r="L87" s="2">
        <f>26.8/100</f>
        <v>0.26800000000000002</v>
      </c>
      <c r="M87" s="2">
        <f t="shared" si="38"/>
        <v>4.8285828064320002</v>
      </c>
    </row>
    <row r="88" spans="1:13" x14ac:dyDescent="0.25">
      <c r="A88" s="4">
        <v>26.091999999999999</v>
      </c>
      <c r="B88" s="2" t="s">
        <v>19</v>
      </c>
      <c r="C88" s="6">
        <f t="shared" si="23"/>
        <v>0.80200000000000005</v>
      </c>
      <c r="D88" s="6">
        <f t="shared" si="4"/>
        <v>20.925784</v>
      </c>
      <c r="E88" s="2" t="s">
        <v>17</v>
      </c>
      <c r="F88" s="6">
        <f t="shared" si="36"/>
        <v>0.86099999999999999</v>
      </c>
      <c r="G88" s="6">
        <f t="shared" si="11"/>
        <v>18.017100024000001</v>
      </c>
      <c r="H88" s="6" t="s">
        <v>10</v>
      </c>
      <c r="I88" s="6">
        <f>4.7/100</f>
        <v>4.7E-2</v>
      </c>
      <c r="J88" s="6">
        <f t="shared" si="37"/>
        <v>0.84680370112800007</v>
      </c>
      <c r="K88" s="2" t="s">
        <v>36</v>
      </c>
      <c r="L88" s="2">
        <f>22.3/100</f>
        <v>0.223</v>
      </c>
      <c r="M88" s="2">
        <f>L87*G88</f>
        <v>4.8285828064320002</v>
      </c>
    </row>
    <row r="89" spans="1:13" x14ac:dyDescent="0.25">
      <c r="A89" s="4">
        <v>26.091999999999999</v>
      </c>
      <c r="B89" s="2" t="s">
        <v>19</v>
      </c>
      <c r="C89" s="6">
        <f t="shared" si="23"/>
        <v>0.80200000000000005</v>
      </c>
      <c r="D89" s="6">
        <f t="shared" si="4"/>
        <v>20.925784</v>
      </c>
      <c r="E89" s="2" t="s">
        <v>17</v>
      </c>
      <c r="F89" s="6">
        <f t="shared" si="36"/>
        <v>0.86099999999999999</v>
      </c>
      <c r="G89" s="6">
        <f t="shared" si="11"/>
        <v>18.017100024000001</v>
      </c>
      <c r="H89" s="6" t="s">
        <v>9</v>
      </c>
      <c r="I89" s="6">
        <f>6.1/100</f>
        <v>6.0999999999999999E-2</v>
      </c>
      <c r="J89" s="6">
        <f t="shared" si="37"/>
        <v>1.0990431014640001</v>
      </c>
      <c r="K89" s="2" t="s">
        <v>37</v>
      </c>
      <c r="L89" s="2">
        <f>14.5/100</f>
        <v>0.14499999999999999</v>
      </c>
      <c r="M89" s="2">
        <f>L88*G89</f>
        <v>4.017813305352</v>
      </c>
    </row>
    <row r="90" spans="1:13" x14ac:dyDescent="0.25">
      <c r="A90" s="4">
        <v>26.091999999999999</v>
      </c>
      <c r="B90" s="2" t="s">
        <v>19</v>
      </c>
      <c r="C90" s="6">
        <f t="shared" si="23"/>
        <v>0.80200000000000005</v>
      </c>
      <c r="D90" s="6">
        <f t="shared" si="4"/>
        <v>20.925784</v>
      </c>
      <c r="E90" s="2" t="s">
        <v>17</v>
      </c>
      <c r="F90" s="6">
        <f t="shared" si="36"/>
        <v>0.86099999999999999</v>
      </c>
      <c r="G90" s="6">
        <f t="shared" si="11"/>
        <v>18.017100024000001</v>
      </c>
      <c r="H90" s="6" t="s">
        <v>55</v>
      </c>
      <c r="I90" s="6">
        <f>3.6/100</f>
        <v>3.6000000000000004E-2</v>
      </c>
      <c r="J90" s="6"/>
      <c r="K90" s="2" t="s">
        <v>38</v>
      </c>
      <c r="L90" s="2">
        <f>2.1/100</f>
        <v>2.1000000000000001E-2</v>
      </c>
      <c r="M90" s="2">
        <f>L89*G90</f>
        <v>2.6124795034799999</v>
      </c>
    </row>
    <row r="91" spans="1:13" x14ac:dyDescent="0.25">
      <c r="A91" s="4">
        <v>26.091999999999999</v>
      </c>
      <c r="B91" s="2" t="s">
        <v>19</v>
      </c>
      <c r="C91" s="6">
        <f t="shared" si="23"/>
        <v>0.80200000000000005</v>
      </c>
      <c r="D91" s="6">
        <f t="shared" si="4"/>
        <v>20.925784</v>
      </c>
      <c r="E91" s="2" t="s">
        <v>17</v>
      </c>
      <c r="F91" s="6">
        <f t="shared" si="36"/>
        <v>0.86099999999999999</v>
      </c>
      <c r="G91" s="6">
        <f t="shared" si="11"/>
        <v>18.017100024000001</v>
      </c>
      <c r="H91" s="6"/>
      <c r="I91" s="6"/>
      <c r="J91" s="6"/>
      <c r="K91" s="2" t="s">
        <v>39</v>
      </c>
      <c r="L91" s="2">
        <f>3/100</f>
        <v>0.03</v>
      </c>
      <c r="M91" s="2">
        <f>L90*G91</f>
        <v>0.37835910050400007</v>
      </c>
    </row>
    <row r="92" spans="1:13" x14ac:dyDescent="0.25">
      <c r="A92" s="4">
        <v>26.091999999999999</v>
      </c>
      <c r="B92" s="2" t="s">
        <v>19</v>
      </c>
      <c r="C92" s="6">
        <f t="shared" si="23"/>
        <v>0.80200000000000005</v>
      </c>
      <c r="D92" s="6">
        <f t="shared" si="4"/>
        <v>20.925784</v>
      </c>
      <c r="E92" s="2" t="s">
        <v>49</v>
      </c>
      <c r="F92" s="2">
        <f>84.2/100</f>
        <v>0.84200000000000008</v>
      </c>
      <c r="G92" s="6">
        <f t="shared" si="11"/>
        <v>17.619510128000002</v>
      </c>
      <c r="H92" s="6" t="s">
        <v>11</v>
      </c>
      <c r="I92" s="6">
        <f>23.6/100</f>
        <v>0.23600000000000002</v>
      </c>
      <c r="J92" s="6">
        <f>I92*G92</f>
        <v>4.1582043902080006</v>
      </c>
      <c r="K92" s="2" t="s">
        <v>32</v>
      </c>
      <c r="L92" s="2">
        <f>8.1/100</f>
        <v>8.1000000000000003E-2</v>
      </c>
      <c r="M92" s="2">
        <f>L92*G92</f>
        <v>1.4271803203680002</v>
      </c>
    </row>
    <row r="93" spans="1:13" x14ac:dyDescent="0.25">
      <c r="A93" s="4">
        <v>26.091999999999999</v>
      </c>
      <c r="B93" s="2" t="s">
        <v>19</v>
      </c>
      <c r="C93" s="6">
        <f t="shared" si="23"/>
        <v>0.80200000000000005</v>
      </c>
      <c r="D93" s="6">
        <f t="shared" ref="D93:D99" si="39">C93*A93</f>
        <v>20.925784</v>
      </c>
      <c r="E93" s="2" t="s">
        <v>18</v>
      </c>
      <c r="F93" s="2">
        <f t="shared" ref="F93:F99" si="40">84.2/100</f>
        <v>0.84200000000000008</v>
      </c>
      <c r="G93" s="6">
        <f t="shared" si="11"/>
        <v>17.619510128000002</v>
      </c>
      <c r="H93" s="6" t="s">
        <v>12</v>
      </c>
      <c r="I93" s="6">
        <f>9.2/100</f>
        <v>9.1999999999999998E-2</v>
      </c>
      <c r="J93" s="6">
        <f t="shared" ref="J93:J97" si="41">I93*G93</f>
        <v>1.6209949317760002</v>
      </c>
      <c r="K93" s="2" t="s">
        <v>33</v>
      </c>
      <c r="L93" s="2">
        <f>13.6/100</f>
        <v>0.13600000000000001</v>
      </c>
      <c r="M93" s="2">
        <f t="shared" ref="M93:M99" si="42">L93*G93</f>
        <v>2.3962533774080006</v>
      </c>
    </row>
    <row r="94" spans="1:13" x14ac:dyDescent="0.25">
      <c r="A94" s="4">
        <v>26.091999999999999</v>
      </c>
      <c r="B94" s="2" t="s">
        <v>19</v>
      </c>
      <c r="C94" s="6">
        <f t="shared" si="23"/>
        <v>0.80200000000000005</v>
      </c>
      <c r="D94" s="6">
        <f t="shared" si="39"/>
        <v>20.925784</v>
      </c>
      <c r="E94" s="2" t="s">
        <v>18</v>
      </c>
      <c r="F94" s="2">
        <f t="shared" si="40"/>
        <v>0.84200000000000008</v>
      </c>
      <c r="G94" s="6">
        <f t="shared" si="11"/>
        <v>17.619510128000002</v>
      </c>
      <c r="H94" s="6" t="s">
        <v>7</v>
      </c>
      <c r="I94" s="6">
        <f>18.5/100</f>
        <v>0.185</v>
      </c>
      <c r="J94" s="6">
        <f t="shared" si="41"/>
        <v>3.2596093736800005</v>
      </c>
      <c r="K94" s="2" t="s">
        <v>34</v>
      </c>
      <c r="L94" s="2">
        <f>15.2/100</f>
        <v>0.152</v>
      </c>
      <c r="M94" s="2">
        <f t="shared" si="42"/>
        <v>2.6781655394560002</v>
      </c>
    </row>
    <row r="95" spans="1:13" x14ac:dyDescent="0.25">
      <c r="A95" s="4">
        <v>26.091999999999999</v>
      </c>
      <c r="B95" s="2" t="s">
        <v>19</v>
      </c>
      <c r="C95" s="6">
        <f t="shared" si="23"/>
        <v>0.80200000000000005</v>
      </c>
      <c r="D95" s="6">
        <f t="shared" si="39"/>
        <v>20.925784</v>
      </c>
      <c r="E95" s="2" t="s">
        <v>18</v>
      </c>
      <c r="F95" s="2">
        <f t="shared" si="40"/>
        <v>0.84200000000000008</v>
      </c>
      <c r="G95" s="6">
        <f t="shared" si="11"/>
        <v>17.619510128000002</v>
      </c>
      <c r="H95" s="6" t="s">
        <v>8</v>
      </c>
      <c r="I95" s="6">
        <f>35.7/100</f>
        <v>0.35700000000000004</v>
      </c>
      <c r="J95" s="6">
        <f t="shared" si="41"/>
        <v>6.2901651156960012</v>
      </c>
      <c r="K95" s="2" t="s">
        <v>35</v>
      </c>
      <c r="L95" s="2">
        <f>22.8/100</f>
        <v>0.22800000000000001</v>
      </c>
      <c r="M95" s="2">
        <f t="shared" si="42"/>
        <v>4.0172483091840006</v>
      </c>
    </row>
    <row r="96" spans="1:13" x14ac:dyDescent="0.25">
      <c r="A96" s="4">
        <v>26.091999999999999</v>
      </c>
      <c r="B96" s="2" t="s">
        <v>19</v>
      </c>
      <c r="C96" s="6">
        <f t="shared" si="23"/>
        <v>0.80200000000000005</v>
      </c>
      <c r="D96" s="6">
        <f t="shared" si="39"/>
        <v>20.925784</v>
      </c>
      <c r="E96" s="2" t="s">
        <v>18</v>
      </c>
      <c r="F96" s="2">
        <f t="shared" si="40"/>
        <v>0.84200000000000008</v>
      </c>
      <c r="G96" s="6">
        <f t="shared" si="11"/>
        <v>17.619510128000002</v>
      </c>
      <c r="H96" s="6" t="s">
        <v>10</v>
      </c>
      <c r="I96" s="6">
        <f>2.9/100</f>
        <v>2.8999999999999998E-2</v>
      </c>
      <c r="J96" s="6">
        <f t="shared" si="41"/>
        <v>0.51096579371200002</v>
      </c>
      <c r="K96" s="2" t="s">
        <v>36</v>
      </c>
      <c r="L96" s="2">
        <f>19.6/100</f>
        <v>0.19600000000000001</v>
      </c>
      <c r="M96" s="2">
        <f t="shared" si="42"/>
        <v>3.4534239850880004</v>
      </c>
    </row>
    <row r="97" spans="1:13" x14ac:dyDescent="0.25">
      <c r="A97" s="4">
        <v>26.091999999999999</v>
      </c>
      <c r="B97" s="2" t="s">
        <v>19</v>
      </c>
      <c r="C97" s="6">
        <f t="shared" si="23"/>
        <v>0.80200000000000005</v>
      </c>
      <c r="D97" s="6">
        <f t="shared" si="39"/>
        <v>20.925784</v>
      </c>
      <c r="E97" s="2" t="s">
        <v>18</v>
      </c>
      <c r="F97" s="2">
        <f t="shared" si="40"/>
        <v>0.84200000000000008</v>
      </c>
      <c r="G97" s="6">
        <f t="shared" si="11"/>
        <v>17.619510128000002</v>
      </c>
      <c r="H97" s="6" t="s">
        <v>9</v>
      </c>
      <c r="I97" s="6">
        <f>8.4/100</f>
        <v>8.4000000000000005E-2</v>
      </c>
      <c r="J97" s="6">
        <f t="shared" si="41"/>
        <v>1.4800388507520001</v>
      </c>
      <c r="K97" s="2" t="s">
        <v>37</v>
      </c>
      <c r="L97" s="2">
        <f>14.3/100</f>
        <v>0.14300000000000002</v>
      </c>
      <c r="M97" s="2">
        <f t="shared" si="42"/>
        <v>2.5195899483040005</v>
      </c>
    </row>
    <row r="98" spans="1:13" x14ac:dyDescent="0.25">
      <c r="A98" s="4">
        <v>26.091999999999999</v>
      </c>
      <c r="B98" s="2" t="s">
        <v>19</v>
      </c>
      <c r="C98" s="6">
        <f t="shared" si="23"/>
        <v>0.80200000000000005</v>
      </c>
      <c r="D98" s="6">
        <f t="shared" si="39"/>
        <v>20.925784</v>
      </c>
      <c r="E98" s="2" t="s">
        <v>18</v>
      </c>
      <c r="F98" s="2">
        <f t="shared" si="40"/>
        <v>0.84200000000000008</v>
      </c>
      <c r="G98" s="6">
        <f t="shared" si="11"/>
        <v>17.619510128000002</v>
      </c>
      <c r="H98" s="6" t="s">
        <v>55</v>
      </c>
      <c r="I98" s="2">
        <f>1.6/100</f>
        <v>1.6E-2</v>
      </c>
      <c r="J98" s="2"/>
      <c r="K98" s="2" t="s">
        <v>38</v>
      </c>
      <c r="L98" s="2">
        <f>3.5/100</f>
        <v>3.5000000000000003E-2</v>
      </c>
      <c r="M98" s="2">
        <f t="shared" si="42"/>
        <v>0.61668285448000015</v>
      </c>
    </row>
    <row r="99" spans="1:13" x14ac:dyDescent="0.25">
      <c r="A99" s="4">
        <v>26.091999999999999</v>
      </c>
      <c r="B99" s="2" t="s">
        <v>19</v>
      </c>
      <c r="C99" s="6">
        <f t="shared" si="23"/>
        <v>0.80200000000000005</v>
      </c>
      <c r="D99" s="6">
        <f t="shared" si="39"/>
        <v>20.925784</v>
      </c>
      <c r="E99" s="2" t="s">
        <v>18</v>
      </c>
      <c r="F99" s="2">
        <f t="shared" si="40"/>
        <v>0.84200000000000008</v>
      </c>
      <c r="G99" s="6">
        <f t="shared" ref="G99" si="43">F99*D99</f>
        <v>17.619510128000002</v>
      </c>
      <c r="H99" s="2"/>
      <c r="I99" s="2"/>
      <c r="J99" s="2"/>
      <c r="K99" s="2" t="s">
        <v>39</v>
      </c>
      <c r="L99" s="2">
        <f>2.7/100</f>
        <v>2.7000000000000003E-2</v>
      </c>
      <c r="M99" s="2">
        <f t="shared" si="42"/>
        <v>0.47572677345600012</v>
      </c>
    </row>
  </sheetData>
  <mergeCells count="1">
    <mergeCell ref="E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M99"/>
  <sheetViews>
    <sheetView workbookViewId="0">
      <selection activeCell="A4" sqref="A4:M99"/>
    </sheetView>
  </sheetViews>
  <sheetFormatPr defaultRowHeight="13.2" x14ac:dyDescent="0.25"/>
  <cols>
    <col min="5" max="5" width="22.44140625" customWidth="1"/>
    <col min="6" max="6" width="18.6640625" customWidth="1"/>
    <col min="8" max="8" width="29.21875" customWidth="1"/>
    <col min="9" max="9" width="22.6640625" customWidth="1"/>
    <col min="10" max="10" width="17.6640625" customWidth="1"/>
    <col min="11" max="11" width="19.44140625" customWidth="1"/>
    <col min="12" max="12" width="14.88671875" customWidth="1"/>
  </cols>
  <sheetData>
    <row r="2" spans="1:13" x14ac:dyDescent="0.25">
      <c r="A2" s="3"/>
      <c r="B2" s="3"/>
      <c r="C2" s="3"/>
      <c r="D2" s="3"/>
      <c r="E2" s="21" t="s">
        <v>80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26.161000000000001</v>
      </c>
      <c r="B4" s="4" t="s">
        <v>2</v>
      </c>
      <c r="C4" s="5">
        <f>19.2/100</f>
        <v>0.192</v>
      </c>
      <c r="D4" s="6">
        <f>C4*A4</f>
        <v>5.0229120000000007</v>
      </c>
      <c r="E4" s="6" t="s">
        <v>14</v>
      </c>
      <c r="F4" s="5">
        <f>20.8/100</f>
        <v>0.20800000000000002</v>
      </c>
      <c r="G4" s="5">
        <f>D4*F4</f>
        <v>1.0447656960000002</v>
      </c>
      <c r="H4" s="6" t="s">
        <v>11</v>
      </c>
      <c r="I4" s="6">
        <f>9.7/100</f>
        <v>9.6999999999999989E-2</v>
      </c>
      <c r="J4" s="7">
        <f>I4*G4</f>
        <v>0.10134227251200001</v>
      </c>
      <c r="K4" s="2" t="s">
        <v>32</v>
      </c>
      <c r="L4" s="2">
        <f>1.2/100</f>
        <v>1.2E-2</v>
      </c>
      <c r="M4" s="2">
        <f>L4*G4</f>
        <v>1.2537188352000003E-2</v>
      </c>
    </row>
    <row r="5" spans="1:13" x14ac:dyDescent="0.25">
      <c r="A5" s="4">
        <v>26.161000000000001</v>
      </c>
      <c r="B5" s="4" t="s">
        <v>2</v>
      </c>
      <c r="C5" s="5">
        <f t="shared" ref="C5:C51" si="0">19.2/100</f>
        <v>0.192</v>
      </c>
      <c r="D5" s="6">
        <f>C5*A5</f>
        <v>5.0229120000000007</v>
      </c>
      <c r="E5" s="6" t="s">
        <v>43</v>
      </c>
      <c r="F5" s="5">
        <f t="shared" ref="F5:F11" si="1">20.8/100</f>
        <v>0.20800000000000002</v>
      </c>
      <c r="G5" s="5">
        <f>D5*F5</f>
        <v>1.0447656960000002</v>
      </c>
      <c r="H5" s="6" t="s">
        <v>12</v>
      </c>
      <c r="I5" s="6">
        <f>2.7/100</f>
        <v>2.7000000000000003E-2</v>
      </c>
      <c r="J5" s="8">
        <f t="shared" ref="J5:J10" si="2">G5*I5</f>
        <v>2.8208673792000011E-2</v>
      </c>
      <c r="K5" s="2" t="s">
        <v>33</v>
      </c>
      <c r="L5" s="2">
        <f>6.6/100</f>
        <v>6.6000000000000003E-2</v>
      </c>
      <c r="M5" s="2">
        <f t="shared" ref="M5:M11" si="3">L5*G5</f>
        <v>6.8954535936000025E-2</v>
      </c>
    </row>
    <row r="6" spans="1:13" x14ac:dyDescent="0.25">
      <c r="A6" s="4">
        <v>26.161000000000001</v>
      </c>
      <c r="B6" s="4" t="s">
        <v>2</v>
      </c>
      <c r="C6" s="5">
        <f t="shared" si="0"/>
        <v>0.192</v>
      </c>
      <c r="D6" s="6">
        <f t="shared" ref="D6:D92" si="4">C6*A6</f>
        <v>5.0229120000000007</v>
      </c>
      <c r="E6" s="6" t="s">
        <v>14</v>
      </c>
      <c r="F6" s="5">
        <f t="shared" si="1"/>
        <v>0.20800000000000002</v>
      </c>
      <c r="G6" s="5">
        <f t="shared" ref="G6:G11" si="5">D6*F6</f>
        <v>1.0447656960000002</v>
      </c>
      <c r="H6" s="6" t="s">
        <v>7</v>
      </c>
      <c r="I6" s="14">
        <f>6.4/100</f>
        <v>6.4000000000000001E-2</v>
      </c>
      <c r="J6" s="8">
        <f t="shared" si="2"/>
        <v>6.6865004544000017E-2</v>
      </c>
      <c r="K6" s="2" t="s">
        <v>34</v>
      </c>
      <c r="L6" s="2">
        <f>13/100</f>
        <v>0.13</v>
      </c>
      <c r="M6" s="2">
        <f t="shared" si="3"/>
        <v>0.13581954048000003</v>
      </c>
    </row>
    <row r="7" spans="1:13" x14ac:dyDescent="0.25">
      <c r="A7" s="4">
        <v>26.161000000000001</v>
      </c>
      <c r="B7" s="4" t="s">
        <v>2</v>
      </c>
      <c r="C7" s="5">
        <f t="shared" si="0"/>
        <v>0.192</v>
      </c>
      <c r="D7" s="6">
        <f t="shared" si="4"/>
        <v>5.0229120000000007</v>
      </c>
      <c r="E7" s="6" t="s">
        <v>14</v>
      </c>
      <c r="F7" s="5">
        <f t="shared" si="1"/>
        <v>0.20800000000000002</v>
      </c>
      <c r="G7" s="5">
        <f t="shared" si="5"/>
        <v>1.0447656960000002</v>
      </c>
      <c r="H7" s="6" t="s">
        <v>8</v>
      </c>
      <c r="I7" s="6">
        <f>30.6/100</f>
        <v>0.30599999999999999</v>
      </c>
      <c r="J7" s="8">
        <f t="shared" si="2"/>
        <v>0.31969830297600005</v>
      </c>
      <c r="K7" s="2" t="s">
        <v>35</v>
      </c>
      <c r="L7" s="2">
        <f>25.2/100</f>
        <v>0.252</v>
      </c>
      <c r="M7" s="2">
        <f t="shared" si="3"/>
        <v>0.26328095539200008</v>
      </c>
    </row>
    <row r="8" spans="1:13" x14ac:dyDescent="0.25">
      <c r="A8" s="4">
        <v>26.161000000000001</v>
      </c>
      <c r="B8" s="4" t="s">
        <v>2</v>
      </c>
      <c r="C8" s="5">
        <f t="shared" si="0"/>
        <v>0.192</v>
      </c>
      <c r="D8" s="6">
        <f t="shared" si="4"/>
        <v>5.0229120000000007</v>
      </c>
      <c r="E8" s="6" t="s">
        <v>14</v>
      </c>
      <c r="F8" s="5">
        <f t="shared" si="1"/>
        <v>0.20800000000000002</v>
      </c>
      <c r="G8" s="5">
        <f t="shared" si="5"/>
        <v>1.0447656960000002</v>
      </c>
      <c r="H8" s="6" t="s">
        <v>10</v>
      </c>
      <c r="I8" s="6">
        <f>8.2/100</f>
        <v>8.199999999999999E-2</v>
      </c>
      <c r="J8" s="8">
        <f t="shared" si="2"/>
        <v>8.5670787072000015E-2</v>
      </c>
      <c r="K8" s="2" t="s">
        <v>36</v>
      </c>
      <c r="L8" s="2">
        <f>23.6/100</f>
        <v>0.23600000000000002</v>
      </c>
      <c r="M8" s="2">
        <f t="shared" si="3"/>
        <v>0.24656470425600008</v>
      </c>
    </row>
    <row r="9" spans="1:13" x14ac:dyDescent="0.25">
      <c r="A9" s="4">
        <v>26.161000000000001</v>
      </c>
      <c r="B9" s="4" t="s">
        <v>2</v>
      </c>
      <c r="C9" s="5">
        <f t="shared" si="0"/>
        <v>0.192</v>
      </c>
      <c r="D9" s="6">
        <f>C9*A9</f>
        <v>5.0229120000000007</v>
      </c>
      <c r="E9" s="6" t="s">
        <v>14</v>
      </c>
      <c r="F9" s="5">
        <f t="shared" si="1"/>
        <v>0.20800000000000002</v>
      </c>
      <c r="G9" s="5">
        <f t="shared" si="5"/>
        <v>1.0447656960000002</v>
      </c>
      <c r="H9" s="6" t="s">
        <v>9</v>
      </c>
      <c r="I9" s="6">
        <f>41.9/100</f>
        <v>0.41899999999999998</v>
      </c>
      <c r="J9" s="8">
        <f t="shared" si="2"/>
        <v>0.43775682662400006</v>
      </c>
      <c r="K9" s="2" t="s">
        <v>37</v>
      </c>
      <c r="L9" s="2">
        <f>29/100</f>
        <v>0.28999999999999998</v>
      </c>
      <c r="M9" s="2">
        <f t="shared" si="3"/>
        <v>0.30298205184000004</v>
      </c>
    </row>
    <row r="10" spans="1:13" x14ac:dyDescent="0.25">
      <c r="A10" s="4">
        <v>26.161000000000001</v>
      </c>
      <c r="B10" s="4" t="s">
        <v>2</v>
      </c>
      <c r="C10" s="5">
        <f t="shared" si="0"/>
        <v>0.192</v>
      </c>
      <c r="D10" s="6">
        <f t="shared" si="4"/>
        <v>5.0229120000000007</v>
      </c>
      <c r="E10" s="6" t="s">
        <v>14</v>
      </c>
      <c r="F10" s="5">
        <f t="shared" si="1"/>
        <v>0.20800000000000002</v>
      </c>
      <c r="G10" s="5">
        <f t="shared" si="5"/>
        <v>1.0447656960000002</v>
      </c>
      <c r="H10" s="6" t="s">
        <v>55</v>
      </c>
      <c r="I10" s="6">
        <f>0.5/100</f>
        <v>5.0000000000000001E-3</v>
      </c>
      <c r="J10" s="8">
        <f t="shared" si="2"/>
        <v>5.2238284800000014E-3</v>
      </c>
      <c r="K10" s="2" t="s">
        <v>38</v>
      </c>
      <c r="L10" s="2">
        <f>0.8/100</f>
        <v>8.0000000000000002E-3</v>
      </c>
      <c r="M10" s="2">
        <f t="shared" si="3"/>
        <v>8.3581255680000022E-3</v>
      </c>
    </row>
    <row r="11" spans="1:13" x14ac:dyDescent="0.25">
      <c r="A11" s="4">
        <v>26.161000000000001</v>
      </c>
      <c r="B11" s="4" t="s">
        <v>2</v>
      </c>
      <c r="C11" s="5">
        <f t="shared" si="0"/>
        <v>0.192</v>
      </c>
      <c r="D11" s="6">
        <f t="shared" si="4"/>
        <v>5.0229120000000007</v>
      </c>
      <c r="E11" s="6" t="s">
        <v>14</v>
      </c>
      <c r="F11" s="5">
        <f t="shared" si="1"/>
        <v>0.20800000000000002</v>
      </c>
      <c r="G11" s="5">
        <f t="shared" si="5"/>
        <v>1.0447656960000002</v>
      </c>
      <c r="H11" s="6"/>
      <c r="I11" s="6"/>
      <c r="J11" s="8"/>
      <c r="K11" s="2" t="s">
        <v>39</v>
      </c>
      <c r="L11" s="2">
        <f>0.5/100</f>
        <v>5.0000000000000001E-3</v>
      </c>
      <c r="M11" s="2">
        <f t="shared" si="3"/>
        <v>5.2238284800000014E-3</v>
      </c>
    </row>
    <row r="12" spans="1:13" x14ac:dyDescent="0.25">
      <c r="A12" s="4">
        <v>26.161000000000001</v>
      </c>
      <c r="B12" s="4" t="s">
        <v>2</v>
      </c>
      <c r="C12" s="5">
        <f t="shared" si="0"/>
        <v>0.192</v>
      </c>
      <c r="D12" s="6">
        <f t="shared" si="4"/>
        <v>5.0229120000000007</v>
      </c>
      <c r="E12" s="6" t="s">
        <v>44</v>
      </c>
      <c r="F12" s="8">
        <f>11.8/100</f>
        <v>0.11800000000000001</v>
      </c>
      <c r="G12" s="6">
        <f>F12*D12</f>
        <v>0.5927036160000001</v>
      </c>
      <c r="H12" s="6" t="s">
        <v>11</v>
      </c>
      <c r="I12" s="6">
        <f>4.5/100</f>
        <v>4.4999999999999998E-2</v>
      </c>
      <c r="J12" s="8">
        <f>I12*G12</f>
        <v>2.6671662720000003E-2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26.161000000000001</v>
      </c>
      <c r="B13" s="4" t="s">
        <v>2</v>
      </c>
      <c r="C13" s="5">
        <f t="shared" si="0"/>
        <v>0.192</v>
      </c>
      <c r="D13" s="6">
        <f t="shared" si="4"/>
        <v>5.0229120000000007</v>
      </c>
      <c r="E13" s="6" t="s">
        <v>15</v>
      </c>
      <c r="F13" s="8">
        <f t="shared" ref="F13:F19" si="6">11.8/100</f>
        <v>0.11800000000000001</v>
      </c>
      <c r="G13" s="6">
        <f t="shared" ref="G13:G19" si="7">F13*D13</f>
        <v>0.5927036160000001</v>
      </c>
      <c r="H13" s="6" t="s">
        <v>12</v>
      </c>
      <c r="I13" s="6">
        <f>0/100</f>
        <v>0</v>
      </c>
      <c r="J13" s="8">
        <f t="shared" ref="J13:J17" si="8">I13*G13</f>
        <v>0</v>
      </c>
      <c r="K13" s="2" t="s">
        <v>33</v>
      </c>
      <c r="L13" s="2">
        <f>14.2/100</f>
        <v>0.14199999999999999</v>
      </c>
      <c r="M13" s="2">
        <f t="shared" ref="M13:M19" si="9">L13*G13</f>
        <v>8.4163913472000002E-2</v>
      </c>
    </row>
    <row r="14" spans="1:13" x14ac:dyDescent="0.25">
      <c r="A14" s="4">
        <v>26.161000000000001</v>
      </c>
      <c r="B14" s="4" t="s">
        <v>2</v>
      </c>
      <c r="C14" s="5">
        <f t="shared" si="0"/>
        <v>0.192</v>
      </c>
      <c r="D14" s="6">
        <f t="shared" si="4"/>
        <v>5.0229120000000007</v>
      </c>
      <c r="E14" s="6" t="s">
        <v>15</v>
      </c>
      <c r="F14" s="8">
        <f t="shared" si="6"/>
        <v>0.11800000000000001</v>
      </c>
      <c r="G14" s="6">
        <f t="shared" si="7"/>
        <v>0.5927036160000001</v>
      </c>
      <c r="H14" s="6" t="s">
        <v>7</v>
      </c>
      <c r="I14" s="6">
        <f>3.1/100</f>
        <v>3.1E-2</v>
      </c>
      <c r="J14" s="8">
        <f t="shared" si="8"/>
        <v>1.8373812096000003E-2</v>
      </c>
      <c r="K14" s="2" t="s">
        <v>34</v>
      </c>
      <c r="L14" s="2">
        <f>13.2/100</f>
        <v>0.13200000000000001</v>
      </c>
      <c r="M14" s="2">
        <f t="shared" si="9"/>
        <v>7.8236877312000019E-2</v>
      </c>
    </row>
    <row r="15" spans="1:13" x14ac:dyDescent="0.25">
      <c r="A15" s="4">
        <v>26.161000000000001</v>
      </c>
      <c r="B15" s="4" t="s">
        <v>2</v>
      </c>
      <c r="C15" s="5">
        <f t="shared" si="0"/>
        <v>0.192</v>
      </c>
      <c r="D15" s="6">
        <f t="shared" si="4"/>
        <v>5.0229120000000007</v>
      </c>
      <c r="E15" s="6" t="s">
        <v>15</v>
      </c>
      <c r="F15" s="8">
        <f t="shared" si="6"/>
        <v>0.11800000000000001</v>
      </c>
      <c r="G15" s="6">
        <f t="shared" si="7"/>
        <v>0.5927036160000001</v>
      </c>
      <c r="H15" s="6" t="s">
        <v>8</v>
      </c>
      <c r="I15" s="6">
        <f>30/100</f>
        <v>0.3</v>
      </c>
      <c r="J15" s="8">
        <f>I15*G15</f>
        <v>0.17781108480000002</v>
      </c>
      <c r="K15" s="2" t="s">
        <v>35</v>
      </c>
      <c r="L15" s="2">
        <f>29.5/100</f>
        <v>0.29499999999999998</v>
      </c>
      <c r="M15" s="2">
        <f t="shared" si="9"/>
        <v>0.17484756672000001</v>
      </c>
    </row>
    <row r="16" spans="1:13" x14ac:dyDescent="0.25">
      <c r="A16" s="4">
        <v>26.161000000000001</v>
      </c>
      <c r="B16" s="4" t="s">
        <v>2</v>
      </c>
      <c r="C16" s="5">
        <f t="shared" si="0"/>
        <v>0.192</v>
      </c>
      <c r="D16" s="6">
        <f t="shared" si="4"/>
        <v>5.0229120000000007</v>
      </c>
      <c r="E16" s="6" t="s">
        <v>15</v>
      </c>
      <c r="F16" s="8">
        <f t="shared" si="6"/>
        <v>0.11800000000000001</v>
      </c>
      <c r="G16" s="6">
        <f t="shared" si="7"/>
        <v>0.5927036160000001</v>
      </c>
      <c r="H16" s="6" t="s">
        <v>10</v>
      </c>
      <c r="I16" s="6">
        <f>0/100</f>
        <v>0</v>
      </c>
      <c r="J16" s="8">
        <f t="shared" si="8"/>
        <v>0</v>
      </c>
      <c r="K16" s="2" t="s">
        <v>36</v>
      </c>
      <c r="L16" s="2">
        <f>18.7/100</f>
        <v>0.187</v>
      </c>
      <c r="M16" s="2">
        <f t="shared" si="9"/>
        <v>0.11083557619200002</v>
      </c>
    </row>
    <row r="17" spans="1:13" x14ac:dyDescent="0.25">
      <c r="A17" s="4">
        <v>26.161000000000001</v>
      </c>
      <c r="B17" s="4" t="s">
        <v>2</v>
      </c>
      <c r="C17" s="5">
        <f t="shared" si="0"/>
        <v>0.192</v>
      </c>
      <c r="D17" s="6">
        <f t="shared" si="4"/>
        <v>5.0229120000000007</v>
      </c>
      <c r="E17" s="6" t="s">
        <v>15</v>
      </c>
      <c r="F17" s="8">
        <f t="shared" si="6"/>
        <v>0.11800000000000001</v>
      </c>
      <c r="G17" s="6">
        <f t="shared" si="7"/>
        <v>0.5927036160000001</v>
      </c>
      <c r="H17" s="6" t="s">
        <v>9</v>
      </c>
      <c r="I17" s="6">
        <f>62.4/100</f>
        <v>0.624</v>
      </c>
      <c r="J17" s="8">
        <f t="shared" si="8"/>
        <v>0.36984705638400006</v>
      </c>
      <c r="K17" s="2" t="s">
        <v>37</v>
      </c>
      <c r="L17" s="2">
        <f>24.4/100</f>
        <v>0.24399999999999999</v>
      </c>
      <c r="M17" s="2">
        <f t="shared" si="9"/>
        <v>0.14461968230400002</v>
      </c>
    </row>
    <row r="18" spans="1:13" x14ac:dyDescent="0.25">
      <c r="A18" s="4">
        <v>26.161000000000001</v>
      </c>
      <c r="B18" s="4" t="s">
        <v>2</v>
      </c>
      <c r="C18" s="5">
        <f t="shared" si="0"/>
        <v>0.192</v>
      </c>
      <c r="D18" s="6">
        <f t="shared" si="4"/>
        <v>5.0229120000000007</v>
      </c>
      <c r="E18" s="6" t="s">
        <v>15</v>
      </c>
      <c r="F18" s="8">
        <f t="shared" si="6"/>
        <v>0.11800000000000001</v>
      </c>
      <c r="G18" s="6">
        <f t="shared" si="7"/>
        <v>0.5927036160000001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26.161000000000001</v>
      </c>
      <c r="B19" s="4" t="s">
        <v>2</v>
      </c>
      <c r="C19" s="5">
        <f t="shared" si="0"/>
        <v>0.192</v>
      </c>
      <c r="D19" s="6">
        <f t="shared" si="4"/>
        <v>5.0229120000000007</v>
      </c>
      <c r="E19" s="6" t="s">
        <v>15</v>
      </c>
      <c r="F19" s="8">
        <f t="shared" si="6"/>
        <v>0.11800000000000001</v>
      </c>
      <c r="G19" s="6">
        <f t="shared" si="7"/>
        <v>0.5927036160000001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26.161000000000001</v>
      </c>
      <c r="B20" s="4" t="s">
        <v>2</v>
      </c>
      <c r="C20" s="5">
        <f t="shared" si="0"/>
        <v>0.192</v>
      </c>
      <c r="D20" s="6">
        <f t="shared" si="4"/>
        <v>5.0229120000000007</v>
      </c>
      <c r="E20" s="6" t="s">
        <v>45</v>
      </c>
      <c r="F20" s="6">
        <f>19.4/100</f>
        <v>0.19399999999999998</v>
      </c>
      <c r="G20" s="6">
        <f>F20*D20</f>
        <v>0.97444492800000004</v>
      </c>
      <c r="H20" s="6" t="s">
        <v>11</v>
      </c>
      <c r="I20" s="6">
        <f>11.3/100</f>
        <v>0.113</v>
      </c>
      <c r="J20" s="6">
        <f>I20*G20</f>
        <v>0.11011227686400001</v>
      </c>
      <c r="K20" s="2" t="s">
        <v>32</v>
      </c>
      <c r="L20" s="2">
        <f>1.5/100</f>
        <v>1.4999999999999999E-2</v>
      </c>
      <c r="M20" s="2">
        <f>L20*G20</f>
        <v>1.461667392E-2</v>
      </c>
    </row>
    <row r="21" spans="1:13" x14ac:dyDescent="0.25">
      <c r="A21" s="4">
        <v>26.161000000000001</v>
      </c>
      <c r="B21" s="4" t="s">
        <v>2</v>
      </c>
      <c r="C21" s="5">
        <f t="shared" si="0"/>
        <v>0.192</v>
      </c>
      <c r="D21" s="6">
        <f t="shared" si="4"/>
        <v>5.0229120000000007</v>
      </c>
      <c r="E21" s="6" t="s">
        <v>16</v>
      </c>
      <c r="F21" s="6">
        <f t="shared" ref="F21:F27" si="10">19.4/100</f>
        <v>0.19399999999999998</v>
      </c>
      <c r="G21" s="6">
        <f t="shared" ref="G21:G98" si="11">F21*D21</f>
        <v>0.97444492800000004</v>
      </c>
      <c r="H21" s="6" t="s">
        <v>12</v>
      </c>
      <c r="I21" s="6">
        <f>5/100</f>
        <v>0.05</v>
      </c>
      <c r="J21" s="6">
        <f t="shared" ref="J21:J26" si="12">I21*G21</f>
        <v>4.8722246400000002E-2</v>
      </c>
      <c r="K21" s="2" t="s">
        <v>33</v>
      </c>
      <c r="L21" s="2">
        <f>10/100</f>
        <v>0.1</v>
      </c>
      <c r="M21" s="2">
        <f t="shared" ref="M21:M27" si="13">L21*G21</f>
        <v>9.7444492800000004E-2</v>
      </c>
    </row>
    <row r="22" spans="1:13" x14ac:dyDescent="0.25">
      <c r="A22" s="4">
        <v>26.161000000000001</v>
      </c>
      <c r="B22" s="4" t="s">
        <v>2</v>
      </c>
      <c r="C22" s="5">
        <f t="shared" si="0"/>
        <v>0.192</v>
      </c>
      <c r="D22" s="6">
        <f t="shared" si="4"/>
        <v>5.0229120000000007</v>
      </c>
      <c r="E22" s="6" t="s">
        <v>16</v>
      </c>
      <c r="F22" s="6">
        <f t="shared" si="10"/>
        <v>0.19399999999999998</v>
      </c>
      <c r="G22" s="6">
        <f t="shared" si="11"/>
        <v>0.97444492800000004</v>
      </c>
      <c r="H22" s="6" t="s">
        <v>7</v>
      </c>
      <c r="I22" s="6">
        <f>5/100</f>
        <v>0.05</v>
      </c>
      <c r="J22" s="6">
        <f t="shared" si="12"/>
        <v>4.8722246400000002E-2</v>
      </c>
      <c r="K22" s="2" t="s">
        <v>34</v>
      </c>
      <c r="L22" s="2">
        <f>15.4/100</f>
        <v>0.154</v>
      </c>
      <c r="M22" s="2">
        <f t="shared" si="13"/>
        <v>0.15006451891200001</v>
      </c>
    </row>
    <row r="23" spans="1:13" x14ac:dyDescent="0.25">
      <c r="A23" s="4">
        <v>26.161000000000001</v>
      </c>
      <c r="B23" s="4" t="s">
        <v>2</v>
      </c>
      <c r="C23" s="5">
        <f t="shared" si="0"/>
        <v>0.192</v>
      </c>
      <c r="D23" s="6">
        <f t="shared" si="4"/>
        <v>5.0229120000000007</v>
      </c>
      <c r="E23" s="6" t="s">
        <v>16</v>
      </c>
      <c r="F23" s="6">
        <f t="shared" si="10"/>
        <v>0.19399999999999998</v>
      </c>
      <c r="G23" s="6">
        <f t="shared" si="11"/>
        <v>0.97444492800000004</v>
      </c>
      <c r="H23" s="6" t="s">
        <v>8</v>
      </c>
      <c r="I23" s="6">
        <f>26.2/100</f>
        <v>0.26200000000000001</v>
      </c>
      <c r="J23" s="6">
        <f t="shared" si="12"/>
        <v>0.25530457113600002</v>
      </c>
      <c r="K23" s="2" t="s">
        <v>35</v>
      </c>
      <c r="L23" s="2">
        <f>25.6/100</f>
        <v>0.25600000000000001</v>
      </c>
      <c r="M23" s="2">
        <f t="shared" si="13"/>
        <v>0.24945790156800002</v>
      </c>
    </row>
    <row r="24" spans="1:13" x14ac:dyDescent="0.25">
      <c r="A24" s="4">
        <v>26.161000000000001</v>
      </c>
      <c r="B24" s="4" t="s">
        <v>2</v>
      </c>
      <c r="C24" s="5">
        <f t="shared" si="0"/>
        <v>0.192</v>
      </c>
      <c r="D24" s="6">
        <f t="shared" si="4"/>
        <v>5.0229120000000007</v>
      </c>
      <c r="E24" s="6" t="s">
        <v>16</v>
      </c>
      <c r="F24" s="6">
        <f t="shared" si="10"/>
        <v>0.19399999999999998</v>
      </c>
      <c r="G24" s="6">
        <f t="shared" si="11"/>
        <v>0.97444492800000004</v>
      </c>
      <c r="H24" s="6" t="s">
        <v>10</v>
      </c>
      <c r="I24" s="6">
        <f>7/100</f>
        <v>7.0000000000000007E-2</v>
      </c>
      <c r="J24" s="6">
        <f t="shared" si="12"/>
        <v>6.8211144960000011E-2</v>
      </c>
      <c r="K24" s="2" t="s">
        <v>36</v>
      </c>
      <c r="L24" s="2">
        <f>23.3/100</f>
        <v>0.23300000000000001</v>
      </c>
      <c r="M24" s="2">
        <f t="shared" si="13"/>
        <v>0.22704566822400002</v>
      </c>
    </row>
    <row r="25" spans="1:13" x14ac:dyDescent="0.25">
      <c r="A25" s="4">
        <v>26.161000000000001</v>
      </c>
      <c r="B25" s="4" t="s">
        <v>2</v>
      </c>
      <c r="C25" s="5">
        <f t="shared" si="0"/>
        <v>0.192</v>
      </c>
      <c r="D25" s="6">
        <f t="shared" si="4"/>
        <v>5.0229120000000007</v>
      </c>
      <c r="E25" s="6" t="s">
        <v>16</v>
      </c>
      <c r="F25" s="6">
        <f t="shared" si="10"/>
        <v>0.19399999999999998</v>
      </c>
      <c r="G25" s="6">
        <f t="shared" si="11"/>
        <v>0.97444492800000004</v>
      </c>
      <c r="H25" s="6" t="s">
        <v>9</v>
      </c>
      <c r="I25" s="6">
        <f>45/100</f>
        <v>0.45</v>
      </c>
      <c r="J25" s="6">
        <f t="shared" si="12"/>
        <v>0.43850021760000002</v>
      </c>
      <c r="K25" s="2" t="s">
        <v>37</v>
      </c>
      <c r="L25" s="2">
        <f>21.7/100</f>
        <v>0.217</v>
      </c>
      <c r="M25" s="2">
        <f t="shared" si="13"/>
        <v>0.211454549376</v>
      </c>
    </row>
    <row r="26" spans="1:13" x14ac:dyDescent="0.25">
      <c r="A26" s="4">
        <v>26.161000000000001</v>
      </c>
      <c r="B26" s="4" t="s">
        <v>2</v>
      </c>
      <c r="C26" s="5">
        <f t="shared" si="0"/>
        <v>0.192</v>
      </c>
      <c r="D26" s="6">
        <f t="shared" si="4"/>
        <v>5.0229120000000007</v>
      </c>
      <c r="E26" s="6" t="s">
        <v>16</v>
      </c>
      <c r="F26" s="6">
        <f t="shared" si="10"/>
        <v>0.19399999999999998</v>
      </c>
      <c r="G26" s="6">
        <f t="shared" si="11"/>
        <v>0.97444492800000004</v>
      </c>
      <c r="H26" s="6" t="s">
        <v>55</v>
      </c>
      <c r="I26" s="6">
        <f>0.5/100</f>
        <v>5.0000000000000001E-3</v>
      </c>
      <c r="J26" s="6">
        <f t="shared" si="12"/>
        <v>4.8722246400000006E-3</v>
      </c>
      <c r="K26" s="2" t="s">
        <v>38</v>
      </c>
      <c r="L26" s="2">
        <f>1.7/100</f>
        <v>1.7000000000000001E-2</v>
      </c>
      <c r="M26" s="2">
        <f t="shared" si="13"/>
        <v>1.6565563776000002E-2</v>
      </c>
    </row>
    <row r="27" spans="1:13" x14ac:dyDescent="0.25">
      <c r="A27" s="4">
        <v>26.161000000000001</v>
      </c>
      <c r="B27" s="4" t="s">
        <v>2</v>
      </c>
      <c r="C27" s="5">
        <f t="shared" si="0"/>
        <v>0.192</v>
      </c>
      <c r="D27" s="6">
        <f t="shared" si="4"/>
        <v>5.0229120000000007</v>
      </c>
      <c r="E27" s="6" t="s">
        <v>16</v>
      </c>
      <c r="F27" s="6">
        <f t="shared" si="10"/>
        <v>0.19399999999999998</v>
      </c>
      <c r="G27" s="6">
        <f t="shared" si="11"/>
        <v>0.97444492800000004</v>
      </c>
      <c r="H27" s="6"/>
      <c r="I27" s="6"/>
      <c r="J27" s="6"/>
      <c r="K27" s="2" t="s">
        <v>39</v>
      </c>
      <c r="L27" s="2">
        <f>0.9/100</f>
        <v>9.0000000000000011E-3</v>
      </c>
      <c r="M27" s="2">
        <f t="shared" si="13"/>
        <v>8.7700043520000017E-3</v>
      </c>
    </row>
    <row r="28" spans="1:13" x14ac:dyDescent="0.25">
      <c r="A28" s="4">
        <v>26.161000000000001</v>
      </c>
      <c r="B28" s="4" t="s">
        <v>2</v>
      </c>
      <c r="C28" s="5">
        <f t="shared" si="0"/>
        <v>0.192</v>
      </c>
      <c r="D28" s="6">
        <f t="shared" si="4"/>
        <v>5.0229120000000007</v>
      </c>
      <c r="E28" s="6" t="s">
        <v>46</v>
      </c>
      <c r="F28" s="8">
        <f>22/100</f>
        <v>0.22</v>
      </c>
      <c r="G28" s="6">
        <f t="shared" si="11"/>
        <v>1.1050406400000001</v>
      </c>
      <c r="H28" s="6" t="s">
        <v>11</v>
      </c>
      <c r="I28" s="8">
        <f>32.4/100</f>
        <v>0.32400000000000001</v>
      </c>
      <c r="J28" s="8">
        <f>I28*G28</f>
        <v>0.35803316736000007</v>
      </c>
      <c r="K28" s="2" t="s">
        <v>32</v>
      </c>
      <c r="L28" s="2">
        <f>3/100</f>
        <v>0.03</v>
      </c>
      <c r="M28" s="2">
        <f>L28*G28</f>
        <v>3.3151219200000005E-2</v>
      </c>
    </row>
    <row r="29" spans="1:13" x14ac:dyDescent="0.25">
      <c r="A29" s="4">
        <v>26.161000000000001</v>
      </c>
      <c r="B29" s="4" t="s">
        <v>2</v>
      </c>
      <c r="C29" s="5">
        <f t="shared" si="0"/>
        <v>0.192</v>
      </c>
      <c r="D29" s="6">
        <f t="shared" si="4"/>
        <v>5.0229120000000007</v>
      </c>
      <c r="E29" s="6" t="s">
        <v>13</v>
      </c>
      <c r="F29" s="8">
        <f t="shared" ref="F29:F35" si="14">22/100</f>
        <v>0.22</v>
      </c>
      <c r="G29" s="6">
        <f t="shared" si="11"/>
        <v>1.1050406400000001</v>
      </c>
      <c r="H29" s="6" t="s">
        <v>12</v>
      </c>
      <c r="I29" s="8">
        <f>4.7/100</f>
        <v>4.7E-2</v>
      </c>
      <c r="J29" s="8">
        <f t="shared" ref="J29:J33" si="15">I29*G29</f>
        <v>5.1936910080000009E-2</v>
      </c>
      <c r="K29" s="2" t="s">
        <v>33</v>
      </c>
      <c r="L29" s="2">
        <f>6.8/100</f>
        <v>6.8000000000000005E-2</v>
      </c>
      <c r="M29" s="2">
        <f t="shared" ref="M29:M32" si="16">L29*G29</f>
        <v>7.5142763520000017E-2</v>
      </c>
    </row>
    <row r="30" spans="1:13" x14ac:dyDescent="0.25">
      <c r="A30" s="4">
        <v>26.161000000000001</v>
      </c>
      <c r="B30" s="4" t="s">
        <v>2</v>
      </c>
      <c r="C30" s="5">
        <f t="shared" si="0"/>
        <v>0.192</v>
      </c>
      <c r="D30" s="6">
        <f t="shared" si="4"/>
        <v>5.0229120000000007</v>
      </c>
      <c r="E30" s="6" t="s">
        <v>13</v>
      </c>
      <c r="F30" s="8">
        <f t="shared" si="14"/>
        <v>0.22</v>
      </c>
      <c r="G30" s="6">
        <f t="shared" si="11"/>
        <v>1.1050406400000001</v>
      </c>
      <c r="H30" s="6" t="s">
        <v>7</v>
      </c>
      <c r="I30" s="8">
        <f>11.3/100</f>
        <v>0.113</v>
      </c>
      <c r="J30" s="8">
        <f t="shared" si="15"/>
        <v>0.12486959232000001</v>
      </c>
      <c r="K30" s="2" t="s">
        <v>34</v>
      </c>
      <c r="L30" s="2">
        <f>12.9/100</f>
        <v>0.129</v>
      </c>
      <c r="M30" s="2">
        <f t="shared" si="16"/>
        <v>0.14255024256000001</v>
      </c>
    </row>
    <row r="31" spans="1:13" x14ac:dyDescent="0.25">
      <c r="A31" s="4">
        <v>26.161000000000001</v>
      </c>
      <c r="B31" s="4" t="s">
        <v>2</v>
      </c>
      <c r="C31" s="5">
        <f t="shared" si="0"/>
        <v>0.192</v>
      </c>
      <c r="D31" s="6">
        <f t="shared" si="4"/>
        <v>5.0229120000000007</v>
      </c>
      <c r="E31" s="6" t="s">
        <v>13</v>
      </c>
      <c r="F31" s="8">
        <f t="shared" si="14"/>
        <v>0.22</v>
      </c>
      <c r="G31" s="6">
        <f t="shared" si="11"/>
        <v>1.1050406400000001</v>
      </c>
      <c r="H31" s="6" t="s">
        <v>8</v>
      </c>
      <c r="I31" s="8">
        <f>31.3/100</f>
        <v>0.313</v>
      </c>
      <c r="J31" s="8">
        <f t="shared" si="15"/>
        <v>0.34587772032000003</v>
      </c>
      <c r="K31" s="2" t="s">
        <v>35</v>
      </c>
      <c r="L31" s="2">
        <f>29.8/100</f>
        <v>0.29799999999999999</v>
      </c>
      <c r="M31" s="2">
        <f t="shared" si="16"/>
        <v>0.32930211072000004</v>
      </c>
    </row>
    <row r="32" spans="1:13" x14ac:dyDescent="0.25">
      <c r="A32" s="4">
        <v>26.161000000000001</v>
      </c>
      <c r="B32" s="4" t="s">
        <v>2</v>
      </c>
      <c r="C32" s="5">
        <f t="shared" si="0"/>
        <v>0.192</v>
      </c>
      <c r="D32" s="6">
        <f t="shared" si="4"/>
        <v>5.0229120000000007</v>
      </c>
      <c r="E32" s="6" t="s">
        <v>13</v>
      </c>
      <c r="F32" s="8">
        <f t="shared" si="14"/>
        <v>0.22</v>
      </c>
      <c r="G32" s="6">
        <f t="shared" si="11"/>
        <v>1.1050406400000001</v>
      </c>
      <c r="H32" s="6" t="s">
        <v>10</v>
      </c>
      <c r="I32" s="8">
        <f>3.9/100</f>
        <v>3.9E-2</v>
      </c>
      <c r="J32" s="8">
        <f t="shared" si="15"/>
        <v>4.3096584960000003E-2</v>
      </c>
      <c r="K32" s="2" t="s">
        <v>36</v>
      </c>
      <c r="L32" s="2">
        <f>26.4/100</f>
        <v>0.26400000000000001</v>
      </c>
      <c r="M32" s="2">
        <f t="shared" si="16"/>
        <v>0.29173072896000007</v>
      </c>
    </row>
    <row r="33" spans="1:13" x14ac:dyDescent="0.25">
      <c r="A33" s="4">
        <v>26.161000000000001</v>
      </c>
      <c r="B33" s="4" t="s">
        <v>2</v>
      </c>
      <c r="C33" s="5">
        <f t="shared" si="0"/>
        <v>0.192</v>
      </c>
      <c r="D33" s="6">
        <f t="shared" si="4"/>
        <v>5.0229120000000007</v>
      </c>
      <c r="E33" s="6" t="s">
        <v>13</v>
      </c>
      <c r="F33" s="8">
        <f t="shared" si="14"/>
        <v>0.22</v>
      </c>
      <c r="G33" s="6">
        <f t="shared" si="11"/>
        <v>1.1050406400000001</v>
      </c>
      <c r="H33" s="6" t="s">
        <v>9</v>
      </c>
      <c r="I33" s="8">
        <f>15.6/100</f>
        <v>0.156</v>
      </c>
      <c r="J33" s="8">
        <f t="shared" si="15"/>
        <v>0.17238633984000001</v>
      </c>
      <c r="K33" s="2" t="s">
        <v>37</v>
      </c>
      <c r="L33" s="2">
        <f>17.5/100</f>
        <v>0.17499999999999999</v>
      </c>
      <c r="M33" s="2">
        <f>L32*G33</f>
        <v>0.29173072896000007</v>
      </c>
    </row>
    <row r="34" spans="1:13" x14ac:dyDescent="0.25">
      <c r="A34" s="4">
        <v>26.161000000000001</v>
      </c>
      <c r="B34" s="4" t="s">
        <v>2</v>
      </c>
      <c r="C34" s="5">
        <f t="shared" si="0"/>
        <v>0.192</v>
      </c>
      <c r="D34" s="6">
        <f t="shared" si="4"/>
        <v>5.0229120000000007</v>
      </c>
      <c r="E34" s="6" t="s">
        <v>13</v>
      </c>
      <c r="F34" s="8">
        <f t="shared" si="14"/>
        <v>0.22</v>
      </c>
      <c r="G34" s="6">
        <f t="shared" si="11"/>
        <v>1.1050406400000001</v>
      </c>
      <c r="H34" s="6" t="s">
        <v>55</v>
      </c>
      <c r="I34" s="8">
        <f>0.9/100</f>
        <v>9.0000000000000011E-3</v>
      </c>
      <c r="J34" s="8"/>
      <c r="K34" s="2" t="s">
        <v>38</v>
      </c>
      <c r="L34" s="2">
        <f>2.3/100</f>
        <v>2.3E-2</v>
      </c>
      <c r="M34" s="2">
        <f>L33*G34</f>
        <v>0.19338211200000002</v>
      </c>
    </row>
    <row r="35" spans="1:13" x14ac:dyDescent="0.25">
      <c r="A35" s="4">
        <v>26.161000000000001</v>
      </c>
      <c r="B35" s="4" t="s">
        <v>2</v>
      </c>
      <c r="C35" s="5">
        <f t="shared" si="0"/>
        <v>0.192</v>
      </c>
      <c r="D35" s="6">
        <f t="shared" si="4"/>
        <v>5.0229120000000007</v>
      </c>
      <c r="E35" s="6" t="s">
        <v>13</v>
      </c>
      <c r="F35" s="8">
        <f t="shared" si="14"/>
        <v>0.22</v>
      </c>
      <c r="G35" s="6">
        <f t="shared" si="11"/>
        <v>1.1050406400000001</v>
      </c>
      <c r="H35" s="6"/>
      <c r="I35" s="8"/>
      <c r="J35" s="8"/>
      <c r="K35" s="2" t="s">
        <v>39</v>
      </c>
      <c r="L35" s="2">
        <f>1.3/100</f>
        <v>1.3000000000000001E-2</v>
      </c>
      <c r="M35" s="2">
        <f>L34*G35</f>
        <v>2.5415934720000002E-2</v>
      </c>
    </row>
    <row r="36" spans="1:13" x14ac:dyDescent="0.25">
      <c r="A36" s="4">
        <v>26.161000000000001</v>
      </c>
      <c r="B36" s="4" t="s">
        <v>2</v>
      </c>
      <c r="C36" s="5">
        <f t="shared" si="0"/>
        <v>0.192</v>
      </c>
      <c r="D36" s="6">
        <f t="shared" si="4"/>
        <v>5.0229120000000007</v>
      </c>
      <c r="E36" s="8" t="s">
        <v>47</v>
      </c>
      <c r="F36" s="6">
        <f>19.1/100</f>
        <v>0.191</v>
      </c>
      <c r="G36" s="6">
        <f t="shared" si="11"/>
        <v>0.95937619200000013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26.161000000000001</v>
      </c>
      <c r="B37" s="4" t="s">
        <v>2</v>
      </c>
      <c r="C37" s="5">
        <f t="shared" si="0"/>
        <v>0.192</v>
      </c>
      <c r="D37" s="6">
        <f t="shared" si="4"/>
        <v>5.0229120000000007</v>
      </c>
      <c r="E37" s="8" t="s">
        <v>17</v>
      </c>
      <c r="F37" s="6">
        <f t="shared" ref="F37:F43" si="17">19.1/100</f>
        <v>0.191</v>
      </c>
      <c r="G37" s="6">
        <f t="shared" si="11"/>
        <v>0.95937619200000013</v>
      </c>
      <c r="H37" s="6" t="s">
        <v>12</v>
      </c>
      <c r="I37" s="6">
        <f>11.3/100</f>
        <v>0.113</v>
      </c>
      <c r="J37" s="6">
        <f t="shared" ref="J37:J41" si="18">I37*G37</f>
        <v>0.10840950969600002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26.161000000000001</v>
      </c>
      <c r="B38" s="4" t="s">
        <v>2</v>
      </c>
      <c r="C38" s="5">
        <f t="shared" si="0"/>
        <v>0.192</v>
      </c>
      <c r="D38" s="6">
        <f t="shared" si="4"/>
        <v>5.0229120000000007</v>
      </c>
      <c r="E38" s="8" t="s">
        <v>17</v>
      </c>
      <c r="F38" s="6">
        <f t="shared" si="17"/>
        <v>0.191</v>
      </c>
      <c r="G38" s="6">
        <f t="shared" si="11"/>
        <v>0.95937619200000013</v>
      </c>
      <c r="H38" s="6" t="s">
        <v>7</v>
      </c>
      <c r="I38" s="6">
        <f>12.1/100</f>
        <v>0.121</v>
      </c>
      <c r="J38" s="6">
        <f t="shared" si="18"/>
        <v>0.11608451923200001</v>
      </c>
      <c r="K38" s="2" t="s">
        <v>34</v>
      </c>
      <c r="L38" s="2">
        <f>6.9/100</f>
        <v>6.9000000000000006E-2</v>
      </c>
      <c r="M38" s="2">
        <f t="shared" si="19"/>
        <v>6.619695724800001E-2</v>
      </c>
    </row>
    <row r="39" spans="1:13" x14ac:dyDescent="0.25">
      <c r="A39" s="4">
        <v>26.161000000000001</v>
      </c>
      <c r="B39" s="4" t="s">
        <v>2</v>
      </c>
      <c r="C39" s="5">
        <f t="shared" si="0"/>
        <v>0.192</v>
      </c>
      <c r="D39" s="6">
        <f t="shared" si="4"/>
        <v>5.0229120000000007</v>
      </c>
      <c r="E39" s="8" t="s">
        <v>17</v>
      </c>
      <c r="F39" s="6">
        <f t="shared" si="17"/>
        <v>0.191</v>
      </c>
      <c r="G39" s="6">
        <f t="shared" si="11"/>
        <v>0.95937619200000013</v>
      </c>
      <c r="H39" s="6" t="s">
        <v>8</v>
      </c>
      <c r="I39" s="6">
        <f>41.5/100</f>
        <v>0.41499999999999998</v>
      </c>
      <c r="J39" s="6">
        <f t="shared" si="18"/>
        <v>0.39814111968000004</v>
      </c>
      <c r="K39" s="2" t="s">
        <v>35</v>
      </c>
      <c r="L39" s="2">
        <f>36/100</f>
        <v>0.36</v>
      </c>
      <c r="M39" s="2">
        <f t="shared" si="19"/>
        <v>0.34537542912000002</v>
      </c>
    </row>
    <row r="40" spans="1:13" x14ac:dyDescent="0.25">
      <c r="A40" s="4">
        <v>26.161000000000001</v>
      </c>
      <c r="B40" s="4" t="s">
        <v>2</v>
      </c>
      <c r="C40" s="5">
        <f t="shared" si="0"/>
        <v>0.192</v>
      </c>
      <c r="D40" s="6">
        <f t="shared" si="4"/>
        <v>5.0229120000000007</v>
      </c>
      <c r="E40" s="8" t="s">
        <v>17</v>
      </c>
      <c r="F40" s="6">
        <f t="shared" si="17"/>
        <v>0.191</v>
      </c>
      <c r="G40" s="6">
        <f t="shared" si="11"/>
        <v>0.95937619200000013</v>
      </c>
      <c r="H40" s="6" t="s">
        <v>10</v>
      </c>
      <c r="I40" s="6">
        <f>4.1/100</f>
        <v>4.0999999999999995E-2</v>
      </c>
      <c r="J40" s="6">
        <f t="shared" si="18"/>
        <v>3.9334423872E-2</v>
      </c>
      <c r="K40" s="2" t="s">
        <v>36</v>
      </c>
      <c r="L40" s="2">
        <f>36.4/100</f>
        <v>0.36399999999999999</v>
      </c>
      <c r="M40" s="2">
        <f t="shared" si="19"/>
        <v>0.34921293388800001</v>
      </c>
    </row>
    <row r="41" spans="1:13" x14ac:dyDescent="0.25">
      <c r="A41" s="4">
        <v>26.161000000000001</v>
      </c>
      <c r="B41" s="4" t="s">
        <v>2</v>
      </c>
      <c r="C41" s="5">
        <f t="shared" si="0"/>
        <v>0.192</v>
      </c>
      <c r="D41" s="6">
        <f t="shared" si="4"/>
        <v>5.0229120000000007</v>
      </c>
      <c r="E41" s="8" t="s">
        <v>17</v>
      </c>
      <c r="F41" s="6">
        <f t="shared" si="17"/>
        <v>0.191</v>
      </c>
      <c r="G41" s="6">
        <f t="shared" si="11"/>
        <v>0.95937619200000013</v>
      </c>
      <c r="H41" s="6" t="s">
        <v>9</v>
      </c>
      <c r="I41" s="6">
        <f>31.1/100</f>
        <v>0.311</v>
      </c>
      <c r="J41" s="6">
        <f t="shared" si="18"/>
        <v>0.29836599571200006</v>
      </c>
      <c r="K41" s="2" t="s">
        <v>37</v>
      </c>
      <c r="L41" s="2">
        <f>20.7/100</f>
        <v>0.20699999999999999</v>
      </c>
      <c r="M41" s="2">
        <f t="shared" si="19"/>
        <v>0.198590871744</v>
      </c>
    </row>
    <row r="42" spans="1:13" x14ac:dyDescent="0.25">
      <c r="A42" s="4">
        <v>26.161000000000001</v>
      </c>
      <c r="B42" s="4" t="s">
        <v>2</v>
      </c>
      <c r="C42" s="5">
        <f t="shared" si="0"/>
        <v>0.192</v>
      </c>
      <c r="D42" s="6">
        <f t="shared" si="4"/>
        <v>5.0229120000000007</v>
      </c>
      <c r="E42" s="8" t="s">
        <v>17</v>
      </c>
      <c r="F42" s="6">
        <f t="shared" si="17"/>
        <v>0.191</v>
      </c>
      <c r="G42" s="6">
        <f t="shared" si="11"/>
        <v>0.95937619200000013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26.161000000000001</v>
      </c>
      <c r="B43" s="4" t="s">
        <v>2</v>
      </c>
      <c r="C43" s="5">
        <f t="shared" si="0"/>
        <v>0.192</v>
      </c>
      <c r="D43" s="6">
        <f t="shared" si="4"/>
        <v>5.0229120000000007</v>
      </c>
      <c r="E43" s="8" t="s">
        <v>17</v>
      </c>
      <c r="F43" s="6">
        <f t="shared" si="17"/>
        <v>0.191</v>
      </c>
      <c r="G43" s="6">
        <f t="shared" si="11"/>
        <v>0.95937619200000013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26.161000000000001</v>
      </c>
      <c r="B44" s="4" t="s">
        <v>2</v>
      </c>
      <c r="C44" s="5">
        <f t="shared" si="0"/>
        <v>0.192</v>
      </c>
      <c r="D44" s="6">
        <f t="shared" si="4"/>
        <v>5.0229120000000007</v>
      </c>
      <c r="E44" s="2" t="s">
        <v>18</v>
      </c>
      <c r="F44" s="6">
        <f>14.9/100</f>
        <v>0.14899999999999999</v>
      </c>
      <c r="G44" s="6">
        <f t="shared" si="11"/>
        <v>0.74841388800000008</v>
      </c>
      <c r="H44" s="6" t="s">
        <v>11</v>
      </c>
      <c r="I44" s="8">
        <f>50.3/100</f>
        <v>0.503</v>
      </c>
      <c r="J44" s="6">
        <f>I44*G44</f>
        <v>0.37645218566400002</v>
      </c>
      <c r="K44" s="2" t="s">
        <v>32</v>
      </c>
      <c r="L44" s="2">
        <f>5.4/100</f>
        <v>5.4000000000000006E-2</v>
      </c>
      <c r="M44" s="2">
        <f>L44*G44</f>
        <v>4.0414349952000009E-2</v>
      </c>
    </row>
    <row r="45" spans="1:13" x14ac:dyDescent="0.25">
      <c r="A45" s="4">
        <v>26.161000000000001</v>
      </c>
      <c r="B45" s="4" t="s">
        <v>2</v>
      </c>
      <c r="C45" s="5">
        <f t="shared" si="0"/>
        <v>0.192</v>
      </c>
      <c r="D45" s="6">
        <f t="shared" si="4"/>
        <v>5.0229120000000007</v>
      </c>
      <c r="E45" s="2" t="s">
        <v>18</v>
      </c>
      <c r="F45" s="6">
        <f t="shared" ref="F45:F51" si="20">14.9/100</f>
        <v>0.14899999999999999</v>
      </c>
      <c r="G45" s="6">
        <f t="shared" si="11"/>
        <v>0.74841388800000008</v>
      </c>
      <c r="H45" s="6" t="s">
        <v>12</v>
      </c>
      <c r="I45" s="8">
        <f>4.5/100</f>
        <v>4.4999999999999998E-2</v>
      </c>
      <c r="J45" s="6">
        <f t="shared" ref="J45:J50" si="21">I45*G45</f>
        <v>3.367862496E-2</v>
      </c>
      <c r="K45" s="2" t="s">
        <v>33</v>
      </c>
      <c r="L45" s="2">
        <f>9.5/100</f>
        <v>9.5000000000000001E-2</v>
      </c>
      <c r="M45" s="2">
        <f t="shared" ref="M45:M51" si="22">L45*G45</f>
        <v>7.109931936000001E-2</v>
      </c>
    </row>
    <row r="46" spans="1:13" x14ac:dyDescent="0.25">
      <c r="A46" s="4">
        <v>26.161000000000001</v>
      </c>
      <c r="B46" s="4" t="s">
        <v>2</v>
      </c>
      <c r="C46" s="5">
        <f t="shared" si="0"/>
        <v>0.192</v>
      </c>
      <c r="D46" s="6">
        <f t="shared" si="4"/>
        <v>5.0229120000000007</v>
      </c>
      <c r="E46" s="2" t="s">
        <v>18</v>
      </c>
      <c r="F46" s="6">
        <f t="shared" si="20"/>
        <v>0.14899999999999999</v>
      </c>
      <c r="G46" s="6">
        <f t="shared" si="11"/>
        <v>0.74841388800000008</v>
      </c>
      <c r="H46" s="6" t="s">
        <v>7</v>
      </c>
      <c r="I46" s="8">
        <f>8/100</f>
        <v>0.08</v>
      </c>
      <c r="J46" s="6">
        <f t="shared" si="21"/>
        <v>5.987311104000001E-2</v>
      </c>
      <c r="K46" s="2" t="s">
        <v>34</v>
      </c>
      <c r="L46" s="2">
        <f>13.7/100</f>
        <v>0.13699999999999998</v>
      </c>
      <c r="M46" s="2">
        <f t="shared" si="22"/>
        <v>0.10253270265599999</v>
      </c>
    </row>
    <row r="47" spans="1:13" x14ac:dyDescent="0.25">
      <c r="A47" s="4">
        <v>26.161000000000001</v>
      </c>
      <c r="B47" s="4" t="s">
        <v>2</v>
      </c>
      <c r="C47" s="5">
        <f t="shared" si="0"/>
        <v>0.192</v>
      </c>
      <c r="D47" s="6">
        <f t="shared" si="4"/>
        <v>5.0229120000000007</v>
      </c>
      <c r="E47" s="2" t="s">
        <v>18</v>
      </c>
      <c r="F47" s="6">
        <f t="shared" si="20"/>
        <v>0.14899999999999999</v>
      </c>
      <c r="G47" s="6">
        <f t="shared" si="11"/>
        <v>0.74841388800000008</v>
      </c>
      <c r="H47" s="6" t="s">
        <v>8</v>
      </c>
      <c r="I47" s="8">
        <f>17.6/100</f>
        <v>0.17600000000000002</v>
      </c>
      <c r="J47" s="6">
        <f>I50*G47</f>
        <v>2.9936555520000004E-3</v>
      </c>
      <c r="K47" s="2" t="s">
        <v>35</v>
      </c>
      <c r="L47" s="2">
        <f>26.5/100</f>
        <v>0.26500000000000001</v>
      </c>
      <c r="M47" s="2">
        <f t="shared" si="22"/>
        <v>0.19832968032000003</v>
      </c>
    </row>
    <row r="48" spans="1:13" x14ac:dyDescent="0.25">
      <c r="A48" s="4">
        <v>26.161000000000001</v>
      </c>
      <c r="B48" s="4" t="s">
        <v>2</v>
      </c>
      <c r="C48" s="5">
        <f t="shared" si="0"/>
        <v>0.192</v>
      </c>
      <c r="D48" s="6">
        <f t="shared" si="4"/>
        <v>5.0229120000000007</v>
      </c>
      <c r="E48" s="2" t="s">
        <v>18</v>
      </c>
      <c r="F48" s="6">
        <f t="shared" si="20"/>
        <v>0.14899999999999999</v>
      </c>
      <c r="G48" s="6">
        <f t="shared" si="11"/>
        <v>0.74841388800000008</v>
      </c>
      <c r="H48" s="6" t="s">
        <v>10</v>
      </c>
      <c r="I48" s="8">
        <f>4.2/100</f>
        <v>4.2000000000000003E-2</v>
      </c>
      <c r="J48" s="6">
        <f>I47*G48</f>
        <v>0.13172084428800002</v>
      </c>
      <c r="K48" s="2" t="s">
        <v>36</v>
      </c>
      <c r="L48" s="2">
        <f>22.8/100</f>
        <v>0.22800000000000001</v>
      </c>
      <c r="M48" s="2">
        <f t="shared" si="22"/>
        <v>0.17063836646400002</v>
      </c>
    </row>
    <row r="49" spans="1:13" x14ac:dyDescent="0.25">
      <c r="A49" s="4">
        <v>26.161000000000001</v>
      </c>
      <c r="B49" s="4" t="s">
        <v>2</v>
      </c>
      <c r="C49" s="5">
        <f t="shared" si="0"/>
        <v>0.192</v>
      </c>
      <c r="D49" s="6">
        <f t="shared" si="4"/>
        <v>5.0229120000000007</v>
      </c>
      <c r="E49" s="2" t="s">
        <v>48</v>
      </c>
      <c r="F49" s="6">
        <f t="shared" si="20"/>
        <v>0.14899999999999999</v>
      </c>
      <c r="G49" s="6">
        <f t="shared" si="11"/>
        <v>0.74841388800000008</v>
      </c>
      <c r="H49" s="6" t="s">
        <v>9</v>
      </c>
      <c r="I49" s="8">
        <f>15/100</f>
        <v>0.15</v>
      </c>
      <c r="J49" s="6">
        <f t="shared" si="21"/>
        <v>0.11226208320000002</v>
      </c>
      <c r="K49" s="2" t="s">
        <v>37</v>
      </c>
      <c r="L49" s="2">
        <f>17.4/100</f>
        <v>0.17399999999999999</v>
      </c>
      <c r="M49" s="2">
        <f t="shared" si="22"/>
        <v>0.130224016512</v>
      </c>
    </row>
    <row r="50" spans="1:13" x14ac:dyDescent="0.25">
      <c r="A50" s="4">
        <v>26.161000000000001</v>
      </c>
      <c r="B50" s="4" t="s">
        <v>2</v>
      </c>
      <c r="C50" s="5">
        <f t="shared" si="0"/>
        <v>0.192</v>
      </c>
      <c r="D50" s="6">
        <f t="shared" si="4"/>
        <v>5.0229120000000007</v>
      </c>
      <c r="E50" s="2" t="s">
        <v>18</v>
      </c>
      <c r="F50" s="6">
        <f t="shared" si="20"/>
        <v>0.14899999999999999</v>
      </c>
      <c r="G50" s="6">
        <f t="shared" si="11"/>
        <v>0.74841388800000008</v>
      </c>
      <c r="H50" s="6" t="s">
        <v>55</v>
      </c>
      <c r="I50" s="8">
        <f>0.4/100</f>
        <v>4.0000000000000001E-3</v>
      </c>
      <c r="J50" s="6">
        <f t="shared" si="21"/>
        <v>2.9936555520000004E-3</v>
      </c>
      <c r="K50" s="2" t="s">
        <v>38</v>
      </c>
      <c r="L50" s="2">
        <f>2.6/100</f>
        <v>2.6000000000000002E-2</v>
      </c>
      <c r="M50" s="2">
        <f t="shared" si="22"/>
        <v>1.9458761088000005E-2</v>
      </c>
    </row>
    <row r="51" spans="1:13" x14ac:dyDescent="0.25">
      <c r="A51" s="4">
        <v>26.161000000000001</v>
      </c>
      <c r="B51" s="4" t="s">
        <v>2</v>
      </c>
      <c r="C51" s="5">
        <f t="shared" si="0"/>
        <v>0.192</v>
      </c>
      <c r="D51" s="6">
        <f t="shared" si="4"/>
        <v>5.0229120000000007</v>
      </c>
      <c r="E51" s="2" t="s">
        <v>18</v>
      </c>
      <c r="F51" s="6">
        <f t="shared" si="20"/>
        <v>0.14899999999999999</v>
      </c>
      <c r="G51" s="6">
        <f t="shared" si="11"/>
        <v>0.74841388800000008</v>
      </c>
      <c r="H51" s="6"/>
      <c r="I51" s="6"/>
      <c r="J51" s="6"/>
      <c r="K51" s="2" t="s">
        <v>39</v>
      </c>
      <c r="L51" s="2">
        <f>2.1/100</f>
        <v>2.1000000000000001E-2</v>
      </c>
      <c r="M51" s="2">
        <f t="shared" si="22"/>
        <v>1.5716691648000002E-2</v>
      </c>
    </row>
    <row r="52" spans="1:13" x14ac:dyDescent="0.25">
      <c r="A52" s="4">
        <v>26.161000000000001</v>
      </c>
      <c r="B52" s="2" t="s">
        <v>19</v>
      </c>
      <c r="C52" s="6">
        <f>80.8/100</f>
        <v>0.80799999999999994</v>
      </c>
      <c r="D52" s="6">
        <f t="shared" si="4"/>
        <v>21.138088</v>
      </c>
      <c r="E52" s="6" t="s">
        <v>54</v>
      </c>
      <c r="F52" s="6">
        <f>79.2/100</f>
        <v>0.79200000000000004</v>
      </c>
      <c r="G52" s="6">
        <f t="shared" si="11"/>
        <v>16.741365695999999</v>
      </c>
      <c r="H52" s="6" t="s">
        <v>11</v>
      </c>
      <c r="I52" s="6">
        <f>12.8/100</f>
        <v>0.128</v>
      </c>
      <c r="J52" s="6">
        <f>I52*G52</f>
        <v>2.1428948090879998</v>
      </c>
      <c r="K52" s="2" t="s">
        <v>32</v>
      </c>
      <c r="L52" s="2">
        <f>4.4/100</f>
        <v>4.4000000000000004E-2</v>
      </c>
      <c r="M52" s="2">
        <f>L52*G52</f>
        <v>0.73662009062400002</v>
      </c>
    </row>
    <row r="53" spans="1:13" x14ac:dyDescent="0.25">
      <c r="A53" s="4">
        <v>26.161000000000001</v>
      </c>
      <c r="B53" s="2" t="s">
        <v>19</v>
      </c>
      <c r="C53" s="6">
        <f t="shared" ref="C53:C99" si="23">80.8/100</f>
        <v>0.80799999999999994</v>
      </c>
      <c r="D53" s="6">
        <f t="shared" si="4"/>
        <v>21.138088</v>
      </c>
      <c r="E53" s="6" t="s">
        <v>14</v>
      </c>
      <c r="F53" s="6">
        <f t="shared" ref="F53:F59" si="24">79.2/100</f>
        <v>0.79200000000000004</v>
      </c>
      <c r="G53" s="6">
        <f t="shared" si="11"/>
        <v>16.741365695999999</v>
      </c>
      <c r="H53" s="6" t="s">
        <v>12</v>
      </c>
      <c r="I53" s="6">
        <f>10.4/100</f>
        <v>0.10400000000000001</v>
      </c>
      <c r="J53" s="6">
        <f t="shared" ref="J53:J56" si="25">I53*G53</f>
        <v>1.7411020323840001</v>
      </c>
      <c r="K53" s="2" t="s">
        <v>33</v>
      </c>
      <c r="L53" s="2">
        <f>9.3/100</f>
        <v>9.3000000000000013E-2</v>
      </c>
      <c r="M53" s="2">
        <f t="shared" ref="M53:M59" si="26">L53*G53</f>
        <v>1.556947009728</v>
      </c>
    </row>
    <row r="54" spans="1:13" x14ac:dyDescent="0.25">
      <c r="A54" s="4">
        <v>26.161000000000001</v>
      </c>
      <c r="B54" s="2" t="s">
        <v>19</v>
      </c>
      <c r="C54" s="6">
        <f t="shared" si="23"/>
        <v>0.80799999999999994</v>
      </c>
      <c r="D54" s="6">
        <f t="shared" si="4"/>
        <v>21.138088</v>
      </c>
      <c r="E54" s="6" t="s">
        <v>14</v>
      </c>
      <c r="F54" s="6">
        <f t="shared" si="24"/>
        <v>0.79200000000000004</v>
      </c>
      <c r="G54" s="6">
        <f t="shared" si="11"/>
        <v>16.741365695999999</v>
      </c>
      <c r="H54" s="6" t="s">
        <v>7</v>
      </c>
      <c r="I54" s="14">
        <f>16.4/100</f>
        <v>0.16399999999999998</v>
      </c>
      <c r="J54" s="6">
        <f t="shared" si="25"/>
        <v>2.7455839741439996</v>
      </c>
      <c r="K54" s="2" t="s">
        <v>34</v>
      </c>
      <c r="L54" s="2">
        <f>15.6/100</f>
        <v>0.156</v>
      </c>
      <c r="M54" s="2">
        <f t="shared" si="26"/>
        <v>2.6116530485759997</v>
      </c>
    </row>
    <row r="55" spans="1:13" x14ac:dyDescent="0.25">
      <c r="A55" s="4">
        <v>26.161000000000001</v>
      </c>
      <c r="B55" s="2" t="s">
        <v>19</v>
      </c>
      <c r="C55" s="6">
        <f t="shared" si="23"/>
        <v>0.80799999999999994</v>
      </c>
      <c r="D55" s="6">
        <f t="shared" si="4"/>
        <v>21.138088</v>
      </c>
      <c r="E55" s="6" t="s">
        <v>14</v>
      </c>
      <c r="F55" s="6">
        <f t="shared" si="24"/>
        <v>0.79200000000000004</v>
      </c>
      <c r="G55" s="6">
        <f t="shared" si="11"/>
        <v>16.741365695999999</v>
      </c>
      <c r="H55" s="6" t="s">
        <v>8</v>
      </c>
      <c r="I55" s="6">
        <f>34.6/100</f>
        <v>0.34600000000000003</v>
      </c>
      <c r="J55" s="6">
        <f t="shared" si="25"/>
        <v>5.7925125308160004</v>
      </c>
      <c r="K55" s="2" t="s">
        <v>35</v>
      </c>
      <c r="L55" s="2">
        <f>24.8/100</f>
        <v>0.248</v>
      </c>
      <c r="M55" s="2">
        <f t="shared" si="26"/>
        <v>4.1518586926080001</v>
      </c>
    </row>
    <row r="56" spans="1:13" x14ac:dyDescent="0.25">
      <c r="A56" s="4">
        <v>26.161000000000001</v>
      </c>
      <c r="B56" s="2" t="s">
        <v>19</v>
      </c>
      <c r="C56" s="6">
        <f t="shared" si="23"/>
        <v>0.80799999999999994</v>
      </c>
      <c r="D56" s="6">
        <f t="shared" si="4"/>
        <v>21.138088</v>
      </c>
      <c r="E56" s="6" t="s">
        <v>14</v>
      </c>
      <c r="F56" s="6">
        <f t="shared" si="24"/>
        <v>0.79200000000000004</v>
      </c>
      <c r="G56" s="6">
        <f t="shared" si="11"/>
        <v>16.741365695999999</v>
      </c>
      <c r="H56" s="6" t="s">
        <v>10</v>
      </c>
      <c r="I56" s="6">
        <f>3.9/100</f>
        <v>3.9E-2</v>
      </c>
      <c r="J56" s="6">
        <f t="shared" si="25"/>
        <v>0.65291326214399992</v>
      </c>
      <c r="K56" s="2" t="s">
        <v>36</v>
      </c>
      <c r="L56" s="2">
        <f>23.1/100</f>
        <v>0.23100000000000001</v>
      </c>
      <c r="M56" s="2">
        <f t="shared" si="26"/>
        <v>3.867255475776</v>
      </c>
    </row>
    <row r="57" spans="1:13" x14ac:dyDescent="0.25">
      <c r="A57" s="4">
        <v>26.161000000000001</v>
      </c>
      <c r="B57" s="2" t="s">
        <v>19</v>
      </c>
      <c r="C57" s="6">
        <f t="shared" si="23"/>
        <v>0.80799999999999994</v>
      </c>
      <c r="D57" s="6">
        <f t="shared" si="4"/>
        <v>21.138088</v>
      </c>
      <c r="E57" s="6" t="s">
        <v>14</v>
      </c>
      <c r="F57" s="6">
        <f t="shared" si="24"/>
        <v>0.79200000000000004</v>
      </c>
      <c r="G57" s="6">
        <f t="shared" si="11"/>
        <v>16.741365695999999</v>
      </c>
      <c r="H57" s="6" t="s">
        <v>9</v>
      </c>
      <c r="I57" s="6">
        <f>20/100</f>
        <v>0.2</v>
      </c>
      <c r="J57" s="6">
        <f>I58*G57</f>
        <v>0.31808594822399999</v>
      </c>
      <c r="K57" s="2" t="s">
        <v>37</v>
      </c>
      <c r="L57" s="2">
        <f>19/100</f>
        <v>0.19</v>
      </c>
      <c r="M57" s="2">
        <f t="shared" si="26"/>
        <v>3.1808594822399998</v>
      </c>
    </row>
    <row r="58" spans="1:13" x14ac:dyDescent="0.25">
      <c r="A58" s="4">
        <v>26.161000000000001</v>
      </c>
      <c r="B58" s="2" t="s">
        <v>19</v>
      </c>
      <c r="C58" s="6">
        <f t="shared" si="23"/>
        <v>0.80799999999999994</v>
      </c>
      <c r="D58" s="6">
        <f t="shared" si="4"/>
        <v>21.138088</v>
      </c>
      <c r="E58" s="6" t="s">
        <v>14</v>
      </c>
      <c r="F58" s="6">
        <f t="shared" si="24"/>
        <v>0.79200000000000004</v>
      </c>
      <c r="G58" s="6">
        <f t="shared" si="11"/>
        <v>16.741365695999999</v>
      </c>
      <c r="H58" s="6" t="s">
        <v>55</v>
      </c>
      <c r="I58" s="6">
        <f>1.9/100</f>
        <v>1.9E-2</v>
      </c>
      <c r="J58" s="6"/>
      <c r="K58" s="2" t="s">
        <v>38</v>
      </c>
      <c r="L58" s="2">
        <f>2.7/100</f>
        <v>2.7000000000000003E-2</v>
      </c>
      <c r="M58" s="2">
        <f t="shared" si="26"/>
        <v>0.45201687379200001</v>
      </c>
    </row>
    <row r="59" spans="1:13" x14ac:dyDescent="0.25">
      <c r="A59" s="4">
        <v>26.161000000000001</v>
      </c>
      <c r="B59" s="2" t="s">
        <v>19</v>
      </c>
      <c r="C59" s="6">
        <f t="shared" si="23"/>
        <v>0.80799999999999994</v>
      </c>
      <c r="D59" s="6">
        <f t="shared" si="4"/>
        <v>21.138088</v>
      </c>
      <c r="E59" s="6" t="s">
        <v>14</v>
      </c>
      <c r="F59" s="6">
        <f t="shared" si="24"/>
        <v>0.79200000000000004</v>
      </c>
      <c r="G59" s="6">
        <f t="shared" si="11"/>
        <v>16.741365695999999</v>
      </c>
      <c r="H59" s="6"/>
      <c r="I59" s="6"/>
      <c r="J59" s="6"/>
      <c r="K59" s="2" t="s">
        <v>39</v>
      </c>
      <c r="L59" s="2">
        <f>1.1/100</f>
        <v>1.1000000000000001E-2</v>
      </c>
      <c r="M59" s="2">
        <f t="shared" si="26"/>
        <v>0.18415502265600001</v>
      </c>
    </row>
    <row r="60" spans="1:13" x14ac:dyDescent="0.25">
      <c r="A60" s="4">
        <v>26.161000000000001</v>
      </c>
      <c r="B60" s="2" t="s">
        <v>19</v>
      </c>
      <c r="C60" s="6">
        <f t="shared" si="23"/>
        <v>0.80799999999999994</v>
      </c>
      <c r="D60" s="6">
        <f t="shared" si="4"/>
        <v>21.138088</v>
      </c>
      <c r="E60" s="6" t="s">
        <v>52</v>
      </c>
      <c r="F60" s="6">
        <f>88.2/100</f>
        <v>0.88200000000000001</v>
      </c>
      <c r="G60" s="6">
        <f t="shared" si="11"/>
        <v>18.643793616</v>
      </c>
      <c r="H60" s="6" t="s">
        <v>11</v>
      </c>
      <c r="I60" s="6">
        <f>12.7/100</f>
        <v>0.127</v>
      </c>
      <c r="J60" s="6">
        <f>I60*G60</f>
        <v>2.367761789232</v>
      </c>
      <c r="K60" s="2" t="s">
        <v>32</v>
      </c>
      <c r="L60" s="2">
        <f>2.1/100</f>
        <v>2.1000000000000001E-2</v>
      </c>
      <c r="M60" s="2">
        <f>L60*G60</f>
        <v>0.39151966593600002</v>
      </c>
    </row>
    <row r="61" spans="1:13" x14ac:dyDescent="0.25">
      <c r="A61" s="4">
        <v>26.161000000000001</v>
      </c>
      <c r="B61" s="2" t="s">
        <v>19</v>
      </c>
      <c r="C61" s="6">
        <f t="shared" si="23"/>
        <v>0.80799999999999994</v>
      </c>
      <c r="D61" s="6">
        <f t="shared" si="4"/>
        <v>21.138088</v>
      </c>
      <c r="E61" s="6" t="s">
        <v>15</v>
      </c>
      <c r="F61" s="6">
        <f t="shared" ref="F61:F67" si="27">88.2/100</f>
        <v>0.88200000000000001</v>
      </c>
      <c r="G61" s="6">
        <f t="shared" si="11"/>
        <v>18.643793616</v>
      </c>
      <c r="H61" s="6" t="s">
        <v>12</v>
      </c>
      <c r="I61" s="6">
        <f>3.9/100</f>
        <v>3.9E-2</v>
      </c>
      <c r="J61" s="6">
        <f t="shared" ref="J61:J65" si="28">I61*G61</f>
        <v>0.72710795102399994</v>
      </c>
      <c r="K61" s="2" t="s">
        <v>33</v>
      </c>
      <c r="L61" s="2">
        <f>9.8/100</f>
        <v>9.8000000000000004E-2</v>
      </c>
      <c r="M61" s="2">
        <f t="shared" ref="M61:M67" si="29">L61*G61</f>
        <v>1.827091774368</v>
      </c>
    </row>
    <row r="62" spans="1:13" x14ac:dyDescent="0.25">
      <c r="A62" s="4">
        <v>26.161000000000001</v>
      </c>
      <c r="B62" s="2" t="s">
        <v>19</v>
      </c>
      <c r="C62" s="6">
        <f t="shared" si="23"/>
        <v>0.80799999999999994</v>
      </c>
      <c r="D62" s="6">
        <f t="shared" si="4"/>
        <v>21.138088</v>
      </c>
      <c r="E62" s="6" t="s">
        <v>15</v>
      </c>
      <c r="F62" s="6">
        <f t="shared" si="27"/>
        <v>0.88200000000000001</v>
      </c>
      <c r="G62" s="6">
        <f t="shared" si="11"/>
        <v>18.643793616</v>
      </c>
      <c r="H62" s="6" t="s">
        <v>7</v>
      </c>
      <c r="I62" s="6">
        <f>14.8/100</f>
        <v>0.14800000000000002</v>
      </c>
      <c r="J62" s="6">
        <f t="shared" si="28"/>
        <v>2.7592814551680003</v>
      </c>
      <c r="K62" s="2" t="s">
        <v>34</v>
      </c>
      <c r="L62" s="2">
        <f>21.4/100</f>
        <v>0.214</v>
      </c>
      <c r="M62" s="2">
        <f t="shared" si="29"/>
        <v>3.9897718338239998</v>
      </c>
    </row>
    <row r="63" spans="1:13" x14ac:dyDescent="0.25">
      <c r="A63" s="4">
        <v>26.161000000000001</v>
      </c>
      <c r="B63" s="2" t="s">
        <v>19</v>
      </c>
      <c r="C63" s="6">
        <f t="shared" si="23"/>
        <v>0.80799999999999994</v>
      </c>
      <c r="D63" s="6">
        <f t="shared" si="4"/>
        <v>21.138088</v>
      </c>
      <c r="E63" s="6" t="s">
        <v>15</v>
      </c>
      <c r="F63" s="6">
        <f t="shared" si="27"/>
        <v>0.88200000000000001</v>
      </c>
      <c r="G63" s="6">
        <f t="shared" si="11"/>
        <v>18.643793616</v>
      </c>
      <c r="H63" s="6" t="s">
        <v>8</v>
      </c>
      <c r="I63" s="6">
        <f>41/100</f>
        <v>0.41</v>
      </c>
      <c r="J63" s="6">
        <f t="shared" si="28"/>
        <v>7.6439553825599997</v>
      </c>
      <c r="K63" s="2" t="s">
        <v>35</v>
      </c>
      <c r="L63" s="2">
        <f>28.8/100</f>
        <v>0.28800000000000003</v>
      </c>
      <c r="M63" s="2">
        <f t="shared" si="29"/>
        <v>5.3694125614080006</v>
      </c>
    </row>
    <row r="64" spans="1:13" x14ac:dyDescent="0.25">
      <c r="A64" s="4">
        <v>26.161000000000001</v>
      </c>
      <c r="B64" s="2" t="s">
        <v>19</v>
      </c>
      <c r="C64" s="6">
        <f t="shared" si="23"/>
        <v>0.80799999999999994</v>
      </c>
      <c r="D64" s="6">
        <f t="shared" si="4"/>
        <v>21.138088</v>
      </c>
      <c r="E64" s="6" t="s">
        <v>15</v>
      </c>
      <c r="F64" s="6">
        <f t="shared" si="27"/>
        <v>0.88200000000000001</v>
      </c>
      <c r="G64" s="6">
        <f t="shared" si="11"/>
        <v>18.643793616</v>
      </c>
      <c r="H64" s="6" t="s">
        <v>10</v>
      </c>
      <c r="I64" s="6">
        <f>5.7/100</f>
        <v>5.7000000000000002E-2</v>
      </c>
      <c r="J64" s="6">
        <f t="shared" si="28"/>
        <v>1.062696236112</v>
      </c>
      <c r="K64" s="2" t="s">
        <v>36</v>
      </c>
      <c r="L64" s="2">
        <f>19.7/100</f>
        <v>0.19699999999999998</v>
      </c>
      <c r="M64" s="2">
        <f t="shared" si="29"/>
        <v>3.6728273423519995</v>
      </c>
    </row>
    <row r="65" spans="1:13" x14ac:dyDescent="0.25">
      <c r="A65" s="4">
        <v>26.161000000000001</v>
      </c>
      <c r="B65" s="2" t="s">
        <v>19</v>
      </c>
      <c r="C65" s="6">
        <f t="shared" si="23"/>
        <v>0.80799999999999994</v>
      </c>
      <c r="D65" s="6">
        <f t="shared" si="4"/>
        <v>21.138088</v>
      </c>
      <c r="E65" s="6" t="s">
        <v>15</v>
      </c>
      <c r="F65" s="6">
        <f t="shared" si="27"/>
        <v>0.88200000000000001</v>
      </c>
      <c r="G65" s="6">
        <f t="shared" si="11"/>
        <v>18.643793616</v>
      </c>
      <c r="H65" s="6" t="s">
        <v>9</v>
      </c>
      <c r="I65" s="6">
        <f>17.6/100</f>
        <v>0.17600000000000002</v>
      </c>
      <c r="J65" s="6">
        <f t="shared" si="28"/>
        <v>3.2813076764160005</v>
      </c>
      <c r="K65" s="2" t="s">
        <v>37</v>
      </c>
      <c r="L65" s="2">
        <f>16.7/100</f>
        <v>0.16699999999999998</v>
      </c>
      <c r="M65" s="2">
        <f t="shared" si="29"/>
        <v>3.1135135338719997</v>
      </c>
    </row>
    <row r="66" spans="1:13" x14ac:dyDescent="0.25">
      <c r="A66" s="4">
        <v>26.161000000000001</v>
      </c>
      <c r="B66" s="2" t="s">
        <v>19</v>
      </c>
      <c r="C66" s="6">
        <f t="shared" si="23"/>
        <v>0.80799999999999994</v>
      </c>
      <c r="D66" s="6">
        <f t="shared" si="4"/>
        <v>21.138088</v>
      </c>
      <c r="E66" s="6" t="s">
        <v>15</v>
      </c>
      <c r="F66" s="6">
        <f t="shared" si="27"/>
        <v>0.88200000000000001</v>
      </c>
      <c r="G66" s="6">
        <f t="shared" si="11"/>
        <v>18.643793616</v>
      </c>
      <c r="H66" s="6" t="s">
        <v>55</v>
      </c>
      <c r="I66" s="6">
        <f>4.3/100</f>
        <v>4.2999999999999997E-2</v>
      </c>
      <c r="J66" s="6"/>
      <c r="K66" s="2" t="s">
        <v>38</v>
      </c>
      <c r="L66" s="2">
        <f>1/100</f>
        <v>0.01</v>
      </c>
      <c r="M66" s="2">
        <f t="shared" si="29"/>
        <v>0.18643793616000001</v>
      </c>
    </row>
    <row r="67" spans="1:13" x14ac:dyDescent="0.25">
      <c r="A67" s="4">
        <v>26.161000000000001</v>
      </c>
      <c r="B67" s="2" t="s">
        <v>19</v>
      </c>
      <c r="C67" s="6">
        <f t="shared" si="23"/>
        <v>0.80799999999999994</v>
      </c>
      <c r="D67" s="6">
        <f t="shared" si="4"/>
        <v>21.138088</v>
      </c>
      <c r="E67" s="6" t="s">
        <v>15</v>
      </c>
      <c r="F67" s="6">
        <f t="shared" si="27"/>
        <v>0.88200000000000001</v>
      </c>
      <c r="G67" s="6">
        <f t="shared" si="11"/>
        <v>18.643793616</v>
      </c>
      <c r="H67" s="6"/>
      <c r="I67" s="6"/>
      <c r="J67" s="6"/>
      <c r="K67" s="2" t="s">
        <v>39</v>
      </c>
      <c r="L67" s="2">
        <f>0.4/100</f>
        <v>4.0000000000000001E-3</v>
      </c>
      <c r="M67" s="2">
        <f t="shared" si="29"/>
        <v>7.4575174463999999E-2</v>
      </c>
    </row>
    <row r="68" spans="1:13" x14ac:dyDescent="0.25">
      <c r="A68" s="4">
        <v>26.161000000000001</v>
      </c>
      <c r="B68" s="2" t="s">
        <v>19</v>
      </c>
      <c r="C68" s="6">
        <f t="shared" si="23"/>
        <v>0.80799999999999994</v>
      </c>
      <c r="D68" s="6">
        <f t="shared" si="4"/>
        <v>21.138088</v>
      </c>
      <c r="E68" s="6" t="s">
        <v>53</v>
      </c>
      <c r="F68" s="6">
        <f>80.6/100</f>
        <v>0.80599999999999994</v>
      </c>
      <c r="G68" s="6">
        <f t="shared" si="11"/>
        <v>17.037298927999998</v>
      </c>
      <c r="H68" s="6" t="s">
        <v>11</v>
      </c>
      <c r="I68" s="6">
        <f>12/100</f>
        <v>0.12</v>
      </c>
      <c r="J68" s="6">
        <f>I68*G68</f>
        <v>2.0444758713599995</v>
      </c>
      <c r="K68" s="2" t="s">
        <v>32</v>
      </c>
      <c r="L68" s="2">
        <f>4.5/100</f>
        <v>4.4999999999999998E-2</v>
      </c>
      <c r="M68" s="2">
        <f>L68*G68</f>
        <v>0.76667845175999993</v>
      </c>
    </row>
    <row r="69" spans="1:13" x14ac:dyDescent="0.25">
      <c r="A69" s="4">
        <v>26.161000000000001</v>
      </c>
      <c r="B69" s="2" t="s">
        <v>19</v>
      </c>
      <c r="C69" s="6">
        <f t="shared" si="23"/>
        <v>0.80799999999999994</v>
      </c>
      <c r="D69" s="6">
        <f t="shared" si="4"/>
        <v>21.138088</v>
      </c>
      <c r="E69" s="6" t="s">
        <v>16</v>
      </c>
      <c r="F69" s="6">
        <f t="shared" ref="F69:F75" si="30">80.6/100</f>
        <v>0.80599999999999994</v>
      </c>
      <c r="G69" s="6">
        <f t="shared" si="11"/>
        <v>17.037298927999998</v>
      </c>
      <c r="H69" s="6" t="s">
        <v>12</v>
      </c>
      <c r="I69" s="6">
        <f>8.1/100</f>
        <v>8.1000000000000003E-2</v>
      </c>
      <c r="J69" s="6">
        <f t="shared" ref="J69:J73" si="31">I69*G69</f>
        <v>1.3800212131679999</v>
      </c>
      <c r="K69" s="2" t="s">
        <v>33</v>
      </c>
      <c r="L69" s="2">
        <f>10.4/100</f>
        <v>0.10400000000000001</v>
      </c>
      <c r="M69" s="2">
        <f t="shared" ref="M69:M75" si="32">L69*G69</f>
        <v>1.7718790885119999</v>
      </c>
    </row>
    <row r="70" spans="1:13" x14ac:dyDescent="0.25">
      <c r="A70" s="4">
        <v>26.161000000000001</v>
      </c>
      <c r="B70" s="2" t="s">
        <v>19</v>
      </c>
      <c r="C70" s="6">
        <f t="shared" si="23"/>
        <v>0.80799999999999994</v>
      </c>
      <c r="D70" s="6">
        <f t="shared" si="4"/>
        <v>21.138088</v>
      </c>
      <c r="E70" s="6" t="s">
        <v>16</v>
      </c>
      <c r="F70" s="6">
        <f t="shared" si="30"/>
        <v>0.80599999999999994</v>
      </c>
      <c r="G70" s="6">
        <f t="shared" si="11"/>
        <v>17.037298927999998</v>
      </c>
      <c r="H70" s="6" t="s">
        <v>7</v>
      </c>
      <c r="I70" s="6">
        <f>16.2/100</f>
        <v>0.16200000000000001</v>
      </c>
      <c r="J70" s="6">
        <f t="shared" si="31"/>
        <v>2.7600424263359997</v>
      </c>
      <c r="K70" s="2" t="s">
        <v>34</v>
      </c>
      <c r="L70" s="2">
        <f>15.2/100</f>
        <v>0.152</v>
      </c>
      <c r="M70" s="2">
        <f t="shared" si="32"/>
        <v>2.5896694370559996</v>
      </c>
    </row>
    <row r="71" spans="1:13" x14ac:dyDescent="0.25">
      <c r="A71" s="4">
        <v>26.161000000000001</v>
      </c>
      <c r="B71" s="2" t="s">
        <v>19</v>
      </c>
      <c r="C71" s="6">
        <f t="shared" si="23"/>
        <v>0.80799999999999994</v>
      </c>
      <c r="D71" s="6">
        <f t="shared" si="4"/>
        <v>21.138088</v>
      </c>
      <c r="E71" s="6" t="s">
        <v>16</v>
      </c>
      <c r="F71" s="6">
        <f t="shared" si="30"/>
        <v>0.80599999999999994</v>
      </c>
      <c r="G71" s="6">
        <f t="shared" si="11"/>
        <v>17.037298927999998</v>
      </c>
      <c r="H71" s="6" t="s">
        <v>8</v>
      </c>
      <c r="I71" s="6">
        <f>35.7/100</f>
        <v>0.35700000000000004</v>
      </c>
      <c r="J71" s="6">
        <f t="shared" si="31"/>
        <v>6.0823157172959998</v>
      </c>
      <c r="K71" s="2" t="s">
        <v>35</v>
      </c>
      <c r="L71" s="2">
        <f>23.5/100</f>
        <v>0.23499999999999999</v>
      </c>
      <c r="M71" s="2">
        <f t="shared" si="32"/>
        <v>4.0037652480799997</v>
      </c>
    </row>
    <row r="72" spans="1:13" x14ac:dyDescent="0.25">
      <c r="A72" s="4">
        <v>26.161000000000001</v>
      </c>
      <c r="B72" s="2" t="s">
        <v>19</v>
      </c>
      <c r="C72" s="6">
        <f t="shared" si="23"/>
        <v>0.80799999999999994</v>
      </c>
      <c r="D72" s="6">
        <f t="shared" si="4"/>
        <v>21.138088</v>
      </c>
      <c r="E72" s="6" t="s">
        <v>16</v>
      </c>
      <c r="F72" s="6">
        <f t="shared" si="30"/>
        <v>0.80599999999999994</v>
      </c>
      <c r="G72" s="6">
        <f t="shared" si="11"/>
        <v>17.037298927999998</v>
      </c>
      <c r="H72" s="6" t="s">
        <v>10</v>
      </c>
      <c r="I72" s="6">
        <f>5.5/100</f>
        <v>5.5E-2</v>
      </c>
      <c r="J72" s="6">
        <f t="shared" si="31"/>
        <v>0.93705144103999993</v>
      </c>
      <c r="K72" s="2" t="s">
        <v>36</v>
      </c>
      <c r="L72" s="2">
        <f>21.3/100</f>
        <v>0.21299999999999999</v>
      </c>
      <c r="M72" s="2">
        <f t="shared" si="32"/>
        <v>3.6289446716639997</v>
      </c>
    </row>
    <row r="73" spans="1:13" x14ac:dyDescent="0.25">
      <c r="A73" s="4">
        <v>26.161000000000001</v>
      </c>
      <c r="B73" s="2" t="s">
        <v>19</v>
      </c>
      <c r="C73" s="6">
        <f t="shared" si="23"/>
        <v>0.80799999999999994</v>
      </c>
      <c r="D73" s="6">
        <f t="shared" si="4"/>
        <v>21.138088</v>
      </c>
      <c r="E73" s="6" t="s">
        <v>16</v>
      </c>
      <c r="F73" s="6">
        <f t="shared" si="30"/>
        <v>0.80599999999999994</v>
      </c>
      <c r="G73" s="6">
        <f t="shared" si="11"/>
        <v>17.037298927999998</v>
      </c>
      <c r="H73" s="6" t="s">
        <v>9</v>
      </c>
      <c r="I73" s="6">
        <f>20.3/100</f>
        <v>0.20300000000000001</v>
      </c>
      <c r="J73" s="6">
        <f t="shared" si="31"/>
        <v>3.458571682384</v>
      </c>
      <c r="K73" s="2" t="s">
        <v>37</v>
      </c>
      <c r="L73" s="2">
        <f>20/100</f>
        <v>0.2</v>
      </c>
      <c r="M73" s="2">
        <f t="shared" si="32"/>
        <v>3.4074597856</v>
      </c>
    </row>
    <row r="74" spans="1:13" x14ac:dyDescent="0.25">
      <c r="A74" s="4">
        <v>26.161000000000001</v>
      </c>
      <c r="B74" s="2" t="s">
        <v>19</v>
      </c>
      <c r="C74" s="6">
        <f t="shared" si="23"/>
        <v>0.80799999999999994</v>
      </c>
      <c r="D74" s="6">
        <f t="shared" si="4"/>
        <v>21.138088</v>
      </c>
      <c r="E74" s="6" t="s">
        <v>16</v>
      </c>
      <c r="F74" s="6">
        <f t="shared" si="30"/>
        <v>0.80599999999999994</v>
      </c>
      <c r="G74" s="6">
        <f t="shared" si="11"/>
        <v>17.037298927999998</v>
      </c>
      <c r="H74" s="6" t="s">
        <v>55</v>
      </c>
      <c r="I74" s="6">
        <f>2.2/100</f>
        <v>2.2000000000000002E-2</v>
      </c>
      <c r="J74" s="6"/>
      <c r="K74" s="2" t="s">
        <v>38</v>
      </c>
      <c r="L74" s="2">
        <f>3.5/100</f>
        <v>3.5000000000000003E-2</v>
      </c>
      <c r="M74" s="2">
        <f t="shared" si="32"/>
        <v>0.59630546248000005</v>
      </c>
    </row>
    <row r="75" spans="1:13" x14ac:dyDescent="0.25">
      <c r="A75" s="4">
        <v>26.161000000000001</v>
      </c>
      <c r="B75" s="2" t="s">
        <v>19</v>
      </c>
      <c r="C75" s="6">
        <f t="shared" si="23"/>
        <v>0.80799999999999994</v>
      </c>
      <c r="D75" s="6">
        <f t="shared" si="4"/>
        <v>21.138088</v>
      </c>
      <c r="E75" s="6" t="s">
        <v>16</v>
      </c>
      <c r="F75" s="6">
        <f t="shared" si="30"/>
        <v>0.80599999999999994</v>
      </c>
      <c r="G75" s="6">
        <f t="shared" si="11"/>
        <v>17.037298927999998</v>
      </c>
      <c r="H75" s="6"/>
      <c r="I75" s="6"/>
      <c r="J75" s="6"/>
      <c r="K75" s="2" t="s">
        <v>39</v>
      </c>
      <c r="L75" s="2">
        <f>1.6/100</f>
        <v>1.6E-2</v>
      </c>
      <c r="M75" s="2">
        <f t="shared" si="32"/>
        <v>0.27259678284799999</v>
      </c>
    </row>
    <row r="76" spans="1:13" x14ac:dyDescent="0.25">
      <c r="A76" s="4">
        <v>26.161000000000001</v>
      </c>
      <c r="B76" s="2" t="s">
        <v>19</v>
      </c>
      <c r="C76" s="6">
        <f t="shared" si="23"/>
        <v>0.80799999999999994</v>
      </c>
      <c r="D76" s="6">
        <f t="shared" si="4"/>
        <v>21.138088</v>
      </c>
      <c r="E76" s="2" t="s">
        <v>51</v>
      </c>
      <c r="F76" s="6">
        <f>78/100</f>
        <v>0.78</v>
      </c>
      <c r="G76" s="6">
        <f t="shared" si="11"/>
        <v>16.487708640000001</v>
      </c>
      <c r="H76" s="6" t="s">
        <v>11</v>
      </c>
      <c r="I76" s="6">
        <f>19.5/100</f>
        <v>0.19500000000000001</v>
      </c>
      <c r="J76" s="8">
        <f>I76*G76</f>
        <v>3.2151031848000002</v>
      </c>
      <c r="K76" s="2" t="s">
        <v>32</v>
      </c>
      <c r="L76" s="2">
        <f>4.9/100</f>
        <v>4.9000000000000002E-2</v>
      </c>
      <c r="M76" s="2">
        <f>L76*G76</f>
        <v>0.8078977233600001</v>
      </c>
    </row>
    <row r="77" spans="1:13" x14ac:dyDescent="0.25">
      <c r="A77" s="4">
        <v>26.161000000000001</v>
      </c>
      <c r="B77" s="2" t="s">
        <v>19</v>
      </c>
      <c r="C77" s="6">
        <f t="shared" si="23"/>
        <v>0.80799999999999994</v>
      </c>
      <c r="D77" s="6">
        <f t="shared" si="4"/>
        <v>21.138088</v>
      </c>
      <c r="E77" s="2" t="s">
        <v>13</v>
      </c>
      <c r="F77" s="6">
        <f t="shared" ref="F77:F83" si="33">78/100</f>
        <v>0.78</v>
      </c>
      <c r="G77" s="6">
        <f t="shared" si="11"/>
        <v>16.487708640000001</v>
      </c>
      <c r="H77" s="6" t="s">
        <v>12</v>
      </c>
      <c r="I77" s="6">
        <f>11.2/100</f>
        <v>0.11199999999999999</v>
      </c>
      <c r="J77" s="8">
        <f t="shared" ref="J77:J81" si="34">I77*G77</f>
        <v>1.8466233676799999</v>
      </c>
      <c r="K77" s="2" t="s">
        <v>33</v>
      </c>
      <c r="L77" s="2">
        <f>10.2/100</f>
        <v>0.10199999999999999</v>
      </c>
      <c r="M77" s="2">
        <f t="shared" ref="M77:M83" si="35">L77*G77</f>
        <v>1.6817462812799999</v>
      </c>
    </row>
    <row r="78" spans="1:13" x14ac:dyDescent="0.25">
      <c r="A78" s="4">
        <v>26.161000000000001</v>
      </c>
      <c r="B78" s="2" t="s">
        <v>19</v>
      </c>
      <c r="C78" s="6">
        <f t="shared" si="23"/>
        <v>0.80799999999999994</v>
      </c>
      <c r="D78" s="6">
        <f t="shared" si="4"/>
        <v>21.138088</v>
      </c>
      <c r="E78" s="2" t="s">
        <v>13</v>
      </c>
      <c r="F78" s="6">
        <f t="shared" si="33"/>
        <v>0.78</v>
      </c>
      <c r="G78" s="6">
        <f t="shared" si="11"/>
        <v>16.487708640000001</v>
      </c>
      <c r="H78" s="6" t="s">
        <v>7</v>
      </c>
      <c r="I78" s="6">
        <f>18.4/100</f>
        <v>0.184</v>
      </c>
      <c r="J78" s="8">
        <f t="shared" si="34"/>
        <v>3.0337383897600003</v>
      </c>
      <c r="K78" s="2" t="s">
        <v>34</v>
      </c>
      <c r="L78" s="2">
        <f>13.6/100</f>
        <v>0.13600000000000001</v>
      </c>
      <c r="M78" s="2">
        <f t="shared" si="35"/>
        <v>2.2423283750400005</v>
      </c>
    </row>
    <row r="79" spans="1:13" x14ac:dyDescent="0.25">
      <c r="A79" s="4">
        <v>26.161000000000001</v>
      </c>
      <c r="B79" s="2" t="s">
        <v>19</v>
      </c>
      <c r="C79" s="6">
        <f t="shared" si="23"/>
        <v>0.80799999999999994</v>
      </c>
      <c r="D79" s="6">
        <f t="shared" si="4"/>
        <v>21.138088</v>
      </c>
      <c r="E79" s="2" t="s">
        <v>13</v>
      </c>
      <c r="F79" s="6">
        <f t="shared" si="33"/>
        <v>0.78</v>
      </c>
      <c r="G79" s="6">
        <f t="shared" si="11"/>
        <v>16.487708640000001</v>
      </c>
      <c r="H79" s="6" t="s">
        <v>8</v>
      </c>
      <c r="I79" s="6">
        <f>34.5/100</f>
        <v>0.34499999999999997</v>
      </c>
      <c r="J79" s="8">
        <f t="shared" si="34"/>
        <v>5.6882594808000002</v>
      </c>
      <c r="K79" s="2" t="s">
        <v>35</v>
      </c>
      <c r="L79" s="2">
        <f>25.1/100</f>
        <v>0.251</v>
      </c>
      <c r="M79" s="2">
        <f t="shared" si="35"/>
        <v>4.13841486864</v>
      </c>
    </row>
    <row r="80" spans="1:13" x14ac:dyDescent="0.25">
      <c r="A80" s="4">
        <v>26.161000000000001</v>
      </c>
      <c r="B80" s="2" t="s">
        <v>19</v>
      </c>
      <c r="C80" s="6">
        <f t="shared" si="23"/>
        <v>0.80799999999999994</v>
      </c>
      <c r="D80" s="6">
        <f t="shared" si="4"/>
        <v>21.138088</v>
      </c>
      <c r="E80" s="2" t="s">
        <v>13</v>
      </c>
      <c r="F80" s="6">
        <f t="shared" si="33"/>
        <v>0.78</v>
      </c>
      <c r="G80" s="6">
        <f t="shared" si="11"/>
        <v>16.487708640000001</v>
      </c>
      <c r="H80" s="6" t="s">
        <v>10</v>
      </c>
      <c r="I80" s="6">
        <f>3.2/100</f>
        <v>3.2000000000000001E-2</v>
      </c>
      <c r="J80" s="8">
        <f t="shared" si="34"/>
        <v>0.52760667648000004</v>
      </c>
      <c r="K80" s="2" t="s">
        <v>36</v>
      </c>
      <c r="L80" s="2">
        <f>22.7/100</f>
        <v>0.22699999999999998</v>
      </c>
      <c r="M80" s="2">
        <f t="shared" si="35"/>
        <v>3.7427098612799998</v>
      </c>
    </row>
    <row r="81" spans="1:13" x14ac:dyDescent="0.25">
      <c r="A81" s="4">
        <v>26.161000000000001</v>
      </c>
      <c r="B81" s="2" t="s">
        <v>19</v>
      </c>
      <c r="C81" s="6">
        <f t="shared" si="23"/>
        <v>0.80799999999999994</v>
      </c>
      <c r="D81" s="6">
        <f t="shared" si="4"/>
        <v>21.138088</v>
      </c>
      <c r="E81" s="2" t="s">
        <v>13</v>
      </c>
      <c r="F81" s="6">
        <f t="shared" si="33"/>
        <v>0.78</v>
      </c>
      <c r="G81" s="6">
        <f t="shared" si="11"/>
        <v>16.487708640000001</v>
      </c>
      <c r="H81" s="6" t="s">
        <v>9</v>
      </c>
      <c r="I81" s="6">
        <f>11.1/100</f>
        <v>0.111</v>
      </c>
      <c r="J81" s="8">
        <f t="shared" si="34"/>
        <v>1.8301356590400002</v>
      </c>
      <c r="K81" s="2" t="s">
        <v>37</v>
      </c>
      <c r="L81" s="2">
        <f>18.2/100</f>
        <v>0.182</v>
      </c>
      <c r="M81" s="2">
        <f t="shared" si="35"/>
        <v>3.00076297248</v>
      </c>
    </row>
    <row r="82" spans="1:13" x14ac:dyDescent="0.25">
      <c r="A82" s="4">
        <v>26.161000000000001</v>
      </c>
      <c r="B82" s="2" t="s">
        <v>19</v>
      </c>
      <c r="C82" s="6">
        <f t="shared" si="23"/>
        <v>0.80799999999999994</v>
      </c>
      <c r="D82" s="6">
        <f t="shared" si="4"/>
        <v>21.138088</v>
      </c>
      <c r="E82" s="2" t="s">
        <v>13</v>
      </c>
      <c r="F82" s="6">
        <f t="shared" si="33"/>
        <v>0.78</v>
      </c>
      <c r="G82" s="6">
        <f t="shared" si="11"/>
        <v>16.487708640000001</v>
      </c>
      <c r="H82" s="6" t="s">
        <v>55</v>
      </c>
      <c r="I82" s="6">
        <f>2/100</f>
        <v>0.02</v>
      </c>
      <c r="J82" s="8"/>
      <c r="K82" s="2" t="s">
        <v>38</v>
      </c>
      <c r="L82" s="2">
        <f>3.2/100</f>
        <v>3.2000000000000001E-2</v>
      </c>
      <c r="M82" s="2">
        <f t="shared" si="35"/>
        <v>0.52760667648000004</v>
      </c>
    </row>
    <row r="83" spans="1:13" x14ac:dyDescent="0.25">
      <c r="A83" s="4">
        <v>26.161000000000001</v>
      </c>
      <c r="B83" s="2" t="s">
        <v>19</v>
      </c>
      <c r="C83" s="6">
        <f t="shared" si="23"/>
        <v>0.80799999999999994</v>
      </c>
      <c r="D83" s="6">
        <f t="shared" si="4"/>
        <v>21.138088</v>
      </c>
      <c r="E83" s="2" t="s">
        <v>13</v>
      </c>
      <c r="F83" s="6">
        <f t="shared" si="33"/>
        <v>0.78</v>
      </c>
      <c r="G83" s="6">
        <f t="shared" si="11"/>
        <v>16.487708640000001</v>
      </c>
      <c r="H83" s="6"/>
      <c r="I83" s="6"/>
      <c r="J83" s="8"/>
      <c r="K83" s="2" t="s">
        <v>39</v>
      </c>
      <c r="L83" s="2">
        <f>2.2/100</f>
        <v>2.2000000000000002E-2</v>
      </c>
      <c r="M83" s="2">
        <f t="shared" si="35"/>
        <v>0.36272959008000005</v>
      </c>
    </row>
    <row r="84" spans="1:13" x14ac:dyDescent="0.25">
      <c r="A84" s="4">
        <v>26.161000000000001</v>
      </c>
      <c r="B84" s="2" t="s">
        <v>19</v>
      </c>
      <c r="C84" s="6">
        <f t="shared" si="23"/>
        <v>0.80799999999999994</v>
      </c>
      <c r="D84" s="6">
        <f t="shared" si="4"/>
        <v>21.138088</v>
      </c>
      <c r="E84" s="2" t="s">
        <v>50</v>
      </c>
      <c r="F84" s="6">
        <f>80.9/100</f>
        <v>0.80900000000000005</v>
      </c>
      <c r="G84" s="6">
        <f t="shared" si="11"/>
        <v>17.100713192000001</v>
      </c>
      <c r="H84" s="6" t="s">
        <v>11</v>
      </c>
      <c r="I84" s="6">
        <f>4.2/100</f>
        <v>4.2000000000000003E-2</v>
      </c>
      <c r="J84" s="6">
        <f>I84*G84</f>
        <v>0.71822995406400003</v>
      </c>
      <c r="K84" s="2" t="s">
        <v>32</v>
      </c>
      <c r="L84" s="2">
        <f>0/100</f>
        <v>0</v>
      </c>
      <c r="M84" s="2">
        <f>L84*G84</f>
        <v>0</v>
      </c>
    </row>
    <row r="85" spans="1:13" x14ac:dyDescent="0.25">
      <c r="A85" s="4">
        <v>26.161000000000001</v>
      </c>
      <c r="B85" s="2" t="s">
        <v>19</v>
      </c>
      <c r="C85" s="6">
        <f t="shared" si="23"/>
        <v>0.80799999999999994</v>
      </c>
      <c r="D85" s="6">
        <f t="shared" si="4"/>
        <v>21.138088</v>
      </c>
      <c r="E85" s="2" t="s">
        <v>17</v>
      </c>
      <c r="F85" s="6">
        <f t="shared" ref="F85:F91" si="36">80.9/100</f>
        <v>0.80900000000000005</v>
      </c>
      <c r="G85" s="6">
        <f t="shared" si="11"/>
        <v>17.100713192000001</v>
      </c>
      <c r="H85" s="6" t="s">
        <v>12</v>
      </c>
      <c r="I85" s="6">
        <f>11.2/100</f>
        <v>0.11199999999999999</v>
      </c>
      <c r="J85" s="6">
        <f t="shared" ref="J85:J89" si="37">I85*G85</f>
        <v>1.9152798775039999</v>
      </c>
      <c r="K85" s="2" t="s">
        <v>33</v>
      </c>
      <c r="L85" s="2">
        <f>3/100</f>
        <v>0.03</v>
      </c>
      <c r="M85" s="2">
        <f t="shared" ref="M85:M87" si="38">L85*G85</f>
        <v>0.51302139576000005</v>
      </c>
    </row>
    <row r="86" spans="1:13" x14ac:dyDescent="0.25">
      <c r="A86" s="4">
        <v>26.161000000000001</v>
      </c>
      <c r="B86" s="2" t="s">
        <v>19</v>
      </c>
      <c r="C86" s="6">
        <f t="shared" si="23"/>
        <v>0.80799999999999994</v>
      </c>
      <c r="D86" s="6">
        <f t="shared" si="4"/>
        <v>21.138088</v>
      </c>
      <c r="E86" s="2" t="s">
        <v>17</v>
      </c>
      <c r="F86" s="6">
        <f t="shared" si="36"/>
        <v>0.80900000000000005</v>
      </c>
      <c r="G86" s="6">
        <f t="shared" si="11"/>
        <v>17.100713192000001</v>
      </c>
      <c r="H86" s="6" t="s">
        <v>7</v>
      </c>
      <c r="I86" s="6">
        <f>9.7/100</f>
        <v>9.6999999999999989E-2</v>
      </c>
      <c r="J86" s="6">
        <f t="shared" si="37"/>
        <v>1.6587691796239998</v>
      </c>
      <c r="K86" s="2" t="s">
        <v>34</v>
      </c>
      <c r="L86" s="2">
        <f>16.8/100</f>
        <v>0.16800000000000001</v>
      </c>
      <c r="M86" s="2">
        <f t="shared" si="38"/>
        <v>2.8729198162560001</v>
      </c>
    </row>
    <row r="87" spans="1:13" x14ac:dyDescent="0.25">
      <c r="A87" s="4">
        <v>26.161000000000001</v>
      </c>
      <c r="B87" s="2" t="s">
        <v>19</v>
      </c>
      <c r="C87" s="6">
        <f t="shared" si="23"/>
        <v>0.80799999999999994</v>
      </c>
      <c r="D87" s="6">
        <f t="shared" si="4"/>
        <v>21.138088</v>
      </c>
      <c r="E87" s="2" t="s">
        <v>17</v>
      </c>
      <c r="F87" s="6">
        <f t="shared" si="36"/>
        <v>0.80900000000000005</v>
      </c>
      <c r="G87" s="6">
        <f t="shared" si="11"/>
        <v>17.100713192000001</v>
      </c>
      <c r="H87" s="6" t="s">
        <v>8</v>
      </c>
      <c r="I87" s="6">
        <f>55.5/100</f>
        <v>0.55500000000000005</v>
      </c>
      <c r="J87" s="6">
        <f t="shared" si="37"/>
        <v>9.4908958215600006</v>
      </c>
      <c r="K87" s="2" t="s">
        <v>35</v>
      </c>
      <c r="L87" s="2">
        <f>25.2/100</f>
        <v>0.252</v>
      </c>
      <c r="M87" s="2">
        <f t="shared" si="38"/>
        <v>4.3093797243839997</v>
      </c>
    </row>
    <row r="88" spans="1:13" x14ac:dyDescent="0.25">
      <c r="A88" s="4">
        <v>26.161000000000001</v>
      </c>
      <c r="B88" s="2" t="s">
        <v>19</v>
      </c>
      <c r="C88" s="6">
        <f t="shared" si="23"/>
        <v>0.80799999999999994</v>
      </c>
      <c r="D88" s="6">
        <f t="shared" si="4"/>
        <v>21.138088</v>
      </c>
      <c r="E88" s="2" t="s">
        <v>17</v>
      </c>
      <c r="F88" s="6">
        <f t="shared" si="36"/>
        <v>0.80900000000000005</v>
      </c>
      <c r="G88" s="6">
        <f t="shared" si="11"/>
        <v>17.100713192000001</v>
      </c>
      <c r="H88" s="6" t="s">
        <v>10</v>
      </c>
      <c r="I88" s="6">
        <f>9.2/100</f>
        <v>9.1999999999999998E-2</v>
      </c>
      <c r="J88" s="6">
        <f t="shared" si="37"/>
        <v>1.573265613664</v>
      </c>
      <c r="K88" s="2" t="s">
        <v>36</v>
      </c>
      <c r="L88" s="2">
        <f>29.7/100</f>
        <v>0.29699999999999999</v>
      </c>
      <c r="M88" s="2">
        <f>L87*G88</f>
        <v>4.3093797243839997</v>
      </c>
    </row>
    <row r="89" spans="1:13" x14ac:dyDescent="0.25">
      <c r="A89" s="4">
        <v>26.161000000000001</v>
      </c>
      <c r="B89" s="2" t="s">
        <v>19</v>
      </c>
      <c r="C89" s="6">
        <f t="shared" si="23"/>
        <v>0.80799999999999994</v>
      </c>
      <c r="D89" s="6">
        <f t="shared" si="4"/>
        <v>21.138088</v>
      </c>
      <c r="E89" s="2" t="s">
        <v>17</v>
      </c>
      <c r="F89" s="6">
        <f t="shared" si="36"/>
        <v>0.80900000000000005</v>
      </c>
      <c r="G89" s="6">
        <f t="shared" si="11"/>
        <v>17.100713192000001</v>
      </c>
      <c r="H89" s="6" t="s">
        <v>9</v>
      </c>
      <c r="I89" s="6">
        <f>7.8/100</f>
        <v>7.8E-2</v>
      </c>
      <c r="J89" s="6">
        <f t="shared" si="37"/>
        <v>1.333855628976</v>
      </c>
      <c r="K89" s="2" t="s">
        <v>37</v>
      </c>
      <c r="L89" s="2">
        <f>20.2/100</f>
        <v>0.20199999999999999</v>
      </c>
      <c r="M89" s="2">
        <f>L88*G89</f>
        <v>5.0789118180240003</v>
      </c>
    </row>
    <row r="90" spans="1:13" x14ac:dyDescent="0.25">
      <c r="A90" s="4">
        <v>26.161000000000001</v>
      </c>
      <c r="B90" s="2" t="s">
        <v>19</v>
      </c>
      <c r="C90" s="6">
        <f t="shared" si="23"/>
        <v>0.80799999999999994</v>
      </c>
      <c r="D90" s="6">
        <f t="shared" si="4"/>
        <v>21.138088</v>
      </c>
      <c r="E90" s="2" t="s">
        <v>17</v>
      </c>
      <c r="F90" s="6">
        <f t="shared" si="36"/>
        <v>0.80900000000000005</v>
      </c>
      <c r="G90" s="6">
        <f t="shared" si="11"/>
        <v>17.100713192000001</v>
      </c>
      <c r="H90" s="6" t="s">
        <v>55</v>
      </c>
      <c r="I90" s="6">
        <f>2.3/100</f>
        <v>2.3E-2</v>
      </c>
      <c r="J90" s="6"/>
      <c r="K90" s="2" t="s">
        <v>38</v>
      </c>
      <c r="L90" s="2">
        <f>3/100</f>
        <v>0.03</v>
      </c>
      <c r="M90" s="2">
        <f>L89*G90</f>
        <v>3.4543440647839998</v>
      </c>
    </row>
    <row r="91" spans="1:13" x14ac:dyDescent="0.25">
      <c r="A91" s="4">
        <v>26.161000000000001</v>
      </c>
      <c r="B91" s="2" t="s">
        <v>19</v>
      </c>
      <c r="C91" s="6">
        <f t="shared" si="23"/>
        <v>0.80799999999999994</v>
      </c>
      <c r="D91" s="6">
        <f t="shared" si="4"/>
        <v>21.138088</v>
      </c>
      <c r="E91" s="2" t="s">
        <v>17</v>
      </c>
      <c r="F91" s="6">
        <f t="shared" si="36"/>
        <v>0.80900000000000005</v>
      </c>
      <c r="G91" s="6">
        <f t="shared" si="11"/>
        <v>17.100713192000001</v>
      </c>
      <c r="H91" s="6"/>
      <c r="I91" s="6"/>
      <c r="J91" s="6"/>
      <c r="K91" s="2" t="s">
        <v>39</v>
      </c>
      <c r="L91" s="2">
        <f>2/100</f>
        <v>0.02</v>
      </c>
      <c r="M91" s="2">
        <f>L90*G91</f>
        <v>0.51302139576000005</v>
      </c>
    </row>
    <row r="92" spans="1:13" x14ac:dyDescent="0.25">
      <c r="A92" s="4">
        <v>26.161000000000001</v>
      </c>
      <c r="B92" s="2" t="s">
        <v>19</v>
      </c>
      <c r="C92" s="6">
        <f t="shared" si="23"/>
        <v>0.80799999999999994</v>
      </c>
      <c r="D92" s="6">
        <f t="shared" si="4"/>
        <v>21.138088</v>
      </c>
      <c r="E92" s="2" t="s">
        <v>49</v>
      </c>
      <c r="F92" s="2">
        <f>85.1/100</f>
        <v>0.85099999999999998</v>
      </c>
      <c r="G92" s="6">
        <f t="shared" si="11"/>
        <v>17.988512887999999</v>
      </c>
      <c r="H92" s="6" t="s">
        <v>11</v>
      </c>
      <c r="I92" s="6">
        <f>24.5/100</f>
        <v>0.245</v>
      </c>
      <c r="J92" s="6">
        <f>I92*G92</f>
        <v>4.4071856575599995</v>
      </c>
      <c r="K92" s="2" t="s">
        <v>32</v>
      </c>
      <c r="L92" s="2">
        <f>8.1/100</f>
        <v>8.1000000000000003E-2</v>
      </c>
      <c r="M92" s="2">
        <f>L92*G92</f>
        <v>1.4570695439279999</v>
      </c>
    </row>
    <row r="93" spans="1:13" x14ac:dyDescent="0.25">
      <c r="A93" s="4">
        <v>26.161000000000001</v>
      </c>
      <c r="B93" s="2" t="s">
        <v>19</v>
      </c>
      <c r="C93" s="6">
        <f t="shared" si="23"/>
        <v>0.80799999999999994</v>
      </c>
      <c r="D93" s="6">
        <f t="shared" ref="D93:D99" si="39">C93*A93</f>
        <v>21.138088</v>
      </c>
      <c r="E93" s="2" t="s">
        <v>18</v>
      </c>
      <c r="F93" s="2">
        <f t="shared" ref="F93:F99" si="40">85.1/100</f>
        <v>0.85099999999999998</v>
      </c>
      <c r="G93" s="6">
        <f t="shared" si="11"/>
        <v>17.988512887999999</v>
      </c>
      <c r="H93" s="6" t="s">
        <v>12</v>
      </c>
      <c r="I93" s="6">
        <f>8.4/100</f>
        <v>8.4000000000000005E-2</v>
      </c>
      <c r="J93" s="6">
        <f t="shared" ref="J93:J97" si="41">I93*G93</f>
        <v>1.511035082592</v>
      </c>
      <c r="K93" s="2" t="s">
        <v>33</v>
      </c>
      <c r="L93" s="2">
        <f>12.3/100</f>
        <v>0.12300000000000001</v>
      </c>
      <c r="M93" s="2">
        <f t="shared" ref="M93:M99" si="42">L93*G93</f>
        <v>2.2125870852239999</v>
      </c>
    </row>
    <row r="94" spans="1:13" x14ac:dyDescent="0.25">
      <c r="A94" s="4">
        <v>26.161000000000001</v>
      </c>
      <c r="B94" s="2" t="s">
        <v>19</v>
      </c>
      <c r="C94" s="6">
        <f t="shared" si="23"/>
        <v>0.80799999999999994</v>
      </c>
      <c r="D94" s="6">
        <f t="shared" si="39"/>
        <v>21.138088</v>
      </c>
      <c r="E94" s="2" t="s">
        <v>18</v>
      </c>
      <c r="F94" s="2">
        <f t="shared" si="40"/>
        <v>0.85099999999999998</v>
      </c>
      <c r="G94" s="6">
        <f t="shared" si="11"/>
        <v>17.988512887999999</v>
      </c>
      <c r="H94" s="6" t="s">
        <v>7</v>
      </c>
      <c r="I94" s="6">
        <f>16.2/100</f>
        <v>0.16200000000000001</v>
      </c>
      <c r="J94" s="6">
        <f t="shared" si="41"/>
        <v>2.9141390878559998</v>
      </c>
      <c r="K94" s="2" t="s">
        <v>34</v>
      </c>
      <c r="L94" s="2">
        <f>14.5/100</f>
        <v>0.14499999999999999</v>
      </c>
      <c r="M94" s="2">
        <f t="shared" si="42"/>
        <v>2.6083343687599996</v>
      </c>
    </row>
    <row r="95" spans="1:13" x14ac:dyDescent="0.25">
      <c r="A95" s="4">
        <v>26.161000000000001</v>
      </c>
      <c r="B95" s="2" t="s">
        <v>19</v>
      </c>
      <c r="C95" s="6">
        <f t="shared" si="23"/>
        <v>0.80799999999999994</v>
      </c>
      <c r="D95" s="6">
        <f t="shared" si="39"/>
        <v>21.138088</v>
      </c>
      <c r="E95" s="2" t="s">
        <v>18</v>
      </c>
      <c r="F95" s="2">
        <f t="shared" si="40"/>
        <v>0.85099999999999998</v>
      </c>
      <c r="G95" s="6">
        <f t="shared" si="11"/>
        <v>17.988512887999999</v>
      </c>
      <c r="H95" s="6" t="s">
        <v>8</v>
      </c>
      <c r="I95" s="6">
        <f>34.8/100</f>
        <v>0.34799999999999998</v>
      </c>
      <c r="J95" s="6">
        <f t="shared" si="41"/>
        <v>6.2600024850239988</v>
      </c>
      <c r="K95" s="2" t="s">
        <v>35</v>
      </c>
      <c r="L95" s="2">
        <f>23.1/100</f>
        <v>0.23100000000000001</v>
      </c>
      <c r="M95" s="2">
        <f t="shared" si="42"/>
        <v>4.155346477128</v>
      </c>
    </row>
    <row r="96" spans="1:13" x14ac:dyDescent="0.25">
      <c r="A96" s="4">
        <v>26.161000000000001</v>
      </c>
      <c r="B96" s="2" t="s">
        <v>19</v>
      </c>
      <c r="C96" s="6">
        <f t="shared" si="23"/>
        <v>0.80799999999999994</v>
      </c>
      <c r="D96" s="6">
        <f t="shared" si="39"/>
        <v>21.138088</v>
      </c>
      <c r="E96" s="2" t="s">
        <v>18</v>
      </c>
      <c r="F96" s="2">
        <f t="shared" si="40"/>
        <v>0.85099999999999998</v>
      </c>
      <c r="G96" s="6">
        <f t="shared" si="11"/>
        <v>17.988512887999999</v>
      </c>
      <c r="H96" s="6" t="s">
        <v>10</v>
      </c>
      <c r="I96" s="6">
        <f>3/100</f>
        <v>0.03</v>
      </c>
      <c r="J96" s="6">
        <f t="shared" si="41"/>
        <v>0.5396553866399999</v>
      </c>
      <c r="K96" s="2" t="s">
        <v>36</v>
      </c>
      <c r="L96" s="2">
        <f>19.6/100</f>
        <v>0.19600000000000001</v>
      </c>
      <c r="M96" s="2">
        <f t="shared" si="42"/>
        <v>3.5257485260479999</v>
      </c>
    </row>
    <row r="97" spans="1:13" x14ac:dyDescent="0.25">
      <c r="A97" s="4">
        <v>26.161000000000001</v>
      </c>
      <c r="B97" s="2" t="s">
        <v>19</v>
      </c>
      <c r="C97" s="6">
        <f t="shared" si="23"/>
        <v>0.80799999999999994</v>
      </c>
      <c r="D97" s="6">
        <f t="shared" si="39"/>
        <v>21.138088</v>
      </c>
      <c r="E97" s="2" t="s">
        <v>18</v>
      </c>
      <c r="F97" s="2">
        <f t="shared" si="40"/>
        <v>0.85099999999999998</v>
      </c>
      <c r="G97" s="6">
        <f t="shared" si="11"/>
        <v>17.988512887999999</v>
      </c>
      <c r="H97" s="6" t="s">
        <v>9</v>
      </c>
      <c r="I97" s="6">
        <f>8.7/100</f>
        <v>8.6999999999999994E-2</v>
      </c>
      <c r="J97" s="6">
        <f t="shared" si="41"/>
        <v>1.5650006212559997</v>
      </c>
      <c r="K97" s="2" t="s">
        <v>37</v>
      </c>
      <c r="L97" s="2">
        <f>15.9/100</f>
        <v>0.159</v>
      </c>
      <c r="M97" s="2">
        <f t="shared" si="42"/>
        <v>2.860173549192</v>
      </c>
    </row>
    <row r="98" spans="1:13" x14ac:dyDescent="0.25">
      <c r="A98" s="4">
        <v>26.161000000000001</v>
      </c>
      <c r="B98" s="2" t="s">
        <v>19</v>
      </c>
      <c r="C98" s="6">
        <f t="shared" si="23"/>
        <v>0.80799999999999994</v>
      </c>
      <c r="D98" s="6">
        <f t="shared" si="39"/>
        <v>21.138088</v>
      </c>
      <c r="E98" s="2" t="s">
        <v>18</v>
      </c>
      <c r="F98" s="2">
        <f t="shared" si="40"/>
        <v>0.85099999999999998</v>
      </c>
      <c r="G98" s="6">
        <f t="shared" si="11"/>
        <v>17.988512887999999</v>
      </c>
      <c r="H98" s="6" t="s">
        <v>55</v>
      </c>
      <c r="I98" s="2">
        <f>2/100</f>
        <v>0.02</v>
      </c>
      <c r="J98" s="2"/>
      <c r="K98" s="2" t="s">
        <v>38</v>
      </c>
      <c r="L98" s="2">
        <f>3.7/100</f>
        <v>3.7000000000000005E-2</v>
      </c>
      <c r="M98" s="2">
        <f t="shared" si="42"/>
        <v>0.66557497685600009</v>
      </c>
    </row>
    <row r="99" spans="1:13" x14ac:dyDescent="0.25">
      <c r="A99" s="4">
        <v>26.161000000000001</v>
      </c>
      <c r="B99" s="2" t="s">
        <v>19</v>
      </c>
      <c r="C99" s="6">
        <f t="shared" si="23"/>
        <v>0.80799999999999994</v>
      </c>
      <c r="D99" s="6">
        <f t="shared" si="39"/>
        <v>21.138088</v>
      </c>
      <c r="E99" s="2" t="s">
        <v>18</v>
      </c>
      <c r="F99" s="2">
        <f t="shared" si="40"/>
        <v>0.85099999999999998</v>
      </c>
      <c r="G99" s="6">
        <f t="shared" ref="G99" si="43">F99*D99</f>
        <v>17.988512887999999</v>
      </c>
      <c r="H99" s="2"/>
      <c r="I99" s="2"/>
      <c r="J99" s="2"/>
      <c r="K99" s="2" t="s">
        <v>39</v>
      </c>
      <c r="L99" s="2">
        <f>2.8/100</f>
        <v>2.7999999999999997E-2</v>
      </c>
      <c r="M99" s="2">
        <f t="shared" si="42"/>
        <v>0.50367836086399986</v>
      </c>
    </row>
  </sheetData>
  <mergeCells count="1">
    <mergeCell ref="E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9.88671875" customWidth="1"/>
    <col min="6" max="6" width="26.5546875" customWidth="1"/>
    <col min="8" max="8" width="23.109375" customWidth="1"/>
    <col min="9" max="9" width="18" customWidth="1"/>
    <col min="11" max="11" width="18.33203125" customWidth="1"/>
  </cols>
  <sheetData>
    <row r="2" spans="1:13" x14ac:dyDescent="0.25">
      <c r="A2" s="3"/>
      <c r="B2" s="3"/>
      <c r="C2" s="3"/>
      <c r="D2" s="3"/>
      <c r="E2" s="21" t="s">
        <v>81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26.295000000000002</v>
      </c>
      <c r="B4" s="4" t="s">
        <v>2</v>
      </c>
      <c r="C4" s="5">
        <f>16.9/100</f>
        <v>0.16899999999999998</v>
      </c>
      <c r="D4" s="6">
        <f>C4*A4</f>
        <v>4.4438550000000001</v>
      </c>
      <c r="E4" s="6" t="s">
        <v>14</v>
      </c>
      <c r="F4" s="5">
        <f>20.2/100</f>
        <v>0.20199999999999999</v>
      </c>
      <c r="G4" s="5">
        <f>D4*F4</f>
        <v>0.89765870999999997</v>
      </c>
      <c r="H4" s="6" t="s">
        <v>11</v>
      </c>
      <c r="I4" s="6">
        <f>9.2/100</f>
        <v>9.1999999999999998E-2</v>
      </c>
      <c r="J4" s="7">
        <f>I4*G4</f>
        <v>8.2584601319999992E-2</v>
      </c>
      <c r="K4" s="2" t="s">
        <v>32</v>
      </c>
      <c r="L4" s="2">
        <f>1/100</f>
        <v>0.01</v>
      </c>
      <c r="M4" s="2">
        <f>L4*G4</f>
        <v>8.9765871000000007E-3</v>
      </c>
    </row>
    <row r="5" spans="1:13" x14ac:dyDescent="0.25">
      <c r="A5" s="4">
        <v>26.295000000000002</v>
      </c>
      <c r="B5" s="4" t="s">
        <v>2</v>
      </c>
      <c r="C5" s="5">
        <f t="shared" ref="C5:C51" si="0">16.9/100</f>
        <v>0.16899999999999998</v>
      </c>
      <c r="D5" s="6">
        <f>C5*A5</f>
        <v>4.4438550000000001</v>
      </c>
      <c r="E5" s="6" t="s">
        <v>43</v>
      </c>
      <c r="F5" s="5">
        <f t="shared" ref="F5:F11" si="1">20.2/100</f>
        <v>0.20199999999999999</v>
      </c>
      <c r="G5" s="5">
        <f>D5*F5</f>
        <v>0.89765870999999997</v>
      </c>
      <c r="H5" s="6" t="s">
        <v>12</v>
      </c>
      <c r="I5" s="6">
        <f>2.6/100</f>
        <v>2.6000000000000002E-2</v>
      </c>
      <c r="J5" s="8">
        <f t="shared" ref="J5:J10" si="2">G5*I5</f>
        <v>2.3339126460000002E-2</v>
      </c>
      <c r="K5" s="2" t="s">
        <v>33</v>
      </c>
      <c r="L5" s="2">
        <f>9.4/100</f>
        <v>9.4E-2</v>
      </c>
      <c r="M5" s="2">
        <f t="shared" ref="M5:M11" si="3">L5*G5</f>
        <v>8.4379918740000004E-2</v>
      </c>
    </row>
    <row r="6" spans="1:13" x14ac:dyDescent="0.25">
      <c r="A6" s="4">
        <v>26.295000000000002</v>
      </c>
      <c r="B6" s="4" t="s">
        <v>2</v>
      </c>
      <c r="C6" s="5">
        <f t="shared" si="0"/>
        <v>0.16899999999999998</v>
      </c>
      <c r="D6" s="6">
        <f t="shared" ref="D6:D92" si="4">C6*A6</f>
        <v>4.4438550000000001</v>
      </c>
      <c r="E6" s="6" t="s">
        <v>14</v>
      </c>
      <c r="F6" s="5">
        <f t="shared" si="1"/>
        <v>0.20199999999999999</v>
      </c>
      <c r="G6" s="5">
        <f t="shared" ref="G6:G11" si="5">D6*F6</f>
        <v>0.89765870999999997</v>
      </c>
      <c r="H6" s="6" t="s">
        <v>7</v>
      </c>
      <c r="I6" s="14">
        <f>4.3/100</f>
        <v>4.2999999999999997E-2</v>
      </c>
      <c r="J6" s="8">
        <f t="shared" si="2"/>
        <v>3.8599324529999993E-2</v>
      </c>
      <c r="K6" s="2" t="s">
        <v>34</v>
      </c>
      <c r="L6" s="2">
        <f>11.6/100</f>
        <v>0.11599999999999999</v>
      </c>
      <c r="M6" s="2">
        <f t="shared" si="3"/>
        <v>0.10412841035999999</v>
      </c>
    </row>
    <row r="7" spans="1:13" x14ac:dyDescent="0.25">
      <c r="A7" s="4">
        <v>26.295000000000002</v>
      </c>
      <c r="B7" s="4" t="s">
        <v>2</v>
      </c>
      <c r="C7" s="5">
        <f t="shared" si="0"/>
        <v>0.16899999999999998</v>
      </c>
      <c r="D7" s="6">
        <f t="shared" si="4"/>
        <v>4.4438550000000001</v>
      </c>
      <c r="E7" s="6" t="s">
        <v>14</v>
      </c>
      <c r="F7" s="5">
        <f t="shared" si="1"/>
        <v>0.20199999999999999</v>
      </c>
      <c r="G7" s="5">
        <f t="shared" si="5"/>
        <v>0.89765870999999997</v>
      </c>
      <c r="H7" s="6" t="s">
        <v>8</v>
      </c>
      <c r="I7" s="6">
        <f>31/100</f>
        <v>0.31</v>
      </c>
      <c r="J7" s="8">
        <f t="shared" si="2"/>
        <v>0.27827420009999998</v>
      </c>
      <c r="K7" s="2" t="s">
        <v>35</v>
      </c>
      <c r="L7" s="2">
        <f>25.3/100</f>
        <v>0.253</v>
      </c>
      <c r="M7" s="2">
        <f t="shared" si="3"/>
        <v>0.22710765362999999</v>
      </c>
    </row>
    <row r="8" spans="1:13" x14ac:dyDescent="0.25">
      <c r="A8" s="4">
        <v>26.295000000000002</v>
      </c>
      <c r="B8" s="4" t="s">
        <v>2</v>
      </c>
      <c r="C8" s="5">
        <f t="shared" si="0"/>
        <v>0.16899999999999998</v>
      </c>
      <c r="D8" s="6">
        <f t="shared" si="4"/>
        <v>4.4438550000000001</v>
      </c>
      <c r="E8" s="6" t="s">
        <v>14</v>
      </c>
      <c r="F8" s="5">
        <f t="shared" si="1"/>
        <v>0.20199999999999999</v>
      </c>
      <c r="G8" s="5">
        <f t="shared" si="5"/>
        <v>0.89765870999999997</v>
      </c>
      <c r="H8" s="6" t="s">
        <v>10</v>
      </c>
      <c r="I8" s="6">
        <f>5.5/100</f>
        <v>5.5E-2</v>
      </c>
      <c r="J8" s="8">
        <f t="shared" si="2"/>
        <v>4.937122905E-2</v>
      </c>
      <c r="K8" s="2" t="s">
        <v>36</v>
      </c>
      <c r="L8" s="2">
        <f>24.3/100</f>
        <v>0.24299999999999999</v>
      </c>
      <c r="M8" s="2">
        <f t="shared" si="3"/>
        <v>0.21813106653</v>
      </c>
    </row>
    <row r="9" spans="1:13" x14ac:dyDescent="0.25">
      <c r="A9" s="4">
        <v>26.295000000000002</v>
      </c>
      <c r="B9" s="4" t="s">
        <v>2</v>
      </c>
      <c r="C9" s="5">
        <f t="shared" si="0"/>
        <v>0.16899999999999998</v>
      </c>
      <c r="D9" s="6">
        <f>C9*A9</f>
        <v>4.4438550000000001</v>
      </c>
      <c r="E9" s="6" t="s">
        <v>14</v>
      </c>
      <c r="F9" s="5">
        <f t="shared" si="1"/>
        <v>0.20199999999999999</v>
      </c>
      <c r="G9" s="5">
        <f t="shared" si="5"/>
        <v>0.89765870999999997</v>
      </c>
      <c r="H9" s="6" t="s">
        <v>9</v>
      </c>
      <c r="I9" s="6">
        <f>43.1/100</f>
        <v>0.43099999999999999</v>
      </c>
      <c r="J9" s="8">
        <f t="shared" si="2"/>
        <v>0.38689090400999998</v>
      </c>
      <c r="K9" s="2" t="s">
        <v>37</v>
      </c>
      <c r="L9" s="2">
        <f>26.8/100</f>
        <v>0.26800000000000002</v>
      </c>
      <c r="M9" s="2">
        <f t="shared" si="3"/>
        <v>0.24057253428</v>
      </c>
    </row>
    <row r="10" spans="1:13" x14ac:dyDescent="0.25">
      <c r="A10" s="4">
        <v>26.295000000000002</v>
      </c>
      <c r="B10" s="4" t="s">
        <v>2</v>
      </c>
      <c r="C10" s="5">
        <f t="shared" si="0"/>
        <v>0.16899999999999998</v>
      </c>
      <c r="D10" s="6">
        <f t="shared" si="4"/>
        <v>4.4438550000000001</v>
      </c>
      <c r="E10" s="6" t="s">
        <v>14</v>
      </c>
      <c r="F10" s="5">
        <f t="shared" si="1"/>
        <v>0.20199999999999999</v>
      </c>
      <c r="G10" s="5">
        <f t="shared" si="5"/>
        <v>0.89765870999999997</v>
      </c>
      <c r="H10" s="6" t="s">
        <v>55</v>
      </c>
      <c r="I10" s="6">
        <f>4.4/100</f>
        <v>4.4000000000000004E-2</v>
      </c>
      <c r="J10" s="8">
        <f t="shared" si="2"/>
        <v>3.9496983240000005E-2</v>
      </c>
      <c r="K10" s="2" t="s">
        <v>38</v>
      </c>
      <c r="L10" s="2">
        <f>1.1/100</f>
        <v>1.1000000000000001E-2</v>
      </c>
      <c r="M10" s="2">
        <f t="shared" si="3"/>
        <v>9.8742458100000013E-3</v>
      </c>
    </row>
    <row r="11" spans="1:13" x14ac:dyDescent="0.25">
      <c r="A11" s="4">
        <v>26.295000000000002</v>
      </c>
      <c r="B11" s="4" t="s">
        <v>2</v>
      </c>
      <c r="C11" s="5">
        <f t="shared" si="0"/>
        <v>0.16899999999999998</v>
      </c>
      <c r="D11" s="6">
        <f t="shared" si="4"/>
        <v>4.4438550000000001</v>
      </c>
      <c r="E11" s="6" t="s">
        <v>14</v>
      </c>
      <c r="F11" s="5">
        <f t="shared" si="1"/>
        <v>0.20199999999999999</v>
      </c>
      <c r="G11" s="5">
        <f t="shared" si="5"/>
        <v>0.89765870999999997</v>
      </c>
      <c r="H11" s="6"/>
      <c r="I11" s="6"/>
      <c r="J11" s="8"/>
      <c r="K11" s="2" t="s">
        <v>39</v>
      </c>
      <c r="L11" s="2">
        <f>0.4/100</f>
        <v>4.0000000000000001E-3</v>
      </c>
      <c r="M11" s="2">
        <f t="shared" si="3"/>
        <v>3.5906348399999998E-3</v>
      </c>
    </row>
    <row r="12" spans="1:13" x14ac:dyDescent="0.25">
      <c r="A12" s="4">
        <v>26.295000000000002</v>
      </c>
      <c r="B12" s="4" t="s">
        <v>2</v>
      </c>
      <c r="C12" s="5">
        <f t="shared" si="0"/>
        <v>0.16899999999999998</v>
      </c>
      <c r="D12" s="6">
        <f t="shared" si="4"/>
        <v>4.4438550000000001</v>
      </c>
      <c r="E12" s="6" t="s">
        <v>44</v>
      </c>
      <c r="F12" s="8">
        <f>19.7/100</f>
        <v>0.19699999999999998</v>
      </c>
      <c r="G12" s="6">
        <f>F12*D12</f>
        <v>0.87543943499999999</v>
      </c>
      <c r="H12" s="6" t="s">
        <v>11</v>
      </c>
      <c r="I12" s="6">
        <f>1.1/100</f>
        <v>1.1000000000000001E-2</v>
      </c>
      <c r="J12" s="8">
        <f>I12*G12</f>
        <v>9.6298337850000016E-3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26.295000000000002</v>
      </c>
      <c r="B13" s="4" t="s">
        <v>2</v>
      </c>
      <c r="C13" s="5">
        <f t="shared" si="0"/>
        <v>0.16899999999999998</v>
      </c>
      <c r="D13" s="6">
        <f t="shared" si="4"/>
        <v>4.4438550000000001</v>
      </c>
      <c r="E13" s="6" t="s">
        <v>15</v>
      </c>
      <c r="F13" s="8">
        <f t="shared" ref="F13:F19" si="6">19.7/100</f>
        <v>0.19699999999999998</v>
      </c>
      <c r="G13" s="6">
        <f t="shared" ref="G13:G19" si="7">F13*D13</f>
        <v>0.87543943499999999</v>
      </c>
      <c r="H13" s="6" t="s">
        <v>12</v>
      </c>
      <c r="I13" s="6">
        <f>1.4/100</f>
        <v>1.3999999999999999E-2</v>
      </c>
      <c r="J13" s="8">
        <f t="shared" ref="J13:J17" si="8">I13*G13</f>
        <v>1.2256152089999998E-2</v>
      </c>
      <c r="K13" s="2" t="s">
        <v>33</v>
      </c>
      <c r="L13" s="2">
        <f>0/100</f>
        <v>0</v>
      </c>
      <c r="M13" s="2">
        <f t="shared" ref="M13:M19" si="9">L13*G13</f>
        <v>0</v>
      </c>
    </row>
    <row r="14" spans="1:13" x14ac:dyDescent="0.25">
      <c r="A14" s="4">
        <v>26.295000000000002</v>
      </c>
      <c r="B14" s="4" t="s">
        <v>2</v>
      </c>
      <c r="C14" s="5">
        <f t="shared" si="0"/>
        <v>0.16899999999999998</v>
      </c>
      <c r="D14" s="6">
        <f t="shared" si="4"/>
        <v>4.4438550000000001</v>
      </c>
      <c r="E14" s="6" t="s">
        <v>15</v>
      </c>
      <c r="F14" s="8">
        <f t="shared" si="6"/>
        <v>0.19699999999999998</v>
      </c>
      <c r="G14" s="6">
        <f t="shared" si="7"/>
        <v>0.87543943499999999</v>
      </c>
      <c r="H14" s="6" t="s">
        <v>7</v>
      </c>
      <c r="I14" s="6">
        <f>2.9/100</f>
        <v>2.8999999999999998E-2</v>
      </c>
      <c r="J14" s="8">
        <f t="shared" si="8"/>
        <v>2.5387743614999996E-2</v>
      </c>
      <c r="K14" s="2" t="s">
        <v>34</v>
      </c>
      <c r="L14" s="2">
        <f>23.4/100</f>
        <v>0.23399999999999999</v>
      </c>
      <c r="M14" s="2">
        <f t="shared" si="9"/>
        <v>0.20485282779</v>
      </c>
    </row>
    <row r="15" spans="1:13" x14ac:dyDescent="0.25">
      <c r="A15" s="4">
        <v>26.295000000000002</v>
      </c>
      <c r="B15" s="4" t="s">
        <v>2</v>
      </c>
      <c r="C15" s="5">
        <f t="shared" si="0"/>
        <v>0.16899999999999998</v>
      </c>
      <c r="D15" s="6">
        <f t="shared" si="4"/>
        <v>4.4438550000000001</v>
      </c>
      <c r="E15" s="6" t="s">
        <v>15</v>
      </c>
      <c r="F15" s="8">
        <f t="shared" si="6"/>
        <v>0.19699999999999998</v>
      </c>
      <c r="G15" s="6">
        <f t="shared" si="7"/>
        <v>0.87543943499999999</v>
      </c>
      <c r="H15" s="6" t="s">
        <v>8</v>
      </c>
      <c r="I15" s="6">
        <f>34.8/100</f>
        <v>0.34799999999999998</v>
      </c>
      <c r="J15" s="8">
        <f>I15*G15</f>
        <v>0.30465292338</v>
      </c>
      <c r="K15" s="2" t="s">
        <v>35</v>
      </c>
      <c r="L15" s="2">
        <f>31.7/100</f>
        <v>0.317</v>
      </c>
      <c r="M15" s="2">
        <f t="shared" si="9"/>
        <v>0.27751430089500001</v>
      </c>
    </row>
    <row r="16" spans="1:13" x14ac:dyDescent="0.25">
      <c r="A16" s="4">
        <v>26.295000000000002</v>
      </c>
      <c r="B16" s="4" t="s">
        <v>2</v>
      </c>
      <c r="C16" s="5">
        <f t="shared" si="0"/>
        <v>0.16899999999999998</v>
      </c>
      <c r="D16" s="6">
        <f t="shared" si="4"/>
        <v>4.4438550000000001</v>
      </c>
      <c r="E16" s="6" t="s">
        <v>15</v>
      </c>
      <c r="F16" s="8">
        <f t="shared" si="6"/>
        <v>0.19699999999999998</v>
      </c>
      <c r="G16" s="6">
        <f t="shared" si="7"/>
        <v>0.87543943499999999</v>
      </c>
      <c r="H16" s="6" t="s">
        <v>10</v>
      </c>
      <c r="I16" s="6">
        <f>3.4/100</f>
        <v>3.4000000000000002E-2</v>
      </c>
      <c r="J16" s="8">
        <f t="shared" si="8"/>
        <v>2.9764940790000003E-2</v>
      </c>
      <c r="K16" s="2" t="s">
        <v>36</v>
      </c>
      <c r="L16" s="2">
        <f>24.4/100</f>
        <v>0.24399999999999999</v>
      </c>
      <c r="M16" s="2">
        <f t="shared" si="9"/>
        <v>0.21360722214</v>
      </c>
    </row>
    <row r="17" spans="1:13" x14ac:dyDescent="0.25">
      <c r="A17" s="4">
        <v>26.295000000000002</v>
      </c>
      <c r="B17" s="4" t="s">
        <v>2</v>
      </c>
      <c r="C17" s="5">
        <f t="shared" si="0"/>
        <v>0.16899999999999998</v>
      </c>
      <c r="D17" s="6">
        <f t="shared" si="4"/>
        <v>4.4438550000000001</v>
      </c>
      <c r="E17" s="6" t="s">
        <v>15</v>
      </c>
      <c r="F17" s="8">
        <f t="shared" si="6"/>
        <v>0.19699999999999998</v>
      </c>
      <c r="G17" s="6">
        <f t="shared" si="7"/>
        <v>0.87543943499999999</v>
      </c>
      <c r="H17" s="6" t="s">
        <v>9</v>
      </c>
      <c r="I17" s="6">
        <f>56.3/100</f>
        <v>0.56299999999999994</v>
      </c>
      <c r="J17" s="8">
        <f t="shared" si="8"/>
        <v>0.49287240190499992</v>
      </c>
      <c r="K17" s="2" t="s">
        <v>37</v>
      </c>
      <c r="L17" s="2">
        <f>20.5/100</f>
        <v>0.20499999999999999</v>
      </c>
      <c r="M17" s="2">
        <f t="shared" si="9"/>
        <v>0.17946508417499998</v>
      </c>
    </row>
    <row r="18" spans="1:13" x14ac:dyDescent="0.25">
      <c r="A18" s="4">
        <v>26.295000000000002</v>
      </c>
      <c r="B18" s="4" t="s">
        <v>2</v>
      </c>
      <c r="C18" s="5">
        <f t="shared" si="0"/>
        <v>0.16899999999999998</v>
      </c>
      <c r="D18" s="6">
        <f t="shared" si="4"/>
        <v>4.4438550000000001</v>
      </c>
      <c r="E18" s="6" t="s">
        <v>15</v>
      </c>
      <c r="F18" s="8">
        <f t="shared" si="6"/>
        <v>0.19699999999999998</v>
      </c>
      <c r="G18" s="6">
        <f t="shared" si="7"/>
        <v>0.87543943499999999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26.295000000000002</v>
      </c>
      <c r="B19" s="4" t="s">
        <v>2</v>
      </c>
      <c r="C19" s="5">
        <f t="shared" si="0"/>
        <v>0.16899999999999998</v>
      </c>
      <c r="D19" s="6">
        <f t="shared" si="4"/>
        <v>4.4438550000000001</v>
      </c>
      <c r="E19" s="6" t="s">
        <v>15</v>
      </c>
      <c r="F19" s="8">
        <f t="shared" si="6"/>
        <v>0.19699999999999998</v>
      </c>
      <c r="G19" s="6">
        <f t="shared" si="7"/>
        <v>0.87543943499999999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26.295000000000002</v>
      </c>
      <c r="B20" s="4" t="s">
        <v>2</v>
      </c>
      <c r="C20" s="5">
        <f t="shared" si="0"/>
        <v>0.16899999999999998</v>
      </c>
      <c r="D20" s="6">
        <f t="shared" si="4"/>
        <v>4.4438550000000001</v>
      </c>
      <c r="E20" s="6" t="s">
        <v>45</v>
      </c>
      <c r="F20" s="6">
        <f>17.5/100</f>
        <v>0.17499999999999999</v>
      </c>
      <c r="G20" s="6">
        <f>F20*D20</f>
        <v>0.77767462499999995</v>
      </c>
      <c r="H20" s="6" t="s">
        <v>11</v>
      </c>
      <c r="I20" s="6">
        <f>9.5/100</f>
        <v>9.5000000000000001E-2</v>
      </c>
      <c r="J20" s="6">
        <f>I20*G20</f>
        <v>7.3879089374999998E-2</v>
      </c>
      <c r="K20" s="2" t="s">
        <v>32</v>
      </c>
      <c r="L20" s="2">
        <f>1.8/100</f>
        <v>1.8000000000000002E-2</v>
      </c>
      <c r="M20" s="2">
        <f>L20*G20</f>
        <v>1.3998143250000001E-2</v>
      </c>
    </row>
    <row r="21" spans="1:13" x14ac:dyDescent="0.25">
      <c r="A21" s="4">
        <v>26.295000000000002</v>
      </c>
      <c r="B21" s="4" t="s">
        <v>2</v>
      </c>
      <c r="C21" s="5">
        <f t="shared" si="0"/>
        <v>0.16899999999999998</v>
      </c>
      <c r="D21" s="6">
        <f t="shared" si="4"/>
        <v>4.4438550000000001</v>
      </c>
      <c r="E21" s="6" t="s">
        <v>16</v>
      </c>
      <c r="F21" s="6">
        <f t="shared" ref="F21:F27" si="10">17.5/100</f>
        <v>0.17499999999999999</v>
      </c>
      <c r="G21" s="6">
        <f t="shared" ref="G21:G98" si="11">F21*D21</f>
        <v>0.77767462499999995</v>
      </c>
      <c r="H21" s="6" t="s">
        <v>12</v>
      </c>
      <c r="I21" s="6">
        <f>0.7/100</f>
        <v>6.9999999999999993E-3</v>
      </c>
      <c r="J21" s="6">
        <f t="shared" ref="J21:J26" si="12">I21*G21</f>
        <v>5.4437223749999987E-3</v>
      </c>
      <c r="K21" s="2" t="s">
        <v>33</v>
      </c>
      <c r="L21" s="2">
        <f>8.5/100</f>
        <v>8.5000000000000006E-2</v>
      </c>
      <c r="M21" s="2">
        <f t="shared" ref="M21:M27" si="13">L21*G21</f>
        <v>6.6102343125000004E-2</v>
      </c>
    </row>
    <row r="22" spans="1:13" x14ac:dyDescent="0.25">
      <c r="A22" s="4">
        <v>26.295000000000002</v>
      </c>
      <c r="B22" s="4" t="s">
        <v>2</v>
      </c>
      <c r="C22" s="5">
        <f t="shared" si="0"/>
        <v>0.16899999999999998</v>
      </c>
      <c r="D22" s="6">
        <f t="shared" si="4"/>
        <v>4.4438550000000001</v>
      </c>
      <c r="E22" s="6" t="s">
        <v>16</v>
      </c>
      <c r="F22" s="6">
        <f t="shared" si="10"/>
        <v>0.17499999999999999</v>
      </c>
      <c r="G22" s="6">
        <f t="shared" si="11"/>
        <v>0.77767462499999995</v>
      </c>
      <c r="H22" s="6" t="s">
        <v>7</v>
      </c>
      <c r="I22" s="6">
        <f>5.1/100</f>
        <v>5.0999999999999997E-2</v>
      </c>
      <c r="J22" s="6">
        <f t="shared" si="12"/>
        <v>3.9661405874999993E-2</v>
      </c>
      <c r="K22" s="2" t="s">
        <v>34</v>
      </c>
      <c r="L22" s="2">
        <f>16.9/100</f>
        <v>0.16899999999999998</v>
      </c>
      <c r="M22" s="2">
        <f t="shared" si="13"/>
        <v>0.13142701162499998</v>
      </c>
    </row>
    <row r="23" spans="1:13" x14ac:dyDescent="0.25">
      <c r="A23" s="4">
        <v>26.295000000000002</v>
      </c>
      <c r="B23" s="4" t="s">
        <v>2</v>
      </c>
      <c r="C23" s="5">
        <f t="shared" si="0"/>
        <v>0.16899999999999998</v>
      </c>
      <c r="D23" s="6">
        <f t="shared" si="4"/>
        <v>4.4438550000000001</v>
      </c>
      <c r="E23" s="6" t="s">
        <v>16</v>
      </c>
      <c r="F23" s="6">
        <f t="shared" si="10"/>
        <v>0.17499999999999999</v>
      </c>
      <c r="G23" s="6">
        <f t="shared" si="11"/>
        <v>0.77767462499999995</v>
      </c>
      <c r="H23" s="6" t="s">
        <v>8</v>
      </c>
      <c r="I23" s="6">
        <f>30.7/100</f>
        <v>0.307</v>
      </c>
      <c r="J23" s="6">
        <f t="shared" si="12"/>
        <v>0.23874610987499997</v>
      </c>
      <c r="K23" s="2" t="s">
        <v>35</v>
      </c>
      <c r="L23" s="2">
        <f>21/100</f>
        <v>0.21</v>
      </c>
      <c r="M23" s="2">
        <f t="shared" si="13"/>
        <v>0.16331167124999998</v>
      </c>
    </row>
    <row r="24" spans="1:13" x14ac:dyDescent="0.25">
      <c r="A24" s="4">
        <v>26.295000000000002</v>
      </c>
      <c r="B24" s="4" t="s">
        <v>2</v>
      </c>
      <c r="C24" s="5">
        <f t="shared" si="0"/>
        <v>0.16899999999999998</v>
      </c>
      <c r="D24" s="6">
        <f t="shared" si="4"/>
        <v>4.4438550000000001</v>
      </c>
      <c r="E24" s="6" t="s">
        <v>16</v>
      </c>
      <c r="F24" s="6">
        <f t="shared" si="10"/>
        <v>0.17499999999999999</v>
      </c>
      <c r="G24" s="6">
        <f t="shared" si="11"/>
        <v>0.77767462499999995</v>
      </c>
      <c r="H24" s="6" t="s">
        <v>10</v>
      </c>
      <c r="I24" s="6">
        <f>8.7/100</f>
        <v>8.6999999999999994E-2</v>
      </c>
      <c r="J24" s="6">
        <f t="shared" si="12"/>
        <v>6.7657692374999995E-2</v>
      </c>
      <c r="K24" s="2" t="s">
        <v>36</v>
      </c>
      <c r="L24" s="2">
        <f>26.5/100</f>
        <v>0.26500000000000001</v>
      </c>
      <c r="M24" s="2">
        <f t="shared" si="13"/>
        <v>0.20608377562499999</v>
      </c>
    </row>
    <row r="25" spans="1:13" x14ac:dyDescent="0.25">
      <c r="A25" s="4">
        <v>26.295000000000002</v>
      </c>
      <c r="B25" s="4" t="s">
        <v>2</v>
      </c>
      <c r="C25" s="5">
        <f t="shared" si="0"/>
        <v>0.16899999999999998</v>
      </c>
      <c r="D25" s="6">
        <f t="shared" si="4"/>
        <v>4.4438550000000001</v>
      </c>
      <c r="E25" s="6" t="s">
        <v>16</v>
      </c>
      <c r="F25" s="6">
        <f t="shared" si="10"/>
        <v>0.17499999999999999</v>
      </c>
      <c r="G25" s="6">
        <f t="shared" si="11"/>
        <v>0.77767462499999995</v>
      </c>
      <c r="H25" s="6" t="s">
        <v>9</v>
      </c>
      <c r="I25" s="6">
        <f>44.1/100</f>
        <v>0.441</v>
      </c>
      <c r="J25" s="6">
        <f t="shared" si="12"/>
        <v>0.34295450962499996</v>
      </c>
      <c r="K25" s="2" t="s">
        <v>37</v>
      </c>
      <c r="L25" s="2">
        <f>23.5/100</f>
        <v>0.23499999999999999</v>
      </c>
      <c r="M25" s="2">
        <f t="shared" si="13"/>
        <v>0.18275353687499998</v>
      </c>
    </row>
    <row r="26" spans="1:13" x14ac:dyDescent="0.25">
      <c r="A26" s="4">
        <v>26.295000000000002</v>
      </c>
      <c r="B26" s="4" t="s">
        <v>2</v>
      </c>
      <c r="C26" s="5">
        <f t="shared" si="0"/>
        <v>0.16899999999999998</v>
      </c>
      <c r="D26" s="6">
        <f t="shared" si="4"/>
        <v>4.4438550000000001</v>
      </c>
      <c r="E26" s="6" t="s">
        <v>16</v>
      </c>
      <c r="F26" s="6">
        <f t="shared" si="10"/>
        <v>0.17499999999999999</v>
      </c>
      <c r="G26" s="6">
        <f t="shared" si="11"/>
        <v>0.77767462499999995</v>
      </c>
      <c r="H26" s="6" t="s">
        <v>55</v>
      </c>
      <c r="I26" s="6">
        <f>1.1/100</f>
        <v>1.1000000000000001E-2</v>
      </c>
      <c r="J26" s="6">
        <f t="shared" si="12"/>
        <v>8.5544208749999996E-3</v>
      </c>
      <c r="K26" s="2" t="s">
        <v>38</v>
      </c>
      <c r="L26" s="2">
        <f>1.1/100</f>
        <v>1.1000000000000001E-2</v>
      </c>
      <c r="M26" s="2">
        <f t="shared" si="13"/>
        <v>8.5544208749999996E-3</v>
      </c>
    </row>
    <row r="27" spans="1:13" x14ac:dyDescent="0.25">
      <c r="A27" s="4">
        <v>26.295000000000002</v>
      </c>
      <c r="B27" s="4" t="s">
        <v>2</v>
      </c>
      <c r="C27" s="5">
        <f t="shared" si="0"/>
        <v>0.16899999999999998</v>
      </c>
      <c r="D27" s="6">
        <f t="shared" si="4"/>
        <v>4.4438550000000001</v>
      </c>
      <c r="E27" s="6" t="s">
        <v>16</v>
      </c>
      <c r="F27" s="6">
        <f t="shared" si="10"/>
        <v>0.17499999999999999</v>
      </c>
      <c r="G27" s="6">
        <f t="shared" si="11"/>
        <v>0.77767462499999995</v>
      </c>
      <c r="H27" s="6"/>
      <c r="I27" s="6"/>
      <c r="J27" s="6"/>
      <c r="K27" s="2" t="s">
        <v>39</v>
      </c>
      <c r="L27" s="2">
        <f>0.6/100</f>
        <v>6.0000000000000001E-3</v>
      </c>
      <c r="M27" s="2">
        <f t="shared" si="13"/>
        <v>4.66604775E-3</v>
      </c>
    </row>
    <row r="28" spans="1:13" x14ac:dyDescent="0.25">
      <c r="A28" s="4">
        <v>26.295000000000002</v>
      </c>
      <c r="B28" s="4" t="s">
        <v>2</v>
      </c>
      <c r="C28" s="5">
        <f t="shared" si="0"/>
        <v>0.16899999999999998</v>
      </c>
      <c r="D28" s="6">
        <f t="shared" si="4"/>
        <v>4.4438550000000001</v>
      </c>
      <c r="E28" s="6" t="s">
        <v>46</v>
      </c>
      <c r="F28" s="8">
        <f>19.1/100</f>
        <v>0.191</v>
      </c>
      <c r="G28" s="6">
        <f t="shared" si="11"/>
        <v>0.84877630500000001</v>
      </c>
      <c r="H28" s="6" t="s">
        <v>11</v>
      </c>
      <c r="I28" s="8">
        <f>28.7/100</f>
        <v>0.28699999999999998</v>
      </c>
      <c r="J28" s="8">
        <f>I28*G28</f>
        <v>0.24359879953499999</v>
      </c>
      <c r="K28" s="2" t="s">
        <v>32</v>
      </c>
      <c r="L28" s="2">
        <f>2.3/100</f>
        <v>2.3E-2</v>
      </c>
      <c r="M28" s="2">
        <f>L28*G28</f>
        <v>1.9521855014999999E-2</v>
      </c>
    </row>
    <row r="29" spans="1:13" x14ac:dyDescent="0.25">
      <c r="A29" s="4">
        <v>26.295000000000002</v>
      </c>
      <c r="B29" s="4" t="s">
        <v>2</v>
      </c>
      <c r="C29" s="5">
        <f t="shared" si="0"/>
        <v>0.16899999999999998</v>
      </c>
      <c r="D29" s="6">
        <f t="shared" si="4"/>
        <v>4.4438550000000001</v>
      </c>
      <c r="E29" s="6" t="s">
        <v>13</v>
      </c>
      <c r="F29" s="8">
        <f t="shared" ref="F29:F35" si="14">19.1/100</f>
        <v>0.191</v>
      </c>
      <c r="G29" s="6">
        <f t="shared" si="11"/>
        <v>0.84877630500000001</v>
      </c>
      <c r="H29" s="6" t="s">
        <v>12</v>
      </c>
      <c r="I29" s="8">
        <f>3.7/100</f>
        <v>3.7000000000000005E-2</v>
      </c>
      <c r="J29" s="8">
        <f t="shared" ref="J29:J33" si="15">I29*G29</f>
        <v>3.1404723285000005E-2</v>
      </c>
      <c r="K29" s="2" t="s">
        <v>33</v>
      </c>
      <c r="L29" s="2">
        <f>6.9/100</f>
        <v>6.9000000000000006E-2</v>
      </c>
      <c r="M29" s="2">
        <f t="shared" ref="M29:M32" si="16">L29*G29</f>
        <v>5.8565565045000004E-2</v>
      </c>
    </row>
    <row r="30" spans="1:13" x14ac:dyDescent="0.25">
      <c r="A30" s="4">
        <v>26.295000000000002</v>
      </c>
      <c r="B30" s="4" t="s">
        <v>2</v>
      </c>
      <c r="C30" s="5">
        <f t="shared" si="0"/>
        <v>0.16899999999999998</v>
      </c>
      <c r="D30" s="6">
        <f t="shared" si="4"/>
        <v>4.4438550000000001</v>
      </c>
      <c r="E30" s="6" t="s">
        <v>13</v>
      </c>
      <c r="F30" s="8">
        <f t="shared" si="14"/>
        <v>0.191</v>
      </c>
      <c r="G30" s="6">
        <f t="shared" si="11"/>
        <v>0.84877630500000001</v>
      </c>
      <c r="H30" s="6" t="s">
        <v>7</v>
      </c>
      <c r="I30" s="8">
        <f>9.7/100</f>
        <v>9.6999999999999989E-2</v>
      </c>
      <c r="J30" s="8">
        <f t="shared" si="15"/>
        <v>8.2331301584999989E-2</v>
      </c>
      <c r="K30" s="2" t="s">
        <v>34</v>
      </c>
      <c r="L30" s="2">
        <f>10.9/100</f>
        <v>0.109</v>
      </c>
      <c r="M30" s="2">
        <f t="shared" si="16"/>
        <v>9.2516617245000002E-2</v>
      </c>
    </row>
    <row r="31" spans="1:13" x14ac:dyDescent="0.25">
      <c r="A31" s="4">
        <v>26.295000000000002</v>
      </c>
      <c r="B31" s="4" t="s">
        <v>2</v>
      </c>
      <c r="C31" s="5">
        <f t="shared" si="0"/>
        <v>0.16899999999999998</v>
      </c>
      <c r="D31" s="6">
        <f t="shared" si="4"/>
        <v>4.4438550000000001</v>
      </c>
      <c r="E31" s="6" t="s">
        <v>13</v>
      </c>
      <c r="F31" s="8">
        <f t="shared" si="14"/>
        <v>0.191</v>
      </c>
      <c r="G31" s="6">
        <f t="shared" si="11"/>
        <v>0.84877630500000001</v>
      </c>
      <c r="H31" s="6" t="s">
        <v>8</v>
      </c>
      <c r="I31" s="8">
        <f>34.9/100</f>
        <v>0.34899999999999998</v>
      </c>
      <c r="J31" s="8">
        <f t="shared" si="15"/>
        <v>0.29622293044499998</v>
      </c>
      <c r="K31" s="2" t="s">
        <v>35</v>
      </c>
      <c r="L31" s="2">
        <f>29.4/100</f>
        <v>0.29399999999999998</v>
      </c>
      <c r="M31" s="2">
        <f t="shared" si="16"/>
        <v>0.24954023367</v>
      </c>
    </row>
    <row r="32" spans="1:13" x14ac:dyDescent="0.25">
      <c r="A32" s="4">
        <v>26.295000000000002</v>
      </c>
      <c r="B32" s="4" t="s">
        <v>2</v>
      </c>
      <c r="C32" s="5">
        <f t="shared" si="0"/>
        <v>0.16899999999999998</v>
      </c>
      <c r="D32" s="6">
        <f t="shared" si="4"/>
        <v>4.4438550000000001</v>
      </c>
      <c r="E32" s="6" t="s">
        <v>13</v>
      </c>
      <c r="F32" s="8">
        <f t="shared" si="14"/>
        <v>0.191</v>
      </c>
      <c r="G32" s="6">
        <f t="shared" si="11"/>
        <v>0.84877630500000001</v>
      </c>
      <c r="H32" s="6" t="s">
        <v>10</v>
      </c>
      <c r="I32" s="8">
        <f>3.8/100</f>
        <v>3.7999999999999999E-2</v>
      </c>
      <c r="J32" s="8">
        <f t="shared" si="15"/>
        <v>3.2253499589999998E-2</v>
      </c>
      <c r="K32" s="2" t="s">
        <v>36</v>
      </c>
      <c r="L32" s="2">
        <f>26.7/100</f>
        <v>0.26700000000000002</v>
      </c>
      <c r="M32" s="2">
        <f t="shared" si="16"/>
        <v>0.22662327343500002</v>
      </c>
    </row>
    <row r="33" spans="1:13" x14ac:dyDescent="0.25">
      <c r="A33" s="4">
        <v>26.295000000000002</v>
      </c>
      <c r="B33" s="4" t="s">
        <v>2</v>
      </c>
      <c r="C33" s="5">
        <f t="shared" si="0"/>
        <v>0.16899999999999998</v>
      </c>
      <c r="D33" s="6">
        <f t="shared" si="4"/>
        <v>4.4438550000000001</v>
      </c>
      <c r="E33" s="6" t="s">
        <v>13</v>
      </c>
      <c r="F33" s="8">
        <f t="shared" si="14"/>
        <v>0.191</v>
      </c>
      <c r="G33" s="6">
        <f t="shared" si="11"/>
        <v>0.84877630500000001</v>
      </c>
      <c r="H33" s="6" t="s">
        <v>9</v>
      </c>
      <c r="I33" s="8">
        <f>18.3/100</f>
        <v>0.183</v>
      </c>
      <c r="J33" s="8">
        <f t="shared" si="15"/>
        <v>0.155326063815</v>
      </c>
      <c r="K33" s="2" t="s">
        <v>37</v>
      </c>
      <c r="L33" s="2">
        <f>20.9/100</f>
        <v>0.20899999999999999</v>
      </c>
      <c r="M33" s="2">
        <f>L32*G33</f>
        <v>0.22662327343500002</v>
      </c>
    </row>
    <row r="34" spans="1:13" x14ac:dyDescent="0.25">
      <c r="A34" s="4">
        <v>26.295000000000002</v>
      </c>
      <c r="B34" s="4" t="s">
        <v>2</v>
      </c>
      <c r="C34" s="5">
        <f t="shared" si="0"/>
        <v>0.16899999999999998</v>
      </c>
      <c r="D34" s="6">
        <f t="shared" si="4"/>
        <v>4.4438550000000001</v>
      </c>
      <c r="E34" s="6" t="s">
        <v>13</v>
      </c>
      <c r="F34" s="8">
        <f t="shared" si="14"/>
        <v>0.191</v>
      </c>
      <c r="G34" s="6">
        <f t="shared" si="11"/>
        <v>0.84877630500000001</v>
      </c>
      <c r="H34" s="6" t="s">
        <v>55</v>
      </c>
      <c r="I34" s="8">
        <f>0.9/100</f>
        <v>9.0000000000000011E-3</v>
      </c>
      <c r="J34" s="8"/>
      <c r="K34" s="2" t="s">
        <v>38</v>
      </c>
      <c r="L34" s="2">
        <f>2.1/100</f>
        <v>2.1000000000000001E-2</v>
      </c>
      <c r="M34" s="2">
        <f>L33*G34</f>
        <v>0.17739424774499998</v>
      </c>
    </row>
    <row r="35" spans="1:13" x14ac:dyDescent="0.25">
      <c r="A35" s="4">
        <v>26.295000000000002</v>
      </c>
      <c r="B35" s="4" t="s">
        <v>2</v>
      </c>
      <c r="C35" s="5">
        <f t="shared" si="0"/>
        <v>0.16899999999999998</v>
      </c>
      <c r="D35" s="6">
        <f t="shared" si="4"/>
        <v>4.4438550000000001</v>
      </c>
      <c r="E35" s="6" t="s">
        <v>13</v>
      </c>
      <c r="F35" s="8">
        <f t="shared" si="14"/>
        <v>0.191</v>
      </c>
      <c r="G35" s="6">
        <f t="shared" si="11"/>
        <v>0.84877630500000001</v>
      </c>
      <c r="H35" s="6"/>
      <c r="I35" s="8"/>
      <c r="J35" s="8"/>
      <c r="K35" s="2" t="s">
        <v>39</v>
      </c>
      <c r="L35" s="2">
        <f>0.7/100</f>
        <v>6.9999999999999993E-3</v>
      </c>
      <c r="M35" s="2">
        <f>L34*G35</f>
        <v>1.7824302405000002E-2</v>
      </c>
    </row>
    <row r="36" spans="1:13" x14ac:dyDescent="0.25">
      <c r="A36" s="4">
        <v>26.295000000000002</v>
      </c>
      <c r="B36" s="4" t="s">
        <v>2</v>
      </c>
      <c r="C36" s="5">
        <f t="shared" si="0"/>
        <v>0.16899999999999998</v>
      </c>
      <c r="D36" s="6">
        <f t="shared" si="4"/>
        <v>4.4438550000000001</v>
      </c>
      <c r="E36" s="8" t="s">
        <v>47</v>
      </c>
      <c r="F36" s="6">
        <f>17.2/100</f>
        <v>0.17199999999999999</v>
      </c>
      <c r="G36" s="6">
        <f t="shared" si="11"/>
        <v>0.76434305999999996</v>
      </c>
      <c r="H36" s="6" t="s">
        <v>11</v>
      </c>
      <c r="I36" s="6">
        <f>4.8/100</f>
        <v>4.8000000000000001E-2</v>
      </c>
      <c r="J36" s="6">
        <f>I36*G36</f>
        <v>3.6688466879999999E-2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26.295000000000002</v>
      </c>
      <c r="B37" s="4" t="s">
        <v>2</v>
      </c>
      <c r="C37" s="5">
        <f t="shared" si="0"/>
        <v>0.16899999999999998</v>
      </c>
      <c r="D37" s="6">
        <f t="shared" si="4"/>
        <v>4.4438550000000001</v>
      </c>
      <c r="E37" s="8" t="s">
        <v>17</v>
      </c>
      <c r="F37" s="6">
        <f t="shared" ref="F37:F43" si="17">17.2/100</f>
        <v>0.17199999999999999</v>
      </c>
      <c r="G37" s="6">
        <f t="shared" si="11"/>
        <v>0.76434305999999996</v>
      </c>
      <c r="H37" s="6" t="s">
        <v>12</v>
      </c>
      <c r="I37" s="6">
        <f>5.2/100</f>
        <v>5.2000000000000005E-2</v>
      </c>
      <c r="J37" s="6">
        <f t="shared" ref="J37:J41" si="18">I37*G37</f>
        <v>3.9745839120000001E-2</v>
      </c>
      <c r="K37" s="2" t="s">
        <v>33</v>
      </c>
      <c r="L37" s="2">
        <f>7.8/100</f>
        <v>7.8E-2</v>
      </c>
      <c r="M37" s="2">
        <f t="shared" ref="M37:M43" si="19">L37*G37</f>
        <v>5.9618758679999995E-2</v>
      </c>
    </row>
    <row r="38" spans="1:13" x14ac:dyDescent="0.25">
      <c r="A38" s="4">
        <v>26.295000000000002</v>
      </c>
      <c r="B38" s="4" t="s">
        <v>2</v>
      </c>
      <c r="C38" s="5">
        <f t="shared" si="0"/>
        <v>0.16899999999999998</v>
      </c>
      <c r="D38" s="6">
        <f t="shared" si="4"/>
        <v>4.4438550000000001</v>
      </c>
      <c r="E38" s="8" t="s">
        <v>17</v>
      </c>
      <c r="F38" s="6">
        <f t="shared" si="17"/>
        <v>0.17199999999999999</v>
      </c>
      <c r="G38" s="6">
        <f t="shared" si="11"/>
        <v>0.76434305999999996</v>
      </c>
      <c r="H38" s="6" t="s">
        <v>7</v>
      </c>
      <c r="I38" s="6">
        <f>13.8/100</f>
        <v>0.13800000000000001</v>
      </c>
      <c r="J38" s="6">
        <f t="shared" si="18"/>
        <v>0.10547934228</v>
      </c>
      <c r="K38" s="2" t="s">
        <v>34</v>
      </c>
      <c r="L38" s="2">
        <f>0/100</f>
        <v>0</v>
      </c>
      <c r="M38" s="2">
        <f t="shared" si="19"/>
        <v>0</v>
      </c>
    </row>
    <row r="39" spans="1:13" x14ac:dyDescent="0.25">
      <c r="A39" s="4">
        <v>26.295000000000002</v>
      </c>
      <c r="B39" s="4" t="s">
        <v>2</v>
      </c>
      <c r="C39" s="5">
        <f t="shared" si="0"/>
        <v>0.16899999999999998</v>
      </c>
      <c r="D39" s="6">
        <f t="shared" si="4"/>
        <v>4.4438550000000001</v>
      </c>
      <c r="E39" s="8" t="s">
        <v>17</v>
      </c>
      <c r="F39" s="6">
        <f t="shared" si="17"/>
        <v>0.17199999999999999</v>
      </c>
      <c r="G39" s="6">
        <f t="shared" si="11"/>
        <v>0.76434305999999996</v>
      </c>
      <c r="H39" s="6" t="s">
        <v>8</v>
      </c>
      <c r="I39" s="6">
        <f>23.9/100</f>
        <v>0.23899999999999999</v>
      </c>
      <c r="J39" s="6">
        <f t="shared" si="18"/>
        <v>0.18267799133999998</v>
      </c>
      <c r="K39" s="2" t="s">
        <v>35</v>
      </c>
      <c r="L39" s="2">
        <f>29.2/100</f>
        <v>0.29199999999999998</v>
      </c>
      <c r="M39" s="2">
        <f t="shared" si="19"/>
        <v>0.22318817351999998</v>
      </c>
    </row>
    <row r="40" spans="1:13" x14ac:dyDescent="0.25">
      <c r="A40" s="4">
        <v>26.295000000000002</v>
      </c>
      <c r="B40" s="4" t="s">
        <v>2</v>
      </c>
      <c r="C40" s="5">
        <f t="shared" si="0"/>
        <v>0.16899999999999998</v>
      </c>
      <c r="D40" s="6">
        <f t="shared" si="4"/>
        <v>4.4438550000000001</v>
      </c>
      <c r="E40" s="8" t="s">
        <v>17</v>
      </c>
      <c r="F40" s="6">
        <f t="shared" si="17"/>
        <v>0.17199999999999999</v>
      </c>
      <c r="G40" s="6">
        <f t="shared" si="11"/>
        <v>0.76434305999999996</v>
      </c>
      <c r="H40" s="6" t="s">
        <v>10</v>
      </c>
      <c r="I40" s="6">
        <f>19.3/100</f>
        <v>0.193</v>
      </c>
      <c r="J40" s="6">
        <f t="shared" si="18"/>
        <v>0.14751821058</v>
      </c>
      <c r="K40" s="2" t="s">
        <v>36</v>
      </c>
      <c r="L40" s="2">
        <f>33.4/100</f>
        <v>0.33399999999999996</v>
      </c>
      <c r="M40" s="2">
        <f t="shared" si="19"/>
        <v>0.25529058203999994</v>
      </c>
    </row>
    <row r="41" spans="1:13" x14ac:dyDescent="0.25">
      <c r="A41" s="4">
        <v>26.295000000000002</v>
      </c>
      <c r="B41" s="4" t="s">
        <v>2</v>
      </c>
      <c r="C41" s="5">
        <f t="shared" si="0"/>
        <v>0.16899999999999998</v>
      </c>
      <c r="D41" s="6">
        <f t="shared" si="4"/>
        <v>4.4438550000000001</v>
      </c>
      <c r="E41" s="8" t="s">
        <v>17</v>
      </c>
      <c r="F41" s="6">
        <f t="shared" si="17"/>
        <v>0.17199999999999999</v>
      </c>
      <c r="G41" s="6">
        <f t="shared" si="11"/>
        <v>0.76434305999999996</v>
      </c>
      <c r="H41" s="6" t="s">
        <v>9</v>
      </c>
      <c r="I41" s="6">
        <f>33.1/100</f>
        <v>0.33100000000000002</v>
      </c>
      <c r="J41" s="6">
        <f t="shared" si="18"/>
        <v>0.25299755285999997</v>
      </c>
      <c r="K41" s="2" t="s">
        <v>37</v>
      </c>
      <c r="L41" s="2">
        <f>29.6/100</f>
        <v>0.29600000000000004</v>
      </c>
      <c r="M41" s="2">
        <f t="shared" si="19"/>
        <v>0.22624554576000003</v>
      </c>
    </row>
    <row r="42" spans="1:13" x14ac:dyDescent="0.25">
      <c r="A42" s="4">
        <v>26.295000000000002</v>
      </c>
      <c r="B42" s="4" t="s">
        <v>2</v>
      </c>
      <c r="C42" s="5">
        <f t="shared" si="0"/>
        <v>0.16899999999999998</v>
      </c>
      <c r="D42" s="6">
        <f t="shared" si="4"/>
        <v>4.4438550000000001</v>
      </c>
      <c r="E42" s="8" t="s">
        <v>17</v>
      </c>
      <c r="F42" s="6">
        <f t="shared" si="17"/>
        <v>0.17199999999999999</v>
      </c>
      <c r="G42" s="6">
        <f t="shared" si="11"/>
        <v>0.76434305999999996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26.295000000000002</v>
      </c>
      <c r="B43" s="4" t="s">
        <v>2</v>
      </c>
      <c r="C43" s="5">
        <f t="shared" si="0"/>
        <v>0.16899999999999998</v>
      </c>
      <c r="D43" s="6">
        <f t="shared" si="4"/>
        <v>4.4438550000000001</v>
      </c>
      <c r="E43" s="8" t="s">
        <v>17</v>
      </c>
      <c r="F43" s="6">
        <f t="shared" si="17"/>
        <v>0.17199999999999999</v>
      </c>
      <c r="G43" s="6">
        <f t="shared" si="11"/>
        <v>0.76434305999999996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26.295000000000002</v>
      </c>
      <c r="B44" s="4" t="s">
        <v>2</v>
      </c>
      <c r="C44" s="5">
        <f t="shared" si="0"/>
        <v>0.16899999999999998</v>
      </c>
      <c r="D44" s="6">
        <f t="shared" si="4"/>
        <v>4.4438550000000001</v>
      </c>
      <c r="E44" s="2" t="s">
        <v>18</v>
      </c>
      <c r="F44" s="6">
        <f>11.6/100</f>
        <v>0.11599999999999999</v>
      </c>
      <c r="G44" s="6">
        <f t="shared" si="11"/>
        <v>0.51548717999999993</v>
      </c>
      <c r="H44" s="6" t="s">
        <v>11</v>
      </c>
      <c r="I44" s="8">
        <f>44/100</f>
        <v>0.44</v>
      </c>
      <c r="J44" s="6">
        <f>I44*G44</f>
        <v>0.22681435919999998</v>
      </c>
      <c r="K44" s="2" t="s">
        <v>32</v>
      </c>
      <c r="L44" s="2">
        <f>7.5/100</f>
        <v>7.4999999999999997E-2</v>
      </c>
      <c r="M44" s="2">
        <f>L44*G44</f>
        <v>3.8661538499999995E-2</v>
      </c>
    </row>
    <row r="45" spans="1:13" x14ac:dyDescent="0.25">
      <c r="A45" s="4">
        <v>26.295000000000002</v>
      </c>
      <c r="B45" s="4" t="s">
        <v>2</v>
      </c>
      <c r="C45" s="5">
        <f t="shared" si="0"/>
        <v>0.16899999999999998</v>
      </c>
      <c r="D45" s="6">
        <f t="shared" si="4"/>
        <v>4.4438550000000001</v>
      </c>
      <c r="E45" s="2" t="s">
        <v>18</v>
      </c>
      <c r="F45" s="6">
        <f t="shared" ref="F45:F51" si="20">11.6/100</f>
        <v>0.11599999999999999</v>
      </c>
      <c r="G45" s="6">
        <f t="shared" si="11"/>
        <v>0.51548717999999993</v>
      </c>
      <c r="H45" s="6" t="s">
        <v>12</v>
      </c>
      <c r="I45" s="8">
        <f>4/100</f>
        <v>0.04</v>
      </c>
      <c r="J45" s="6">
        <f t="shared" ref="J45:J50" si="21">I45*G45</f>
        <v>2.0619487199999998E-2</v>
      </c>
      <c r="K45" s="2" t="s">
        <v>33</v>
      </c>
      <c r="L45" s="2">
        <f>8.9/100</f>
        <v>8.900000000000001E-2</v>
      </c>
      <c r="M45" s="2">
        <f t="shared" ref="M45:M51" si="22">L45*G45</f>
        <v>4.5878359020000002E-2</v>
      </c>
    </row>
    <row r="46" spans="1:13" x14ac:dyDescent="0.25">
      <c r="A46" s="4">
        <v>26.295000000000002</v>
      </c>
      <c r="B46" s="4" t="s">
        <v>2</v>
      </c>
      <c r="C46" s="5">
        <f t="shared" si="0"/>
        <v>0.16899999999999998</v>
      </c>
      <c r="D46" s="6">
        <f t="shared" si="4"/>
        <v>4.4438550000000001</v>
      </c>
      <c r="E46" s="2" t="s">
        <v>18</v>
      </c>
      <c r="F46" s="6">
        <f t="shared" si="20"/>
        <v>0.11599999999999999</v>
      </c>
      <c r="G46" s="6">
        <f t="shared" si="11"/>
        <v>0.51548717999999993</v>
      </c>
      <c r="H46" s="6" t="s">
        <v>7</v>
      </c>
      <c r="I46" s="8">
        <f>10.5/100</f>
        <v>0.105</v>
      </c>
      <c r="J46" s="6">
        <f t="shared" si="21"/>
        <v>5.4126153899999994E-2</v>
      </c>
      <c r="K46" s="2" t="s">
        <v>34</v>
      </c>
      <c r="L46" s="2">
        <f>11.3/100</f>
        <v>0.113</v>
      </c>
      <c r="M46" s="2">
        <f t="shared" si="22"/>
        <v>5.8250051339999998E-2</v>
      </c>
    </row>
    <row r="47" spans="1:13" x14ac:dyDescent="0.25">
      <c r="A47" s="4">
        <v>26.295000000000002</v>
      </c>
      <c r="B47" s="4" t="s">
        <v>2</v>
      </c>
      <c r="C47" s="5">
        <f t="shared" si="0"/>
        <v>0.16899999999999998</v>
      </c>
      <c r="D47" s="6">
        <f t="shared" si="4"/>
        <v>4.4438550000000001</v>
      </c>
      <c r="E47" s="2" t="s">
        <v>18</v>
      </c>
      <c r="F47" s="6">
        <f t="shared" si="20"/>
        <v>0.11599999999999999</v>
      </c>
      <c r="G47" s="6">
        <f t="shared" si="11"/>
        <v>0.51548717999999993</v>
      </c>
      <c r="H47" s="6" t="s">
        <v>8</v>
      </c>
      <c r="I47" s="8">
        <f>20.3/100</f>
        <v>0.20300000000000001</v>
      </c>
      <c r="J47" s="6">
        <f>I50*G47</f>
        <v>7.2168205199999984E-3</v>
      </c>
      <c r="K47" s="2" t="s">
        <v>35</v>
      </c>
      <c r="L47" s="2">
        <f>23/100</f>
        <v>0.23</v>
      </c>
      <c r="M47" s="2">
        <f t="shared" si="22"/>
        <v>0.11856205139999999</v>
      </c>
    </row>
    <row r="48" spans="1:13" x14ac:dyDescent="0.25">
      <c r="A48" s="4">
        <v>26.295000000000002</v>
      </c>
      <c r="B48" s="4" t="s">
        <v>2</v>
      </c>
      <c r="C48" s="5">
        <f t="shared" si="0"/>
        <v>0.16899999999999998</v>
      </c>
      <c r="D48" s="6">
        <f t="shared" si="4"/>
        <v>4.4438550000000001</v>
      </c>
      <c r="E48" s="2" t="s">
        <v>18</v>
      </c>
      <c r="F48" s="6">
        <f t="shared" si="20"/>
        <v>0.11599999999999999</v>
      </c>
      <c r="G48" s="6">
        <f t="shared" si="11"/>
        <v>0.51548717999999993</v>
      </c>
      <c r="H48" s="6" t="s">
        <v>10</v>
      </c>
      <c r="I48" s="8">
        <f>4.7/100</f>
        <v>4.7E-2</v>
      </c>
      <c r="J48" s="6">
        <f>I47*G48</f>
        <v>0.10464389753999999</v>
      </c>
      <c r="K48" s="2" t="s">
        <v>36</v>
      </c>
      <c r="L48" s="2">
        <f>27.2/100</f>
        <v>0.27200000000000002</v>
      </c>
      <c r="M48" s="2">
        <f t="shared" si="22"/>
        <v>0.14021251295999998</v>
      </c>
    </row>
    <row r="49" spans="1:13" x14ac:dyDescent="0.25">
      <c r="A49" s="4">
        <v>26.295000000000002</v>
      </c>
      <c r="B49" s="4" t="s">
        <v>2</v>
      </c>
      <c r="C49" s="5">
        <f t="shared" si="0"/>
        <v>0.16899999999999998</v>
      </c>
      <c r="D49" s="6">
        <f t="shared" si="4"/>
        <v>4.4438550000000001</v>
      </c>
      <c r="E49" s="2" t="s">
        <v>48</v>
      </c>
      <c r="F49" s="6">
        <f t="shared" si="20"/>
        <v>0.11599999999999999</v>
      </c>
      <c r="G49" s="6">
        <f t="shared" si="11"/>
        <v>0.51548717999999993</v>
      </c>
      <c r="H49" s="6" t="s">
        <v>9</v>
      </c>
      <c r="I49" s="8">
        <f>15/100</f>
        <v>0.15</v>
      </c>
      <c r="J49" s="6">
        <f t="shared" si="21"/>
        <v>7.732307699999999E-2</v>
      </c>
      <c r="K49" s="2" t="s">
        <v>37</v>
      </c>
      <c r="L49" s="2">
        <f>15.9/100</f>
        <v>0.159</v>
      </c>
      <c r="M49" s="2">
        <f t="shared" si="22"/>
        <v>8.1962461619999996E-2</v>
      </c>
    </row>
    <row r="50" spans="1:13" x14ac:dyDescent="0.25">
      <c r="A50" s="4">
        <v>26.295000000000002</v>
      </c>
      <c r="B50" s="4" t="s">
        <v>2</v>
      </c>
      <c r="C50" s="5">
        <f t="shared" si="0"/>
        <v>0.16899999999999998</v>
      </c>
      <c r="D50" s="6">
        <f t="shared" si="4"/>
        <v>4.4438550000000001</v>
      </c>
      <c r="E50" s="2" t="s">
        <v>18</v>
      </c>
      <c r="F50" s="6">
        <f t="shared" si="20"/>
        <v>0.11599999999999999</v>
      </c>
      <c r="G50" s="6">
        <f t="shared" si="11"/>
        <v>0.51548717999999993</v>
      </c>
      <c r="H50" s="6" t="s">
        <v>55</v>
      </c>
      <c r="I50" s="8">
        <f>1.4/100</f>
        <v>1.3999999999999999E-2</v>
      </c>
      <c r="J50" s="6">
        <f t="shared" si="21"/>
        <v>7.2168205199999984E-3</v>
      </c>
      <c r="K50" s="2" t="s">
        <v>38</v>
      </c>
      <c r="L50" s="2">
        <f>3.4/100</f>
        <v>3.4000000000000002E-2</v>
      </c>
      <c r="M50" s="2">
        <f t="shared" si="22"/>
        <v>1.7526564119999997E-2</v>
      </c>
    </row>
    <row r="51" spans="1:13" x14ac:dyDescent="0.25">
      <c r="A51" s="4">
        <v>26.295000000000002</v>
      </c>
      <c r="B51" s="4" t="s">
        <v>2</v>
      </c>
      <c r="C51" s="5">
        <f t="shared" si="0"/>
        <v>0.16899999999999998</v>
      </c>
      <c r="D51" s="6">
        <f t="shared" si="4"/>
        <v>4.4438550000000001</v>
      </c>
      <c r="E51" s="2" t="s">
        <v>18</v>
      </c>
      <c r="F51" s="6">
        <f t="shared" si="20"/>
        <v>0.11599999999999999</v>
      </c>
      <c r="G51" s="6">
        <f t="shared" si="11"/>
        <v>0.51548717999999993</v>
      </c>
      <c r="H51" s="6"/>
      <c r="I51" s="6"/>
      <c r="J51" s="6"/>
      <c r="K51" s="2" t="s">
        <v>39</v>
      </c>
      <c r="L51" s="2">
        <f>2.8/100</f>
        <v>2.7999999999999997E-2</v>
      </c>
      <c r="M51" s="2">
        <f t="shared" si="22"/>
        <v>1.4433641039999997E-2</v>
      </c>
    </row>
    <row r="52" spans="1:13" x14ac:dyDescent="0.25">
      <c r="A52" s="4">
        <v>26.295000000000002</v>
      </c>
      <c r="B52" s="2" t="s">
        <v>19</v>
      </c>
      <c r="C52" s="6">
        <f>83.1/100</f>
        <v>0.83099999999999996</v>
      </c>
      <c r="D52" s="6">
        <f t="shared" si="4"/>
        <v>21.851144999999999</v>
      </c>
      <c r="E52" s="6" t="s">
        <v>54</v>
      </c>
      <c r="F52" s="6">
        <f>79.8/100</f>
        <v>0.79799999999999993</v>
      </c>
      <c r="G52" s="6">
        <f t="shared" si="11"/>
        <v>17.437213709999998</v>
      </c>
      <c r="H52" s="6" t="s">
        <v>11</v>
      </c>
      <c r="I52" s="6">
        <f>12.6/100</f>
        <v>0.126</v>
      </c>
      <c r="J52" s="6">
        <f>I52*G52</f>
        <v>2.1970889274599998</v>
      </c>
      <c r="K52" s="2" t="s">
        <v>32</v>
      </c>
      <c r="L52" s="2">
        <f>4.6/100</f>
        <v>4.5999999999999999E-2</v>
      </c>
      <c r="M52" s="2">
        <f>L52*G52</f>
        <v>0.80211183065999991</v>
      </c>
    </row>
    <row r="53" spans="1:13" x14ac:dyDescent="0.25">
      <c r="A53" s="4">
        <v>26.295000000000002</v>
      </c>
      <c r="B53" s="2" t="s">
        <v>19</v>
      </c>
      <c r="C53" s="6">
        <f t="shared" ref="C53:C99" si="23">83.1/100</f>
        <v>0.83099999999999996</v>
      </c>
      <c r="D53" s="6">
        <f t="shared" si="4"/>
        <v>21.851144999999999</v>
      </c>
      <c r="E53" s="6" t="s">
        <v>14</v>
      </c>
      <c r="F53" s="6">
        <f t="shared" ref="F53:F59" si="24">79.8/100</f>
        <v>0.79799999999999993</v>
      </c>
      <c r="G53" s="6">
        <f t="shared" si="11"/>
        <v>17.437213709999998</v>
      </c>
      <c r="H53" s="6" t="s">
        <v>12</v>
      </c>
      <c r="I53" s="6">
        <f>7.1/100</f>
        <v>7.0999999999999994E-2</v>
      </c>
      <c r="J53" s="6">
        <f t="shared" ref="J53:J56" si="25">I53*G53</f>
        <v>1.2380421734099998</v>
      </c>
      <c r="K53" s="2" t="s">
        <v>33</v>
      </c>
      <c r="L53" s="2">
        <f>8.4/100</f>
        <v>8.4000000000000005E-2</v>
      </c>
      <c r="M53" s="2">
        <f t="shared" ref="M53:M59" si="26">L53*G53</f>
        <v>1.46472595164</v>
      </c>
    </row>
    <row r="54" spans="1:13" x14ac:dyDescent="0.25">
      <c r="A54" s="4">
        <v>26.295000000000002</v>
      </c>
      <c r="B54" s="2" t="s">
        <v>19</v>
      </c>
      <c r="C54" s="6">
        <f t="shared" si="23"/>
        <v>0.83099999999999996</v>
      </c>
      <c r="D54" s="6">
        <f t="shared" si="4"/>
        <v>21.851144999999999</v>
      </c>
      <c r="E54" s="6" t="s">
        <v>14</v>
      </c>
      <c r="F54" s="6">
        <f t="shared" si="24"/>
        <v>0.79799999999999993</v>
      </c>
      <c r="G54" s="6">
        <f t="shared" si="11"/>
        <v>17.437213709999998</v>
      </c>
      <c r="H54" s="6" t="s">
        <v>7</v>
      </c>
      <c r="I54" s="14">
        <f>16/100</f>
        <v>0.16</v>
      </c>
      <c r="J54" s="6">
        <f t="shared" si="25"/>
        <v>2.7899541935999999</v>
      </c>
      <c r="K54" s="2" t="s">
        <v>34</v>
      </c>
      <c r="L54" s="2">
        <f>15.1/100</f>
        <v>0.151</v>
      </c>
      <c r="M54" s="2">
        <f t="shared" si="26"/>
        <v>2.6330192702099997</v>
      </c>
    </row>
    <row r="55" spans="1:13" x14ac:dyDescent="0.25">
      <c r="A55" s="4">
        <v>26.295000000000002</v>
      </c>
      <c r="B55" s="2" t="s">
        <v>19</v>
      </c>
      <c r="C55" s="6">
        <f t="shared" si="23"/>
        <v>0.83099999999999996</v>
      </c>
      <c r="D55" s="6">
        <f t="shared" si="4"/>
        <v>21.851144999999999</v>
      </c>
      <c r="E55" s="6" t="s">
        <v>14</v>
      </c>
      <c r="F55" s="6">
        <f t="shared" si="24"/>
        <v>0.79799999999999993</v>
      </c>
      <c r="G55" s="6">
        <f t="shared" si="11"/>
        <v>17.437213709999998</v>
      </c>
      <c r="H55" s="6" t="s">
        <v>8</v>
      </c>
      <c r="I55" s="6">
        <f>36.5/100</f>
        <v>0.36499999999999999</v>
      </c>
      <c r="J55" s="6">
        <f t="shared" si="25"/>
        <v>6.3645830041499991</v>
      </c>
      <c r="K55" s="2" t="s">
        <v>35</v>
      </c>
      <c r="L55" s="2">
        <f>24.9/100</f>
        <v>0.249</v>
      </c>
      <c r="M55" s="2">
        <f t="shared" si="26"/>
        <v>4.3418662137899995</v>
      </c>
    </row>
    <row r="56" spans="1:13" x14ac:dyDescent="0.25">
      <c r="A56" s="4">
        <v>26.295000000000002</v>
      </c>
      <c r="B56" s="2" t="s">
        <v>19</v>
      </c>
      <c r="C56" s="6">
        <f t="shared" si="23"/>
        <v>0.83099999999999996</v>
      </c>
      <c r="D56" s="6">
        <f t="shared" si="4"/>
        <v>21.851144999999999</v>
      </c>
      <c r="E56" s="6" t="s">
        <v>14</v>
      </c>
      <c r="F56" s="6">
        <f t="shared" si="24"/>
        <v>0.79799999999999993</v>
      </c>
      <c r="G56" s="6">
        <f t="shared" si="11"/>
        <v>17.437213709999998</v>
      </c>
      <c r="H56" s="6" t="s">
        <v>10</v>
      </c>
      <c r="I56" s="6">
        <f>3.1/100</f>
        <v>3.1E-2</v>
      </c>
      <c r="J56" s="6">
        <f t="shared" si="25"/>
        <v>0.54055362500999993</v>
      </c>
      <c r="K56" s="2" t="s">
        <v>36</v>
      </c>
      <c r="L56" s="2">
        <f>21.8/100</f>
        <v>0.218</v>
      </c>
      <c r="M56" s="2">
        <f t="shared" si="26"/>
        <v>3.8013125887799997</v>
      </c>
    </row>
    <row r="57" spans="1:13" x14ac:dyDescent="0.25">
      <c r="A57" s="4">
        <v>26.295000000000002</v>
      </c>
      <c r="B57" s="2" t="s">
        <v>19</v>
      </c>
      <c r="C57" s="6">
        <f t="shared" si="23"/>
        <v>0.83099999999999996</v>
      </c>
      <c r="D57" s="6">
        <f t="shared" si="4"/>
        <v>21.851144999999999</v>
      </c>
      <c r="E57" s="6" t="s">
        <v>14</v>
      </c>
      <c r="F57" s="6">
        <f t="shared" si="24"/>
        <v>0.79799999999999993</v>
      </c>
      <c r="G57" s="6">
        <f t="shared" si="11"/>
        <v>17.437213709999998</v>
      </c>
      <c r="H57" s="6" t="s">
        <v>9</v>
      </c>
      <c r="I57" s="6">
        <f>22.5/100</f>
        <v>0.22500000000000001</v>
      </c>
      <c r="J57" s="6">
        <f>I58*G57</f>
        <v>0.40105591532999996</v>
      </c>
      <c r="K57" s="2" t="s">
        <v>37</v>
      </c>
      <c r="L57" s="2">
        <f>21.2/100</f>
        <v>0.21199999999999999</v>
      </c>
      <c r="M57" s="2">
        <f t="shared" si="26"/>
        <v>3.6966893065199997</v>
      </c>
    </row>
    <row r="58" spans="1:13" x14ac:dyDescent="0.25">
      <c r="A58" s="4">
        <v>26.295000000000002</v>
      </c>
      <c r="B58" s="2" t="s">
        <v>19</v>
      </c>
      <c r="C58" s="6">
        <f t="shared" si="23"/>
        <v>0.83099999999999996</v>
      </c>
      <c r="D58" s="6">
        <f t="shared" si="4"/>
        <v>21.851144999999999</v>
      </c>
      <c r="E58" s="6" t="s">
        <v>14</v>
      </c>
      <c r="F58" s="6">
        <f t="shared" si="24"/>
        <v>0.79799999999999993</v>
      </c>
      <c r="G58" s="6">
        <f t="shared" si="11"/>
        <v>17.437213709999998</v>
      </c>
      <c r="H58" s="6" t="s">
        <v>55</v>
      </c>
      <c r="I58" s="6">
        <f>2.3/100</f>
        <v>2.3E-2</v>
      </c>
      <c r="J58" s="6"/>
      <c r="K58" s="2" t="s">
        <v>38</v>
      </c>
      <c r="L58" s="2">
        <f>2.6/100</f>
        <v>2.6000000000000002E-2</v>
      </c>
      <c r="M58" s="2">
        <f t="shared" si="26"/>
        <v>0.45336755645999999</v>
      </c>
    </row>
    <row r="59" spans="1:13" x14ac:dyDescent="0.25">
      <c r="A59" s="4">
        <v>26.295000000000002</v>
      </c>
      <c r="B59" s="2" t="s">
        <v>19</v>
      </c>
      <c r="C59" s="6">
        <f t="shared" si="23"/>
        <v>0.83099999999999996</v>
      </c>
      <c r="D59" s="6">
        <f t="shared" si="4"/>
        <v>21.851144999999999</v>
      </c>
      <c r="E59" s="6" t="s">
        <v>14</v>
      </c>
      <c r="F59" s="6">
        <f t="shared" si="24"/>
        <v>0.79799999999999993</v>
      </c>
      <c r="G59" s="6">
        <f t="shared" si="11"/>
        <v>17.437213709999998</v>
      </c>
      <c r="H59" s="6"/>
      <c r="I59" s="6"/>
      <c r="J59" s="6"/>
      <c r="K59" s="2" t="s">
        <v>39</v>
      </c>
      <c r="L59" s="2">
        <f>1.4/100</f>
        <v>1.3999999999999999E-2</v>
      </c>
      <c r="M59" s="2">
        <f t="shared" si="26"/>
        <v>0.24412099193999995</v>
      </c>
    </row>
    <row r="60" spans="1:13" x14ac:dyDescent="0.25">
      <c r="A60" s="4">
        <v>26.295000000000002</v>
      </c>
      <c r="B60" s="2" t="s">
        <v>19</v>
      </c>
      <c r="C60" s="6">
        <f t="shared" si="23"/>
        <v>0.83099999999999996</v>
      </c>
      <c r="D60" s="6">
        <f t="shared" si="4"/>
        <v>21.851144999999999</v>
      </c>
      <c r="E60" s="6" t="s">
        <v>52</v>
      </c>
      <c r="F60" s="6">
        <f>80.3/100</f>
        <v>0.80299999999999994</v>
      </c>
      <c r="G60" s="6">
        <f t="shared" si="11"/>
        <v>17.546469434999999</v>
      </c>
      <c r="H60" s="6" t="s">
        <v>11</v>
      </c>
      <c r="I60" s="6">
        <f>4.8/100</f>
        <v>4.8000000000000001E-2</v>
      </c>
      <c r="J60" s="6">
        <f>I60*G60</f>
        <v>0.84223053287999994</v>
      </c>
      <c r="K60" s="2" t="s">
        <v>32</v>
      </c>
      <c r="L60" s="2">
        <f>2/100</f>
        <v>0.02</v>
      </c>
      <c r="M60" s="2">
        <f>L60*G60</f>
        <v>0.35092938869999996</v>
      </c>
    </row>
    <row r="61" spans="1:13" x14ac:dyDescent="0.25">
      <c r="A61" s="4">
        <v>26.295000000000002</v>
      </c>
      <c r="B61" s="2" t="s">
        <v>19</v>
      </c>
      <c r="C61" s="6">
        <f t="shared" si="23"/>
        <v>0.83099999999999996</v>
      </c>
      <c r="D61" s="6">
        <f t="shared" si="4"/>
        <v>21.851144999999999</v>
      </c>
      <c r="E61" s="6" t="s">
        <v>15</v>
      </c>
      <c r="F61" s="6">
        <f t="shared" ref="F61:F67" si="27">80.3/100</f>
        <v>0.80299999999999994</v>
      </c>
      <c r="G61" s="6">
        <f t="shared" si="11"/>
        <v>17.546469434999999</v>
      </c>
      <c r="H61" s="6" t="s">
        <v>12</v>
      </c>
      <c r="I61" s="6">
        <f>5.3/100</f>
        <v>5.2999999999999999E-2</v>
      </c>
      <c r="J61" s="6">
        <f t="shared" ref="J61:J65" si="28">I61*G61</f>
        <v>0.92996288005499994</v>
      </c>
      <c r="K61" s="2" t="s">
        <v>33</v>
      </c>
      <c r="L61" s="2">
        <f>5/100</f>
        <v>0.05</v>
      </c>
      <c r="M61" s="2">
        <f t="shared" ref="M61:M67" si="29">L61*G61</f>
        <v>0.87732347175000003</v>
      </c>
    </row>
    <row r="62" spans="1:13" x14ac:dyDescent="0.25">
      <c r="A62" s="4">
        <v>26.295000000000002</v>
      </c>
      <c r="B62" s="2" t="s">
        <v>19</v>
      </c>
      <c r="C62" s="6">
        <f t="shared" si="23"/>
        <v>0.83099999999999996</v>
      </c>
      <c r="D62" s="6">
        <f t="shared" si="4"/>
        <v>21.851144999999999</v>
      </c>
      <c r="E62" s="6" t="s">
        <v>15</v>
      </c>
      <c r="F62" s="6">
        <f t="shared" si="27"/>
        <v>0.80299999999999994</v>
      </c>
      <c r="G62" s="6">
        <f t="shared" si="11"/>
        <v>17.546469434999999</v>
      </c>
      <c r="H62" s="6" t="s">
        <v>7</v>
      </c>
      <c r="I62" s="6">
        <f>8.8/100</f>
        <v>8.8000000000000009E-2</v>
      </c>
      <c r="J62" s="6">
        <f t="shared" si="28"/>
        <v>1.54408931028</v>
      </c>
      <c r="K62" s="2" t="s">
        <v>34</v>
      </c>
      <c r="L62" s="2">
        <f>20.8/100</f>
        <v>0.20800000000000002</v>
      </c>
      <c r="M62" s="2">
        <f t="shared" si="29"/>
        <v>3.64966564248</v>
      </c>
    </row>
    <row r="63" spans="1:13" x14ac:dyDescent="0.25">
      <c r="A63" s="4">
        <v>26.295000000000002</v>
      </c>
      <c r="B63" s="2" t="s">
        <v>19</v>
      </c>
      <c r="C63" s="6">
        <f t="shared" si="23"/>
        <v>0.83099999999999996</v>
      </c>
      <c r="D63" s="6">
        <f t="shared" si="4"/>
        <v>21.851144999999999</v>
      </c>
      <c r="E63" s="6" t="s">
        <v>15</v>
      </c>
      <c r="F63" s="6">
        <f t="shared" si="27"/>
        <v>0.80299999999999994</v>
      </c>
      <c r="G63" s="6">
        <f t="shared" si="11"/>
        <v>17.546469434999999</v>
      </c>
      <c r="H63" s="6" t="s">
        <v>8</v>
      </c>
      <c r="I63" s="6">
        <f>38.3/100</f>
        <v>0.38299999999999995</v>
      </c>
      <c r="J63" s="6">
        <f t="shared" si="28"/>
        <v>6.720297793604999</v>
      </c>
      <c r="K63" s="2" t="s">
        <v>35</v>
      </c>
      <c r="L63" s="2">
        <f>28.8/100</f>
        <v>0.28800000000000003</v>
      </c>
      <c r="M63" s="2">
        <f t="shared" si="29"/>
        <v>5.0533831972800005</v>
      </c>
    </row>
    <row r="64" spans="1:13" x14ac:dyDescent="0.25">
      <c r="A64" s="4">
        <v>26.295000000000002</v>
      </c>
      <c r="B64" s="2" t="s">
        <v>19</v>
      </c>
      <c r="C64" s="6">
        <f t="shared" si="23"/>
        <v>0.83099999999999996</v>
      </c>
      <c r="D64" s="6">
        <f t="shared" si="4"/>
        <v>21.851144999999999</v>
      </c>
      <c r="E64" s="6" t="s">
        <v>15</v>
      </c>
      <c r="F64" s="6">
        <f t="shared" si="27"/>
        <v>0.80299999999999994</v>
      </c>
      <c r="G64" s="6">
        <f t="shared" si="11"/>
        <v>17.546469434999999</v>
      </c>
      <c r="H64" s="6" t="s">
        <v>10</v>
      </c>
      <c r="I64" s="6">
        <f>6.7/100</f>
        <v>6.7000000000000004E-2</v>
      </c>
      <c r="J64" s="6">
        <f t="shared" si="28"/>
        <v>1.1756134521449999</v>
      </c>
      <c r="K64" s="2" t="s">
        <v>36</v>
      </c>
      <c r="L64" s="2">
        <f>22.5/100</f>
        <v>0.22500000000000001</v>
      </c>
      <c r="M64" s="2">
        <f t="shared" si="29"/>
        <v>3.9479556228749999</v>
      </c>
    </row>
    <row r="65" spans="1:13" x14ac:dyDescent="0.25">
      <c r="A65" s="4">
        <v>26.295000000000002</v>
      </c>
      <c r="B65" s="2" t="s">
        <v>19</v>
      </c>
      <c r="C65" s="6">
        <f t="shared" si="23"/>
        <v>0.83099999999999996</v>
      </c>
      <c r="D65" s="6">
        <f t="shared" si="4"/>
        <v>21.851144999999999</v>
      </c>
      <c r="E65" s="6" t="s">
        <v>15</v>
      </c>
      <c r="F65" s="6">
        <f t="shared" si="27"/>
        <v>0.80299999999999994</v>
      </c>
      <c r="G65" s="6">
        <f t="shared" si="11"/>
        <v>17.546469434999999</v>
      </c>
      <c r="H65" s="6" t="s">
        <v>9</v>
      </c>
      <c r="I65" s="6">
        <f>31.6/100</f>
        <v>0.316</v>
      </c>
      <c r="J65" s="6">
        <f t="shared" si="28"/>
        <v>5.54468434146</v>
      </c>
      <c r="K65" s="2" t="s">
        <v>37</v>
      </c>
      <c r="L65" s="2">
        <f>19.4/100</f>
        <v>0.19399999999999998</v>
      </c>
      <c r="M65" s="2">
        <f t="shared" si="29"/>
        <v>3.4040150703899994</v>
      </c>
    </row>
    <row r="66" spans="1:13" x14ac:dyDescent="0.25">
      <c r="A66" s="4">
        <v>26.295000000000002</v>
      </c>
      <c r="B66" s="2" t="s">
        <v>19</v>
      </c>
      <c r="C66" s="6">
        <f t="shared" si="23"/>
        <v>0.83099999999999996</v>
      </c>
      <c r="D66" s="6">
        <f t="shared" si="4"/>
        <v>21.851144999999999</v>
      </c>
      <c r="E66" s="6" t="s">
        <v>15</v>
      </c>
      <c r="F66" s="6">
        <f t="shared" si="27"/>
        <v>0.80299999999999994</v>
      </c>
      <c r="G66" s="6">
        <f t="shared" si="11"/>
        <v>17.546469434999999</v>
      </c>
      <c r="H66" s="6" t="s">
        <v>55</v>
      </c>
      <c r="I66" s="6">
        <f>4.5/100</f>
        <v>4.4999999999999998E-2</v>
      </c>
      <c r="J66" s="6"/>
      <c r="K66" s="2" t="s">
        <v>38</v>
      </c>
      <c r="L66" s="2">
        <f>0.3/100</f>
        <v>3.0000000000000001E-3</v>
      </c>
      <c r="M66" s="2">
        <f t="shared" si="29"/>
        <v>5.2639408304999996E-2</v>
      </c>
    </row>
    <row r="67" spans="1:13" x14ac:dyDescent="0.25">
      <c r="A67" s="4">
        <v>26.295000000000002</v>
      </c>
      <c r="B67" s="2" t="s">
        <v>19</v>
      </c>
      <c r="C67" s="6">
        <f t="shared" si="23"/>
        <v>0.83099999999999996</v>
      </c>
      <c r="D67" s="6">
        <f t="shared" si="4"/>
        <v>21.851144999999999</v>
      </c>
      <c r="E67" s="6" t="s">
        <v>15</v>
      </c>
      <c r="F67" s="6">
        <f t="shared" si="27"/>
        <v>0.80299999999999994</v>
      </c>
      <c r="G67" s="6">
        <f t="shared" si="11"/>
        <v>17.546469434999999</v>
      </c>
      <c r="H67" s="6"/>
      <c r="I67" s="6"/>
      <c r="J67" s="6"/>
      <c r="K67" s="2" t="s">
        <v>39</v>
      </c>
      <c r="L67" s="2">
        <f>1.2/100</f>
        <v>1.2E-2</v>
      </c>
      <c r="M67" s="2">
        <f t="shared" si="29"/>
        <v>0.21055763321999998</v>
      </c>
    </row>
    <row r="68" spans="1:13" x14ac:dyDescent="0.25">
      <c r="A68" s="4">
        <v>26.295000000000002</v>
      </c>
      <c r="B68" s="2" t="s">
        <v>19</v>
      </c>
      <c r="C68" s="6">
        <f t="shared" si="23"/>
        <v>0.83099999999999996</v>
      </c>
      <c r="D68" s="6">
        <f t="shared" si="4"/>
        <v>21.851144999999999</v>
      </c>
      <c r="E68" s="6" t="s">
        <v>53</v>
      </c>
      <c r="F68" s="6">
        <f>82.5/100</f>
        <v>0.82499999999999996</v>
      </c>
      <c r="G68" s="6">
        <f t="shared" si="11"/>
        <v>18.027194625</v>
      </c>
      <c r="H68" s="6" t="s">
        <v>11</v>
      </c>
      <c r="I68" s="6">
        <f>12.8/100</f>
        <v>0.128</v>
      </c>
      <c r="J68" s="6">
        <f>I68*G68</f>
        <v>2.3074809119999999</v>
      </c>
      <c r="K68" s="2" t="s">
        <v>32</v>
      </c>
      <c r="L68" s="2">
        <f>4.9/100</f>
        <v>4.9000000000000002E-2</v>
      </c>
      <c r="M68" s="2">
        <f>L68*G68</f>
        <v>0.883332536625</v>
      </c>
    </row>
    <row r="69" spans="1:13" x14ac:dyDescent="0.25">
      <c r="A69" s="4">
        <v>26.295000000000002</v>
      </c>
      <c r="B69" s="2" t="s">
        <v>19</v>
      </c>
      <c r="C69" s="6">
        <f t="shared" si="23"/>
        <v>0.83099999999999996</v>
      </c>
      <c r="D69" s="6">
        <f t="shared" si="4"/>
        <v>21.851144999999999</v>
      </c>
      <c r="E69" s="6" t="s">
        <v>16</v>
      </c>
      <c r="F69" s="6">
        <f t="shared" ref="F69:F75" si="30">82.5/100</f>
        <v>0.82499999999999996</v>
      </c>
      <c r="G69" s="6">
        <f t="shared" si="11"/>
        <v>18.027194625</v>
      </c>
      <c r="H69" s="6" t="s">
        <v>12</v>
      </c>
      <c r="I69" s="6">
        <f>6.6/100</f>
        <v>6.6000000000000003E-2</v>
      </c>
      <c r="J69" s="6">
        <f t="shared" ref="J69:J73" si="31">I69*G69</f>
        <v>1.18979484525</v>
      </c>
      <c r="K69" s="2" t="s">
        <v>33</v>
      </c>
      <c r="L69" s="2">
        <f>9.3/100</f>
        <v>9.3000000000000013E-2</v>
      </c>
      <c r="M69" s="2">
        <f t="shared" ref="M69:M75" si="32">L69*G69</f>
        <v>1.6765291001250002</v>
      </c>
    </row>
    <row r="70" spans="1:13" x14ac:dyDescent="0.25">
      <c r="A70" s="4">
        <v>26.295000000000002</v>
      </c>
      <c r="B70" s="2" t="s">
        <v>19</v>
      </c>
      <c r="C70" s="6">
        <f t="shared" si="23"/>
        <v>0.83099999999999996</v>
      </c>
      <c r="D70" s="6">
        <f t="shared" si="4"/>
        <v>21.851144999999999</v>
      </c>
      <c r="E70" s="6" t="s">
        <v>16</v>
      </c>
      <c r="F70" s="6">
        <f t="shared" si="30"/>
        <v>0.82499999999999996</v>
      </c>
      <c r="G70" s="6">
        <f t="shared" si="11"/>
        <v>18.027194625</v>
      </c>
      <c r="H70" s="6" t="s">
        <v>7</v>
      </c>
      <c r="I70" s="6">
        <f>17.4/100</f>
        <v>0.17399999999999999</v>
      </c>
      <c r="J70" s="6">
        <f t="shared" si="31"/>
        <v>3.1367318647499998</v>
      </c>
      <c r="K70" s="2" t="s">
        <v>34</v>
      </c>
      <c r="L70" s="2">
        <f>15.9/100</f>
        <v>0.159</v>
      </c>
      <c r="M70" s="2">
        <f t="shared" si="32"/>
        <v>2.866323945375</v>
      </c>
    </row>
    <row r="71" spans="1:13" x14ac:dyDescent="0.25">
      <c r="A71" s="4">
        <v>26.295000000000002</v>
      </c>
      <c r="B71" s="2" t="s">
        <v>19</v>
      </c>
      <c r="C71" s="6">
        <f t="shared" si="23"/>
        <v>0.83099999999999996</v>
      </c>
      <c r="D71" s="6">
        <f t="shared" si="4"/>
        <v>21.851144999999999</v>
      </c>
      <c r="E71" s="6" t="s">
        <v>16</v>
      </c>
      <c r="F71" s="6">
        <f t="shared" si="30"/>
        <v>0.82499999999999996</v>
      </c>
      <c r="G71" s="6">
        <f t="shared" si="11"/>
        <v>18.027194625</v>
      </c>
      <c r="H71" s="6" t="s">
        <v>8</v>
      </c>
      <c r="I71" s="6">
        <f>36.1/100</f>
        <v>0.36099999999999999</v>
      </c>
      <c r="J71" s="6">
        <f t="shared" si="31"/>
        <v>6.5078172596249999</v>
      </c>
      <c r="K71" s="2" t="s">
        <v>35</v>
      </c>
      <c r="L71" s="2">
        <f>23.3/100</f>
        <v>0.23300000000000001</v>
      </c>
      <c r="M71" s="2">
        <f t="shared" si="32"/>
        <v>4.200336347625</v>
      </c>
    </row>
    <row r="72" spans="1:13" x14ac:dyDescent="0.25">
      <c r="A72" s="4">
        <v>26.295000000000002</v>
      </c>
      <c r="B72" s="2" t="s">
        <v>19</v>
      </c>
      <c r="C72" s="6">
        <f t="shared" si="23"/>
        <v>0.83099999999999996</v>
      </c>
      <c r="D72" s="6">
        <f t="shared" si="4"/>
        <v>21.851144999999999</v>
      </c>
      <c r="E72" s="6" t="s">
        <v>16</v>
      </c>
      <c r="F72" s="6">
        <f t="shared" si="30"/>
        <v>0.82499999999999996</v>
      </c>
      <c r="G72" s="6">
        <f t="shared" si="11"/>
        <v>18.027194625</v>
      </c>
      <c r="H72" s="6" t="s">
        <v>10</v>
      </c>
      <c r="I72" s="6">
        <f>3.7/100</f>
        <v>3.7000000000000005E-2</v>
      </c>
      <c r="J72" s="6">
        <f t="shared" si="31"/>
        <v>0.66700620112500009</v>
      </c>
      <c r="K72" s="2" t="s">
        <v>36</v>
      </c>
      <c r="L72" s="2">
        <f>22.4/100</f>
        <v>0.22399999999999998</v>
      </c>
      <c r="M72" s="2">
        <f t="shared" si="32"/>
        <v>4.0380915959999992</v>
      </c>
    </row>
    <row r="73" spans="1:13" x14ac:dyDescent="0.25">
      <c r="A73" s="4">
        <v>26.295000000000002</v>
      </c>
      <c r="B73" s="2" t="s">
        <v>19</v>
      </c>
      <c r="C73" s="6">
        <f t="shared" si="23"/>
        <v>0.83099999999999996</v>
      </c>
      <c r="D73" s="6">
        <f t="shared" si="4"/>
        <v>21.851144999999999</v>
      </c>
      <c r="E73" s="6" t="s">
        <v>16</v>
      </c>
      <c r="F73" s="6">
        <f t="shared" si="30"/>
        <v>0.82499999999999996</v>
      </c>
      <c r="G73" s="6">
        <f t="shared" si="11"/>
        <v>18.027194625</v>
      </c>
      <c r="H73" s="6" t="s">
        <v>9</v>
      </c>
      <c r="I73" s="6">
        <f>21.6/100</f>
        <v>0.21600000000000003</v>
      </c>
      <c r="J73" s="6">
        <f t="shared" si="31"/>
        <v>3.8938740390000004</v>
      </c>
      <c r="K73" s="2" t="s">
        <v>37</v>
      </c>
      <c r="L73" s="2">
        <f>20.3/100</f>
        <v>0.20300000000000001</v>
      </c>
      <c r="M73" s="2">
        <f t="shared" si="32"/>
        <v>3.659520508875</v>
      </c>
    </row>
    <row r="74" spans="1:13" x14ac:dyDescent="0.25">
      <c r="A74" s="4">
        <v>26.295000000000002</v>
      </c>
      <c r="B74" s="2" t="s">
        <v>19</v>
      </c>
      <c r="C74" s="6">
        <f t="shared" si="23"/>
        <v>0.83099999999999996</v>
      </c>
      <c r="D74" s="6">
        <f t="shared" si="4"/>
        <v>21.851144999999999</v>
      </c>
      <c r="E74" s="6" t="s">
        <v>16</v>
      </c>
      <c r="F74" s="6">
        <f t="shared" si="30"/>
        <v>0.82499999999999996</v>
      </c>
      <c r="G74" s="6">
        <f t="shared" si="11"/>
        <v>18.027194625</v>
      </c>
      <c r="H74" s="6" t="s">
        <v>55</v>
      </c>
      <c r="I74" s="6">
        <f>1.7/100</f>
        <v>1.7000000000000001E-2</v>
      </c>
      <c r="J74" s="6"/>
      <c r="K74" s="2" t="s">
        <v>38</v>
      </c>
      <c r="L74" s="2">
        <f>2.7/100</f>
        <v>2.7000000000000003E-2</v>
      </c>
      <c r="M74" s="2">
        <f t="shared" si="32"/>
        <v>0.48673425487500005</v>
      </c>
    </row>
    <row r="75" spans="1:13" x14ac:dyDescent="0.25">
      <c r="A75" s="4">
        <v>26.295000000000002</v>
      </c>
      <c r="B75" s="2" t="s">
        <v>19</v>
      </c>
      <c r="C75" s="6">
        <f t="shared" si="23"/>
        <v>0.83099999999999996</v>
      </c>
      <c r="D75" s="6">
        <f t="shared" si="4"/>
        <v>21.851144999999999</v>
      </c>
      <c r="E75" s="6" t="s">
        <v>16</v>
      </c>
      <c r="F75" s="6">
        <f t="shared" si="30"/>
        <v>0.82499999999999996</v>
      </c>
      <c r="G75" s="6">
        <f t="shared" si="11"/>
        <v>18.027194625</v>
      </c>
      <c r="H75" s="6"/>
      <c r="I75" s="6"/>
      <c r="J75" s="6"/>
      <c r="K75" s="2" t="s">
        <v>39</v>
      </c>
      <c r="L75" s="2">
        <f>1.3/100</f>
        <v>1.3000000000000001E-2</v>
      </c>
      <c r="M75" s="2">
        <f t="shared" si="32"/>
        <v>0.23435353012500001</v>
      </c>
    </row>
    <row r="76" spans="1:13" x14ac:dyDescent="0.25">
      <c r="A76" s="4">
        <v>26.295000000000002</v>
      </c>
      <c r="B76" s="2" t="s">
        <v>19</v>
      </c>
      <c r="C76" s="6">
        <f t="shared" si="23"/>
        <v>0.83099999999999996</v>
      </c>
      <c r="D76" s="6">
        <f t="shared" si="4"/>
        <v>21.851144999999999</v>
      </c>
      <c r="E76" s="2" t="s">
        <v>51</v>
      </c>
      <c r="F76" s="6">
        <f>80.9/100</f>
        <v>0.80900000000000005</v>
      </c>
      <c r="G76" s="6">
        <f t="shared" si="11"/>
        <v>17.677576304999999</v>
      </c>
      <c r="H76" s="6" t="s">
        <v>11</v>
      </c>
      <c r="I76" s="6">
        <f>19.6/100</f>
        <v>0.19600000000000001</v>
      </c>
      <c r="J76" s="8">
        <f>I76*G76</f>
        <v>3.46480495578</v>
      </c>
      <c r="K76" s="2" t="s">
        <v>32</v>
      </c>
      <c r="L76" s="2">
        <f>5/100</f>
        <v>0.05</v>
      </c>
      <c r="M76" s="2">
        <f>L76*G76</f>
        <v>0.88387881525000001</v>
      </c>
    </row>
    <row r="77" spans="1:13" x14ac:dyDescent="0.25">
      <c r="A77" s="4">
        <v>26.295000000000002</v>
      </c>
      <c r="B77" s="2" t="s">
        <v>19</v>
      </c>
      <c r="C77" s="6">
        <f t="shared" si="23"/>
        <v>0.83099999999999996</v>
      </c>
      <c r="D77" s="6">
        <f t="shared" si="4"/>
        <v>21.851144999999999</v>
      </c>
      <c r="E77" s="2" t="s">
        <v>13</v>
      </c>
      <c r="F77" s="6">
        <f t="shared" ref="F77:F83" si="33">80.9/100</f>
        <v>0.80900000000000005</v>
      </c>
      <c r="G77" s="6">
        <f t="shared" si="11"/>
        <v>17.677576304999999</v>
      </c>
      <c r="H77" s="6" t="s">
        <v>12</v>
      </c>
      <c r="I77" s="6">
        <f>9.7/100</f>
        <v>9.6999999999999989E-2</v>
      </c>
      <c r="J77" s="8">
        <f t="shared" ref="J77:J81" si="34">I77*G77</f>
        <v>1.7147249015849997</v>
      </c>
      <c r="K77" s="2" t="s">
        <v>33</v>
      </c>
      <c r="L77" s="2">
        <f>10/100</f>
        <v>0.1</v>
      </c>
      <c r="M77" s="2">
        <f t="shared" ref="M77:M83" si="35">L77*G77</f>
        <v>1.7677576305</v>
      </c>
    </row>
    <row r="78" spans="1:13" x14ac:dyDescent="0.25">
      <c r="A78" s="4">
        <v>26.295000000000002</v>
      </c>
      <c r="B78" s="2" t="s">
        <v>19</v>
      </c>
      <c r="C78" s="6">
        <f t="shared" si="23"/>
        <v>0.83099999999999996</v>
      </c>
      <c r="D78" s="6">
        <f t="shared" si="4"/>
        <v>21.851144999999999</v>
      </c>
      <c r="E78" s="2" t="s">
        <v>13</v>
      </c>
      <c r="F78" s="6">
        <f t="shared" si="33"/>
        <v>0.80900000000000005</v>
      </c>
      <c r="G78" s="6">
        <f t="shared" si="11"/>
        <v>17.677576304999999</v>
      </c>
      <c r="H78" s="6" t="s">
        <v>7</v>
      </c>
      <c r="I78" s="6">
        <f>17.8/100</f>
        <v>0.17800000000000002</v>
      </c>
      <c r="J78" s="8">
        <f t="shared" si="34"/>
        <v>3.1466085822900003</v>
      </c>
      <c r="K78" s="2" t="s">
        <v>34</v>
      </c>
      <c r="L78" s="2">
        <f>13.9/100</f>
        <v>0.13900000000000001</v>
      </c>
      <c r="M78" s="2">
        <f t="shared" si="35"/>
        <v>2.457183106395</v>
      </c>
    </row>
    <row r="79" spans="1:13" x14ac:dyDescent="0.25">
      <c r="A79" s="4">
        <v>26.295000000000002</v>
      </c>
      <c r="B79" s="2" t="s">
        <v>19</v>
      </c>
      <c r="C79" s="6">
        <f t="shared" si="23"/>
        <v>0.83099999999999996</v>
      </c>
      <c r="D79" s="6">
        <f t="shared" si="4"/>
        <v>21.851144999999999</v>
      </c>
      <c r="E79" s="2" t="s">
        <v>13</v>
      </c>
      <c r="F79" s="6">
        <f t="shared" si="33"/>
        <v>0.80900000000000005</v>
      </c>
      <c r="G79" s="6">
        <f t="shared" si="11"/>
        <v>17.677576304999999</v>
      </c>
      <c r="H79" s="6" t="s">
        <v>8</v>
      </c>
      <c r="I79" s="6">
        <f>35.8/100</f>
        <v>0.35799999999999998</v>
      </c>
      <c r="J79" s="8">
        <f t="shared" si="34"/>
        <v>6.328572317189999</v>
      </c>
      <c r="K79" s="2" t="s">
        <v>35</v>
      </c>
      <c r="L79" s="2">
        <f>24.5/100</f>
        <v>0.245</v>
      </c>
      <c r="M79" s="2">
        <f t="shared" si="35"/>
        <v>4.331006194725</v>
      </c>
    </row>
    <row r="80" spans="1:13" x14ac:dyDescent="0.25">
      <c r="A80" s="4">
        <v>26.295000000000002</v>
      </c>
      <c r="B80" s="2" t="s">
        <v>19</v>
      </c>
      <c r="C80" s="6">
        <f t="shared" si="23"/>
        <v>0.83099999999999996</v>
      </c>
      <c r="D80" s="6">
        <f t="shared" si="4"/>
        <v>21.851144999999999</v>
      </c>
      <c r="E80" s="2" t="s">
        <v>13</v>
      </c>
      <c r="F80" s="6">
        <f t="shared" si="33"/>
        <v>0.80900000000000005</v>
      </c>
      <c r="G80" s="6">
        <f t="shared" si="11"/>
        <v>17.677576304999999</v>
      </c>
      <c r="H80" s="6" t="s">
        <v>10</v>
      </c>
      <c r="I80" s="6">
        <f>2.8/100</f>
        <v>2.7999999999999997E-2</v>
      </c>
      <c r="J80" s="8">
        <f t="shared" si="34"/>
        <v>0.49497213653999994</v>
      </c>
      <c r="K80" s="2" t="s">
        <v>36</v>
      </c>
      <c r="L80" s="2">
        <f>22.2/100</f>
        <v>0.222</v>
      </c>
      <c r="M80" s="2">
        <f t="shared" si="35"/>
        <v>3.9244219397099998</v>
      </c>
    </row>
    <row r="81" spans="1:13" x14ac:dyDescent="0.25">
      <c r="A81" s="4">
        <v>26.295000000000002</v>
      </c>
      <c r="B81" s="2" t="s">
        <v>19</v>
      </c>
      <c r="C81" s="6">
        <f t="shared" si="23"/>
        <v>0.83099999999999996</v>
      </c>
      <c r="D81" s="6">
        <f t="shared" si="4"/>
        <v>21.851144999999999</v>
      </c>
      <c r="E81" s="2" t="s">
        <v>13</v>
      </c>
      <c r="F81" s="6">
        <f t="shared" si="33"/>
        <v>0.80900000000000005</v>
      </c>
      <c r="G81" s="6">
        <f t="shared" si="11"/>
        <v>17.677576304999999</v>
      </c>
      <c r="H81" s="6" t="s">
        <v>9</v>
      </c>
      <c r="I81" s="6">
        <f>12.2/100</f>
        <v>0.122</v>
      </c>
      <c r="J81" s="8">
        <f t="shared" si="34"/>
        <v>2.15666430921</v>
      </c>
      <c r="K81" s="2" t="s">
        <v>37</v>
      </c>
      <c r="L81" s="2">
        <f>19.4/100</f>
        <v>0.19399999999999998</v>
      </c>
      <c r="M81" s="2">
        <f t="shared" si="35"/>
        <v>3.4294498031699994</v>
      </c>
    </row>
    <row r="82" spans="1:13" x14ac:dyDescent="0.25">
      <c r="A82" s="4">
        <v>26.295000000000002</v>
      </c>
      <c r="B82" s="2" t="s">
        <v>19</v>
      </c>
      <c r="C82" s="6">
        <f t="shared" si="23"/>
        <v>0.83099999999999996</v>
      </c>
      <c r="D82" s="6">
        <f t="shared" si="4"/>
        <v>21.851144999999999</v>
      </c>
      <c r="E82" s="2" t="s">
        <v>13</v>
      </c>
      <c r="F82" s="6">
        <f t="shared" si="33"/>
        <v>0.80900000000000005</v>
      </c>
      <c r="G82" s="6">
        <f t="shared" si="11"/>
        <v>17.677576304999999</v>
      </c>
      <c r="H82" s="6" t="s">
        <v>55</v>
      </c>
      <c r="I82" s="6">
        <f>2.2/100</f>
        <v>2.2000000000000002E-2</v>
      </c>
      <c r="J82" s="8"/>
      <c r="K82" s="2" t="s">
        <v>38</v>
      </c>
      <c r="L82" s="2">
        <f>3/100</f>
        <v>0.03</v>
      </c>
      <c r="M82" s="2">
        <f t="shared" si="35"/>
        <v>0.53032728914999994</v>
      </c>
    </row>
    <row r="83" spans="1:13" x14ac:dyDescent="0.25">
      <c r="A83" s="4">
        <v>26.295000000000002</v>
      </c>
      <c r="B83" s="2" t="s">
        <v>19</v>
      </c>
      <c r="C83" s="6">
        <f t="shared" si="23"/>
        <v>0.83099999999999996</v>
      </c>
      <c r="D83" s="6">
        <f t="shared" si="4"/>
        <v>21.851144999999999</v>
      </c>
      <c r="E83" s="2" t="s">
        <v>13</v>
      </c>
      <c r="F83" s="6">
        <f t="shared" si="33"/>
        <v>0.80900000000000005</v>
      </c>
      <c r="G83" s="6">
        <f t="shared" si="11"/>
        <v>17.677576304999999</v>
      </c>
      <c r="H83" s="6"/>
      <c r="I83" s="6"/>
      <c r="J83" s="8"/>
      <c r="K83" s="2" t="s">
        <v>39</v>
      </c>
      <c r="L83" s="2">
        <f>2/100</f>
        <v>0.02</v>
      </c>
      <c r="M83" s="2">
        <f t="shared" si="35"/>
        <v>0.35355152609999996</v>
      </c>
    </row>
    <row r="84" spans="1:13" x14ac:dyDescent="0.25">
      <c r="A84" s="4">
        <v>26.295000000000002</v>
      </c>
      <c r="B84" s="2" t="s">
        <v>19</v>
      </c>
      <c r="C84" s="6">
        <f t="shared" si="23"/>
        <v>0.83099999999999996</v>
      </c>
      <c r="D84" s="6">
        <f t="shared" si="4"/>
        <v>21.851144999999999</v>
      </c>
      <c r="E84" s="2" t="s">
        <v>50</v>
      </c>
      <c r="F84" s="6">
        <f>82.8/100</f>
        <v>0.82799999999999996</v>
      </c>
      <c r="G84" s="6">
        <f t="shared" si="11"/>
        <v>18.092748059999998</v>
      </c>
      <c r="H84" s="6" t="s">
        <v>11</v>
      </c>
      <c r="I84" s="6">
        <f>9.4/100</f>
        <v>9.4E-2</v>
      </c>
      <c r="J84" s="6">
        <f>I84*G84</f>
        <v>1.7007183176399998</v>
      </c>
      <c r="K84" s="2" t="s">
        <v>32</v>
      </c>
      <c r="L84" s="2">
        <f>4.2/100</f>
        <v>4.2000000000000003E-2</v>
      </c>
      <c r="M84" s="2">
        <f>L84*G84</f>
        <v>0.75989541851999998</v>
      </c>
    </row>
    <row r="85" spans="1:13" x14ac:dyDescent="0.25">
      <c r="A85" s="4">
        <v>26.295000000000002</v>
      </c>
      <c r="B85" s="2" t="s">
        <v>19</v>
      </c>
      <c r="C85" s="6">
        <f t="shared" si="23"/>
        <v>0.83099999999999996</v>
      </c>
      <c r="D85" s="6">
        <f t="shared" si="4"/>
        <v>21.851144999999999</v>
      </c>
      <c r="E85" s="2" t="s">
        <v>17</v>
      </c>
      <c r="F85" s="6">
        <f t="shared" ref="F85:F91" si="36">82.8/100</f>
        <v>0.82799999999999996</v>
      </c>
      <c r="G85" s="6">
        <f t="shared" si="11"/>
        <v>18.092748059999998</v>
      </c>
      <c r="H85" s="6" t="s">
        <v>12</v>
      </c>
      <c r="I85" s="6">
        <f>10.8/100</f>
        <v>0.10800000000000001</v>
      </c>
      <c r="J85" s="6">
        <f t="shared" ref="J85:J89" si="37">I85*G85</f>
        <v>1.9540167904800001</v>
      </c>
      <c r="K85" s="2" t="s">
        <v>33</v>
      </c>
      <c r="L85" s="2">
        <f>9.4/100</f>
        <v>9.4E-2</v>
      </c>
      <c r="M85" s="2">
        <f t="shared" ref="M85:M87" si="38">L85*G85</f>
        <v>1.7007183176399998</v>
      </c>
    </row>
    <row r="86" spans="1:13" x14ac:dyDescent="0.25">
      <c r="A86" s="4">
        <v>26.295000000000002</v>
      </c>
      <c r="B86" s="2" t="s">
        <v>19</v>
      </c>
      <c r="C86" s="6">
        <f t="shared" si="23"/>
        <v>0.83099999999999996</v>
      </c>
      <c r="D86" s="6">
        <f t="shared" si="4"/>
        <v>21.851144999999999</v>
      </c>
      <c r="E86" s="2" t="s">
        <v>17</v>
      </c>
      <c r="F86" s="6">
        <f t="shared" si="36"/>
        <v>0.82799999999999996</v>
      </c>
      <c r="G86" s="6">
        <f t="shared" si="11"/>
        <v>18.092748059999998</v>
      </c>
      <c r="H86" s="6" t="s">
        <v>7</v>
      </c>
      <c r="I86" s="6">
        <f>15.5/100</f>
        <v>0.155</v>
      </c>
      <c r="J86" s="6">
        <f t="shared" si="37"/>
        <v>2.8043759492999998</v>
      </c>
      <c r="K86" s="2" t="s">
        <v>34</v>
      </c>
      <c r="L86" s="2">
        <f>15.4/100</f>
        <v>0.154</v>
      </c>
      <c r="M86" s="2">
        <f t="shared" si="38"/>
        <v>2.7862832012399998</v>
      </c>
    </row>
    <row r="87" spans="1:13" x14ac:dyDescent="0.25">
      <c r="A87" s="4">
        <v>26.295000000000002</v>
      </c>
      <c r="B87" s="2" t="s">
        <v>19</v>
      </c>
      <c r="C87" s="6">
        <f t="shared" si="23"/>
        <v>0.83099999999999996</v>
      </c>
      <c r="D87" s="6">
        <f t="shared" si="4"/>
        <v>21.851144999999999</v>
      </c>
      <c r="E87" s="2" t="s">
        <v>17</v>
      </c>
      <c r="F87" s="6">
        <f t="shared" si="36"/>
        <v>0.82799999999999996</v>
      </c>
      <c r="G87" s="6">
        <f t="shared" si="11"/>
        <v>18.092748059999998</v>
      </c>
      <c r="H87" s="6" t="s">
        <v>8</v>
      </c>
      <c r="I87" s="6">
        <f>35.9/100</f>
        <v>0.35899999999999999</v>
      </c>
      <c r="J87" s="6">
        <f t="shared" si="37"/>
        <v>6.4952965535399994</v>
      </c>
      <c r="K87" s="2" t="s">
        <v>35</v>
      </c>
      <c r="L87" s="2">
        <f>25/100</f>
        <v>0.25</v>
      </c>
      <c r="M87" s="2">
        <f t="shared" si="38"/>
        <v>4.5231870149999995</v>
      </c>
    </row>
    <row r="88" spans="1:13" x14ac:dyDescent="0.25">
      <c r="A88" s="4">
        <v>26.295000000000002</v>
      </c>
      <c r="B88" s="2" t="s">
        <v>19</v>
      </c>
      <c r="C88" s="6">
        <f t="shared" si="23"/>
        <v>0.83099999999999996</v>
      </c>
      <c r="D88" s="6">
        <f t="shared" si="4"/>
        <v>21.851144999999999</v>
      </c>
      <c r="E88" s="2" t="s">
        <v>17</v>
      </c>
      <c r="F88" s="6">
        <f t="shared" si="36"/>
        <v>0.82799999999999996</v>
      </c>
      <c r="G88" s="6">
        <f t="shared" si="11"/>
        <v>18.092748059999998</v>
      </c>
      <c r="H88" s="6" t="s">
        <v>10</v>
      </c>
      <c r="I88" s="6">
        <f>6.7/100</f>
        <v>6.7000000000000004E-2</v>
      </c>
      <c r="J88" s="6">
        <f t="shared" si="37"/>
        <v>1.2122141200199998</v>
      </c>
      <c r="K88" s="2" t="s">
        <v>36</v>
      </c>
      <c r="L88" s="2">
        <f>27.2/100</f>
        <v>0.27200000000000002</v>
      </c>
      <c r="M88" s="2">
        <f>L87*G88</f>
        <v>4.5231870149999995</v>
      </c>
    </row>
    <row r="89" spans="1:13" x14ac:dyDescent="0.25">
      <c r="A89" s="4">
        <v>26.295000000000002</v>
      </c>
      <c r="B89" s="2" t="s">
        <v>19</v>
      </c>
      <c r="C89" s="6">
        <f t="shared" si="23"/>
        <v>0.83099999999999996</v>
      </c>
      <c r="D89" s="6">
        <f t="shared" si="4"/>
        <v>21.851144999999999</v>
      </c>
      <c r="E89" s="2" t="s">
        <v>17</v>
      </c>
      <c r="F89" s="6">
        <f t="shared" si="36"/>
        <v>0.82799999999999996</v>
      </c>
      <c r="G89" s="6">
        <f t="shared" si="11"/>
        <v>18.092748059999998</v>
      </c>
      <c r="H89" s="6" t="s">
        <v>9</v>
      </c>
      <c r="I89" s="6">
        <f>18.3/100</f>
        <v>0.183</v>
      </c>
      <c r="J89" s="6">
        <f t="shared" si="37"/>
        <v>3.3109728949799995</v>
      </c>
      <c r="K89" s="2" t="s">
        <v>37</v>
      </c>
      <c r="L89" s="2">
        <f>17.1/100</f>
        <v>0.17100000000000001</v>
      </c>
      <c r="M89" s="2">
        <f>L88*G89</f>
        <v>4.92122747232</v>
      </c>
    </row>
    <row r="90" spans="1:13" x14ac:dyDescent="0.25">
      <c r="A90" s="4">
        <v>26.295000000000002</v>
      </c>
      <c r="B90" s="2" t="s">
        <v>19</v>
      </c>
      <c r="C90" s="6">
        <f t="shared" si="23"/>
        <v>0.83099999999999996</v>
      </c>
      <c r="D90" s="6">
        <f t="shared" si="4"/>
        <v>21.851144999999999</v>
      </c>
      <c r="E90" s="2" t="s">
        <v>17</v>
      </c>
      <c r="F90" s="6">
        <f t="shared" si="36"/>
        <v>0.82799999999999996</v>
      </c>
      <c r="G90" s="6">
        <f t="shared" si="11"/>
        <v>18.092748059999998</v>
      </c>
      <c r="H90" s="6" t="s">
        <v>55</v>
      </c>
      <c r="I90" s="6">
        <f>3.2/100</f>
        <v>3.2000000000000001E-2</v>
      </c>
      <c r="J90" s="6"/>
      <c r="K90" s="2" t="s">
        <v>38</v>
      </c>
      <c r="L90" s="2">
        <f>0.6/100</f>
        <v>6.0000000000000001E-3</v>
      </c>
      <c r="M90" s="2">
        <f>L89*G90</f>
        <v>3.0938599182599997</v>
      </c>
    </row>
    <row r="91" spans="1:13" x14ac:dyDescent="0.25">
      <c r="A91" s="4">
        <v>26.295000000000002</v>
      </c>
      <c r="B91" s="2" t="s">
        <v>19</v>
      </c>
      <c r="C91" s="6">
        <f t="shared" si="23"/>
        <v>0.83099999999999996</v>
      </c>
      <c r="D91" s="6">
        <f t="shared" si="4"/>
        <v>21.851144999999999</v>
      </c>
      <c r="E91" s="2" t="s">
        <v>17</v>
      </c>
      <c r="F91" s="6">
        <f t="shared" si="36"/>
        <v>0.82799999999999996</v>
      </c>
      <c r="G91" s="6">
        <f t="shared" si="11"/>
        <v>18.092748059999998</v>
      </c>
      <c r="H91" s="6"/>
      <c r="I91" s="6"/>
      <c r="J91" s="6"/>
      <c r="K91" s="2" t="s">
        <v>39</v>
      </c>
      <c r="L91" s="2">
        <f>0.6/100</f>
        <v>6.0000000000000001E-3</v>
      </c>
      <c r="M91" s="2">
        <f>L90*G91</f>
        <v>0.10855648835999999</v>
      </c>
    </row>
    <row r="92" spans="1:13" x14ac:dyDescent="0.25">
      <c r="A92" s="4">
        <v>26.295000000000002</v>
      </c>
      <c r="B92" s="2" t="s">
        <v>19</v>
      </c>
      <c r="C92" s="6">
        <f t="shared" si="23"/>
        <v>0.83099999999999996</v>
      </c>
      <c r="D92" s="6">
        <f t="shared" si="4"/>
        <v>21.851144999999999</v>
      </c>
      <c r="E92" s="2" t="s">
        <v>49</v>
      </c>
      <c r="F92" s="2">
        <f>88.4/100</f>
        <v>0.88400000000000001</v>
      </c>
      <c r="G92" s="6">
        <f t="shared" si="11"/>
        <v>19.31641218</v>
      </c>
      <c r="H92" s="6" t="s">
        <v>11</v>
      </c>
      <c r="I92" s="6">
        <f>25.1/100</f>
        <v>0.251</v>
      </c>
      <c r="J92" s="6">
        <f>I92*G92</f>
        <v>4.8484194571800003</v>
      </c>
      <c r="K92" s="2" t="s">
        <v>32</v>
      </c>
      <c r="L92" s="2">
        <f>8.3/100</f>
        <v>8.3000000000000004E-2</v>
      </c>
      <c r="M92" s="2">
        <f>L92*G92</f>
        <v>1.6032622109400001</v>
      </c>
    </row>
    <row r="93" spans="1:13" x14ac:dyDescent="0.25">
      <c r="A93" s="4">
        <v>26.295000000000002</v>
      </c>
      <c r="B93" s="2" t="s">
        <v>19</v>
      </c>
      <c r="C93" s="6">
        <f t="shared" si="23"/>
        <v>0.83099999999999996</v>
      </c>
      <c r="D93" s="6">
        <f t="shared" ref="D93:D99" si="39">C93*A93</f>
        <v>21.851144999999999</v>
      </c>
      <c r="E93" s="2" t="s">
        <v>18</v>
      </c>
      <c r="F93" s="2">
        <f t="shared" ref="F93:F99" si="40">88.4/100</f>
        <v>0.88400000000000001</v>
      </c>
      <c r="G93" s="6">
        <f t="shared" si="11"/>
        <v>19.31641218</v>
      </c>
      <c r="H93" s="6" t="s">
        <v>12</v>
      </c>
      <c r="I93" s="6">
        <f>7.3/100</f>
        <v>7.2999999999999995E-2</v>
      </c>
      <c r="J93" s="6">
        <f t="shared" ref="J93:J97" si="41">I93*G93</f>
        <v>1.4100980891399999</v>
      </c>
      <c r="K93" s="2" t="s">
        <v>33</v>
      </c>
      <c r="L93" s="2">
        <f>13.2/100</f>
        <v>0.13200000000000001</v>
      </c>
      <c r="M93" s="2">
        <f t="shared" ref="M93:M99" si="42">L93*G93</f>
        <v>2.54976640776</v>
      </c>
    </row>
    <row r="94" spans="1:13" x14ac:dyDescent="0.25">
      <c r="A94" s="4">
        <v>26.295000000000002</v>
      </c>
      <c r="B94" s="2" t="s">
        <v>19</v>
      </c>
      <c r="C94" s="6">
        <f t="shared" si="23"/>
        <v>0.83099999999999996</v>
      </c>
      <c r="D94" s="6">
        <f t="shared" si="39"/>
        <v>21.851144999999999</v>
      </c>
      <c r="E94" s="2" t="s">
        <v>18</v>
      </c>
      <c r="F94" s="2">
        <f t="shared" si="40"/>
        <v>0.88400000000000001</v>
      </c>
      <c r="G94" s="6">
        <f t="shared" si="11"/>
        <v>19.31641218</v>
      </c>
      <c r="H94" s="6" t="s">
        <v>7</v>
      </c>
      <c r="I94" s="6">
        <f>19.9/100</f>
        <v>0.19899999999999998</v>
      </c>
      <c r="J94" s="6">
        <f t="shared" si="41"/>
        <v>3.8439660238199997</v>
      </c>
      <c r="K94" s="2" t="s">
        <v>34</v>
      </c>
      <c r="L94" s="2">
        <f>14.2/100</f>
        <v>0.14199999999999999</v>
      </c>
      <c r="M94" s="2">
        <f t="shared" si="42"/>
        <v>2.7429305295599997</v>
      </c>
    </row>
    <row r="95" spans="1:13" x14ac:dyDescent="0.25">
      <c r="A95" s="4">
        <v>26.295000000000002</v>
      </c>
      <c r="B95" s="2" t="s">
        <v>19</v>
      </c>
      <c r="C95" s="6">
        <f t="shared" si="23"/>
        <v>0.83099999999999996</v>
      </c>
      <c r="D95" s="6">
        <f t="shared" si="39"/>
        <v>21.851144999999999</v>
      </c>
      <c r="E95" s="2" t="s">
        <v>18</v>
      </c>
      <c r="F95" s="2">
        <f t="shared" si="40"/>
        <v>0.88400000000000001</v>
      </c>
      <c r="G95" s="6">
        <f t="shared" si="11"/>
        <v>19.31641218</v>
      </c>
      <c r="H95" s="6" t="s">
        <v>8</v>
      </c>
      <c r="I95" s="6">
        <f>35/100</f>
        <v>0.35</v>
      </c>
      <c r="J95" s="6">
        <f t="shared" si="41"/>
        <v>6.7607442629999994</v>
      </c>
      <c r="K95" s="2" t="s">
        <v>35</v>
      </c>
      <c r="L95" s="2">
        <f>22.4/100</f>
        <v>0.22399999999999998</v>
      </c>
      <c r="M95" s="2">
        <f t="shared" si="42"/>
        <v>4.32687632832</v>
      </c>
    </row>
    <row r="96" spans="1:13" x14ac:dyDescent="0.25">
      <c r="A96" s="4">
        <v>26.295000000000002</v>
      </c>
      <c r="B96" s="2" t="s">
        <v>19</v>
      </c>
      <c r="C96" s="6">
        <f t="shared" si="23"/>
        <v>0.83099999999999996</v>
      </c>
      <c r="D96" s="6">
        <f t="shared" si="39"/>
        <v>21.851144999999999</v>
      </c>
      <c r="E96" s="2" t="s">
        <v>18</v>
      </c>
      <c r="F96" s="2">
        <f t="shared" si="40"/>
        <v>0.88400000000000001</v>
      </c>
      <c r="G96" s="6">
        <f t="shared" si="11"/>
        <v>19.31641218</v>
      </c>
      <c r="H96" s="6" t="s">
        <v>10</v>
      </c>
      <c r="I96" s="6">
        <f>2.5/100</f>
        <v>2.5000000000000001E-2</v>
      </c>
      <c r="J96" s="6">
        <f t="shared" si="41"/>
        <v>0.48291030450000005</v>
      </c>
      <c r="K96" s="2" t="s">
        <v>36</v>
      </c>
      <c r="L96" s="2">
        <f>20.1/100</f>
        <v>0.20100000000000001</v>
      </c>
      <c r="M96" s="2">
        <f t="shared" si="42"/>
        <v>3.8825988481800002</v>
      </c>
    </row>
    <row r="97" spans="1:13" x14ac:dyDescent="0.25">
      <c r="A97" s="4">
        <v>26.295000000000002</v>
      </c>
      <c r="B97" s="2" t="s">
        <v>19</v>
      </c>
      <c r="C97" s="6">
        <f t="shared" si="23"/>
        <v>0.83099999999999996</v>
      </c>
      <c r="D97" s="6">
        <f t="shared" si="39"/>
        <v>21.851144999999999</v>
      </c>
      <c r="E97" s="2" t="s">
        <v>18</v>
      </c>
      <c r="F97" s="2">
        <f t="shared" si="40"/>
        <v>0.88400000000000001</v>
      </c>
      <c r="G97" s="6">
        <f t="shared" si="11"/>
        <v>19.31641218</v>
      </c>
      <c r="H97" s="6" t="s">
        <v>9</v>
      </c>
      <c r="I97" s="6">
        <f>7.9/100</f>
        <v>7.9000000000000001E-2</v>
      </c>
      <c r="J97" s="6">
        <f t="shared" si="41"/>
        <v>1.52599656222</v>
      </c>
      <c r="K97" s="2" t="s">
        <v>37</v>
      </c>
      <c r="L97" s="2">
        <f>15.5/100</f>
        <v>0.155</v>
      </c>
      <c r="M97" s="2">
        <f t="shared" si="42"/>
        <v>2.9940438879000002</v>
      </c>
    </row>
    <row r="98" spans="1:13" x14ac:dyDescent="0.25">
      <c r="A98" s="4">
        <v>26.295000000000002</v>
      </c>
      <c r="B98" s="2" t="s">
        <v>19</v>
      </c>
      <c r="C98" s="6">
        <f t="shared" si="23"/>
        <v>0.83099999999999996</v>
      </c>
      <c r="D98" s="6">
        <f t="shared" si="39"/>
        <v>21.851144999999999</v>
      </c>
      <c r="E98" s="2" t="s">
        <v>18</v>
      </c>
      <c r="F98" s="2">
        <f t="shared" si="40"/>
        <v>0.88400000000000001</v>
      </c>
      <c r="G98" s="6">
        <f t="shared" si="11"/>
        <v>19.31641218</v>
      </c>
      <c r="H98" s="6" t="s">
        <v>55</v>
      </c>
      <c r="I98" s="2">
        <f>2.2/100</f>
        <v>2.2000000000000002E-2</v>
      </c>
      <c r="J98" s="2"/>
      <c r="K98" s="2" t="s">
        <v>38</v>
      </c>
      <c r="L98" s="2">
        <f>3.7/100</f>
        <v>3.7000000000000005E-2</v>
      </c>
      <c r="M98" s="2">
        <f t="shared" si="42"/>
        <v>0.71470725066000007</v>
      </c>
    </row>
    <row r="99" spans="1:13" x14ac:dyDescent="0.25">
      <c r="A99" s="4">
        <v>26.295000000000002</v>
      </c>
      <c r="B99" s="2" t="s">
        <v>19</v>
      </c>
      <c r="C99" s="6">
        <f t="shared" si="23"/>
        <v>0.83099999999999996</v>
      </c>
      <c r="D99" s="6">
        <f t="shared" si="39"/>
        <v>21.851144999999999</v>
      </c>
      <c r="E99" s="2" t="s">
        <v>18</v>
      </c>
      <c r="F99" s="2">
        <f t="shared" si="40"/>
        <v>0.88400000000000001</v>
      </c>
      <c r="G99" s="6">
        <f t="shared" ref="G99" si="43">F99*D99</f>
        <v>19.31641218</v>
      </c>
      <c r="H99" s="2"/>
      <c r="I99" s="2"/>
      <c r="J99" s="2"/>
      <c r="K99" s="2" t="s">
        <v>39</v>
      </c>
      <c r="L99" s="2">
        <f>2.6/100</f>
        <v>2.6000000000000002E-2</v>
      </c>
      <c r="M99" s="2">
        <f t="shared" si="42"/>
        <v>0.50222671668000007</v>
      </c>
    </row>
  </sheetData>
  <mergeCells count="1">
    <mergeCell ref="E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M99"/>
  <sheetViews>
    <sheetView topLeftCell="A70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82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25.536000000000001</v>
      </c>
      <c r="B4" s="4" t="s">
        <v>2</v>
      </c>
      <c r="C4" s="5">
        <f t="shared" ref="C4:C51" si="0">16.8/100</f>
        <v>0.16800000000000001</v>
      </c>
      <c r="D4" s="6">
        <f>C4*A4</f>
        <v>4.2900480000000005</v>
      </c>
      <c r="E4" s="6" t="s">
        <v>14</v>
      </c>
      <c r="F4" s="5">
        <f>19.5/100</f>
        <v>0.19500000000000001</v>
      </c>
      <c r="G4" s="5">
        <f>D4*F4</f>
        <v>0.83655936000000009</v>
      </c>
      <c r="H4" s="6" t="s">
        <v>11</v>
      </c>
      <c r="I4" s="6">
        <f>10/100</f>
        <v>0.1</v>
      </c>
      <c r="J4" s="7">
        <f>I4*G4</f>
        <v>8.3655936000000014E-2</v>
      </c>
      <c r="K4" s="2" t="s">
        <v>32</v>
      </c>
      <c r="L4" s="2">
        <f>1.8/100</f>
        <v>1.8000000000000002E-2</v>
      </c>
      <c r="M4" s="2">
        <f>L4*G4</f>
        <v>1.5058068480000004E-2</v>
      </c>
    </row>
    <row r="5" spans="1:13" x14ac:dyDescent="0.25">
      <c r="A5" s="4">
        <v>25.536000000000001</v>
      </c>
      <c r="B5" s="4" t="s">
        <v>2</v>
      </c>
      <c r="C5" s="5">
        <f t="shared" si="0"/>
        <v>0.16800000000000001</v>
      </c>
      <c r="D5" s="6">
        <f>C5*A5</f>
        <v>4.2900480000000005</v>
      </c>
      <c r="E5" s="6" t="s">
        <v>43</v>
      </c>
      <c r="F5" s="5">
        <f t="shared" ref="F5:F11" si="1">19.5/100</f>
        <v>0.19500000000000001</v>
      </c>
      <c r="G5" s="5">
        <f>D5*F5</f>
        <v>0.83655936000000009</v>
      </c>
      <c r="H5" s="6" t="s">
        <v>12</v>
      </c>
      <c r="I5" s="6">
        <f>1.7/100</f>
        <v>1.7000000000000001E-2</v>
      </c>
      <c r="J5" s="8">
        <f t="shared" ref="J5:J10" si="2">G5*I5</f>
        <v>1.4221509120000003E-2</v>
      </c>
      <c r="K5" s="2" t="s">
        <v>33</v>
      </c>
      <c r="L5" s="2">
        <f>7.3/100</f>
        <v>7.2999999999999995E-2</v>
      </c>
      <c r="M5" s="2">
        <f t="shared" ref="M5:M11" si="3">L5*G5</f>
        <v>6.1068833280000005E-2</v>
      </c>
    </row>
    <row r="6" spans="1:13" x14ac:dyDescent="0.25">
      <c r="A6" s="4">
        <v>25.536000000000001</v>
      </c>
      <c r="B6" s="4" t="s">
        <v>2</v>
      </c>
      <c r="C6" s="5">
        <f t="shared" si="0"/>
        <v>0.16800000000000001</v>
      </c>
      <c r="D6" s="6">
        <f t="shared" ref="D6:D92" si="4">C6*A6</f>
        <v>4.2900480000000005</v>
      </c>
      <c r="E6" s="6" t="s">
        <v>14</v>
      </c>
      <c r="F6" s="5">
        <f t="shared" si="1"/>
        <v>0.19500000000000001</v>
      </c>
      <c r="G6" s="5">
        <f t="shared" ref="G6:G11" si="5">D6*F6</f>
        <v>0.83655936000000009</v>
      </c>
      <c r="H6" s="6" t="s">
        <v>7</v>
      </c>
      <c r="I6" s="14">
        <f>6.8/100</f>
        <v>6.8000000000000005E-2</v>
      </c>
      <c r="J6" s="8">
        <f t="shared" si="2"/>
        <v>5.6886036480000013E-2</v>
      </c>
      <c r="K6" s="2" t="s">
        <v>34</v>
      </c>
      <c r="L6" s="2">
        <f>8.4/100</f>
        <v>8.4000000000000005E-2</v>
      </c>
      <c r="M6" s="2">
        <f t="shared" si="3"/>
        <v>7.0270986240000013E-2</v>
      </c>
    </row>
    <row r="7" spans="1:13" x14ac:dyDescent="0.25">
      <c r="A7" s="4">
        <v>25.536000000000001</v>
      </c>
      <c r="B7" s="4" t="s">
        <v>2</v>
      </c>
      <c r="C7" s="5">
        <f t="shared" si="0"/>
        <v>0.16800000000000001</v>
      </c>
      <c r="D7" s="6">
        <f t="shared" si="4"/>
        <v>4.2900480000000005</v>
      </c>
      <c r="E7" s="6" t="s">
        <v>14</v>
      </c>
      <c r="F7" s="5">
        <f t="shared" si="1"/>
        <v>0.19500000000000001</v>
      </c>
      <c r="G7" s="5">
        <f t="shared" si="5"/>
        <v>0.83655936000000009</v>
      </c>
      <c r="H7" s="6" t="s">
        <v>8</v>
      </c>
      <c r="I7" s="6">
        <f>35/100</f>
        <v>0.35</v>
      </c>
      <c r="J7" s="8">
        <f t="shared" si="2"/>
        <v>0.29279577600000001</v>
      </c>
      <c r="K7" s="2" t="s">
        <v>35</v>
      </c>
      <c r="L7" s="2">
        <f>23.7/100</f>
        <v>0.23699999999999999</v>
      </c>
      <c r="M7" s="2">
        <f t="shared" si="3"/>
        <v>0.19826456832</v>
      </c>
    </row>
    <row r="8" spans="1:13" x14ac:dyDescent="0.25">
      <c r="A8" s="4">
        <v>25.536000000000001</v>
      </c>
      <c r="B8" s="4" t="s">
        <v>2</v>
      </c>
      <c r="C8" s="5">
        <f t="shared" si="0"/>
        <v>0.16800000000000001</v>
      </c>
      <c r="D8" s="6">
        <f t="shared" si="4"/>
        <v>4.2900480000000005</v>
      </c>
      <c r="E8" s="6" t="s">
        <v>14</v>
      </c>
      <c r="F8" s="5">
        <f t="shared" si="1"/>
        <v>0.19500000000000001</v>
      </c>
      <c r="G8" s="5">
        <f t="shared" si="5"/>
        <v>0.83655936000000009</v>
      </c>
      <c r="H8" s="6" t="s">
        <v>10</v>
      </c>
      <c r="I8" s="6">
        <f>4.7/100</f>
        <v>4.7E-2</v>
      </c>
      <c r="J8" s="8">
        <f t="shared" si="2"/>
        <v>3.9318289920000006E-2</v>
      </c>
      <c r="K8" s="2" t="s">
        <v>36</v>
      </c>
      <c r="L8" s="2">
        <f>25.8/100</f>
        <v>0.25800000000000001</v>
      </c>
      <c r="M8" s="2">
        <f t="shared" si="3"/>
        <v>0.21583231488000001</v>
      </c>
    </row>
    <row r="9" spans="1:13" x14ac:dyDescent="0.25">
      <c r="A9" s="4">
        <v>25.536000000000001</v>
      </c>
      <c r="B9" s="4" t="s">
        <v>2</v>
      </c>
      <c r="C9" s="5">
        <f t="shared" si="0"/>
        <v>0.16800000000000001</v>
      </c>
      <c r="D9" s="6">
        <f>C9*A9</f>
        <v>4.2900480000000005</v>
      </c>
      <c r="E9" s="6" t="s">
        <v>14</v>
      </c>
      <c r="F9" s="5">
        <f t="shared" si="1"/>
        <v>0.19500000000000001</v>
      </c>
      <c r="G9" s="5">
        <f t="shared" si="5"/>
        <v>0.83655936000000009</v>
      </c>
      <c r="H9" s="6" t="s">
        <v>9</v>
      </c>
      <c r="I9" s="6">
        <f>41.4/100</f>
        <v>0.41399999999999998</v>
      </c>
      <c r="J9" s="8">
        <f t="shared" si="2"/>
        <v>0.34633557504000001</v>
      </c>
      <c r="K9" s="2" t="s">
        <v>37</v>
      </c>
      <c r="L9" s="2">
        <f>30.6/100</f>
        <v>0.30599999999999999</v>
      </c>
      <c r="M9" s="2">
        <f t="shared" si="3"/>
        <v>0.25598716416</v>
      </c>
    </row>
    <row r="10" spans="1:13" x14ac:dyDescent="0.25">
      <c r="A10" s="4">
        <v>25.536000000000001</v>
      </c>
      <c r="B10" s="4" t="s">
        <v>2</v>
      </c>
      <c r="C10" s="5">
        <f t="shared" si="0"/>
        <v>0.16800000000000001</v>
      </c>
      <c r="D10" s="6">
        <f t="shared" si="4"/>
        <v>4.2900480000000005</v>
      </c>
      <c r="E10" s="6" t="s">
        <v>14</v>
      </c>
      <c r="F10" s="5">
        <f t="shared" si="1"/>
        <v>0.19500000000000001</v>
      </c>
      <c r="G10" s="5">
        <f t="shared" si="5"/>
        <v>0.83655936000000009</v>
      </c>
      <c r="H10" s="6" t="s">
        <v>55</v>
      </c>
      <c r="I10" s="6">
        <f>0.4/100</f>
        <v>4.0000000000000001E-3</v>
      </c>
      <c r="J10" s="8">
        <f t="shared" si="2"/>
        <v>3.3462374400000006E-3</v>
      </c>
      <c r="K10" s="2" t="s">
        <v>38</v>
      </c>
      <c r="L10" s="2">
        <f>1.8/100</f>
        <v>1.8000000000000002E-2</v>
      </c>
      <c r="M10" s="2">
        <f t="shared" si="3"/>
        <v>1.5058068480000004E-2</v>
      </c>
    </row>
    <row r="11" spans="1:13" x14ac:dyDescent="0.25">
      <c r="A11" s="4">
        <v>25.536000000000001</v>
      </c>
      <c r="B11" s="4" t="s">
        <v>2</v>
      </c>
      <c r="C11" s="5">
        <f t="shared" si="0"/>
        <v>0.16800000000000001</v>
      </c>
      <c r="D11" s="6">
        <f t="shared" si="4"/>
        <v>4.2900480000000005</v>
      </c>
      <c r="E11" s="6" t="s">
        <v>14</v>
      </c>
      <c r="F11" s="5">
        <f t="shared" si="1"/>
        <v>0.19500000000000001</v>
      </c>
      <c r="G11" s="5">
        <f t="shared" si="5"/>
        <v>0.83655936000000009</v>
      </c>
      <c r="H11" s="6"/>
      <c r="I11" s="6"/>
      <c r="J11" s="8"/>
      <c r="K11" s="2" t="s">
        <v>39</v>
      </c>
      <c r="L11" s="2">
        <f>0.5/100</f>
        <v>5.0000000000000001E-3</v>
      </c>
      <c r="M11" s="2">
        <f t="shared" si="3"/>
        <v>4.1827968000000002E-3</v>
      </c>
    </row>
    <row r="12" spans="1:13" x14ac:dyDescent="0.25">
      <c r="A12" s="4">
        <v>25.536000000000001</v>
      </c>
      <c r="B12" s="4" t="s">
        <v>2</v>
      </c>
      <c r="C12" s="5">
        <f t="shared" si="0"/>
        <v>0.16800000000000001</v>
      </c>
      <c r="D12" s="6">
        <f t="shared" si="4"/>
        <v>4.2900480000000005</v>
      </c>
      <c r="E12" s="6" t="s">
        <v>44</v>
      </c>
      <c r="F12" s="8">
        <f>14.6/100</f>
        <v>0.14599999999999999</v>
      </c>
      <c r="G12" s="6">
        <f>F12*D12</f>
        <v>0.62634700799999998</v>
      </c>
      <c r="H12" s="6" t="s">
        <v>11</v>
      </c>
      <c r="I12" s="6">
        <f>1.4/100</f>
        <v>1.3999999999999999E-2</v>
      </c>
      <c r="J12" s="8">
        <f>I12*G12</f>
        <v>8.7688581119999987E-3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25.536000000000001</v>
      </c>
      <c r="B13" s="4" t="s">
        <v>2</v>
      </c>
      <c r="C13" s="5">
        <f t="shared" si="0"/>
        <v>0.16800000000000001</v>
      </c>
      <c r="D13" s="6">
        <f t="shared" si="4"/>
        <v>4.2900480000000005</v>
      </c>
      <c r="E13" s="6" t="s">
        <v>15</v>
      </c>
      <c r="F13" s="8">
        <f t="shared" ref="F13:F19" si="6">14.6/100</f>
        <v>0.14599999999999999</v>
      </c>
      <c r="G13" s="6">
        <f t="shared" ref="G13:G19" si="7">F13*D13</f>
        <v>0.62634700799999998</v>
      </c>
      <c r="H13" s="6" t="s">
        <v>12</v>
      </c>
      <c r="I13" s="6">
        <f>2.8/100</f>
        <v>2.7999999999999997E-2</v>
      </c>
      <c r="J13" s="8">
        <f t="shared" ref="J13:J17" si="8">I13*G13</f>
        <v>1.7537716223999997E-2</v>
      </c>
      <c r="K13" s="2" t="s">
        <v>33</v>
      </c>
      <c r="L13" s="2">
        <f>3.7/100</f>
        <v>3.7000000000000005E-2</v>
      </c>
      <c r="M13" s="2">
        <f t="shared" ref="M13:M19" si="9">L13*G13</f>
        <v>2.3174839296000001E-2</v>
      </c>
    </row>
    <row r="14" spans="1:13" x14ac:dyDescent="0.25">
      <c r="A14" s="4">
        <v>25.536000000000001</v>
      </c>
      <c r="B14" s="4" t="s">
        <v>2</v>
      </c>
      <c r="C14" s="5">
        <f t="shared" si="0"/>
        <v>0.16800000000000001</v>
      </c>
      <c r="D14" s="6">
        <f t="shared" si="4"/>
        <v>4.2900480000000005</v>
      </c>
      <c r="E14" s="6" t="s">
        <v>15</v>
      </c>
      <c r="F14" s="8">
        <f t="shared" si="6"/>
        <v>0.14599999999999999</v>
      </c>
      <c r="G14" s="6">
        <f t="shared" si="7"/>
        <v>0.62634700799999998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12.3/100</f>
        <v>0.12300000000000001</v>
      </c>
      <c r="M14" s="2">
        <f t="shared" si="9"/>
        <v>7.7040681984000006E-2</v>
      </c>
    </row>
    <row r="15" spans="1:13" x14ac:dyDescent="0.25">
      <c r="A15" s="4">
        <v>25.536000000000001</v>
      </c>
      <c r="B15" s="4" t="s">
        <v>2</v>
      </c>
      <c r="C15" s="5">
        <f t="shared" si="0"/>
        <v>0.16800000000000001</v>
      </c>
      <c r="D15" s="6">
        <f t="shared" si="4"/>
        <v>4.2900480000000005</v>
      </c>
      <c r="E15" s="6" t="s">
        <v>15</v>
      </c>
      <c r="F15" s="8">
        <f t="shared" si="6"/>
        <v>0.14599999999999999</v>
      </c>
      <c r="G15" s="6">
        <f t="shared" si="7"/>
        <v>0.62634700799999998</v>
      </c>
      <c r="H15" s="6" t="s">
        <v>8</v>
      </c>
      <c r="I15" s="6">
        <f>34.5/100</f>
        <v>0.34499999999999997</v>
      </c>
      <c r="J15" s="8">
        <f>I15*G15</f>
        <v>0.21608971775999997</v>
      </c>
      <c r="K15" s="2" t="s">
        <v>35</v>
      </c>
      <c r="L15" s="2">
        <f>43.8/100</f>
        <v>0.43799999999999994</v>
      </c>
      <c r="M15" s="2">
        <f t="shared" si="9"/>
        <v>0.27433998950399996</v>
      </c>
    </row>
    <row r="16" spans="1:13" x14ac:dyDescent="0.25">
      <c r="A16" s="4">
        <v>25.536000000000001</v>
      </c>
      <c r="B16" s="4" t="s">
        <v>2</v>
      </c>
      <c r="C16" s="5">
        <f t="shared" si="0"/>
        <v>0.16800000000000001</v>
      </c>
      <c r="D16" s="6">
        <f t="shared" si="4"/>
        <v>4.2900480000000005</v>
      </c>
      <c r="E16" s="6" t="s">
        <v>15</v>
      </c>
      <c r="F16" s="8">
        <f t="shared" si="6"/>
        <v>0.14599999999999999</v>
      </c>
      <c r="G16" s="6">
        <f t="shared" si="7"/>
        <v>0.62634700799999998</v>
      </c>
      <c r="H16" s="6" t="s">
        <v>10</v>
      </c>
      <c r="I16" s="6">
        <f>3.5/100</f>
        <v>3.5000000000000003E-2</v>
      </c>
      <c r="J16" s="8">
        <f t="shared" si="8"/>
        <v>2.1922145280000003E-2</v>
      </c>
      <c r="K16" s="2" t="s">
        <v>36</v>
      </c>
      <c r="L16" s="2">
        <f>9.5/100</f>
        <v>9.5000000000000001E-2</v>
      </c>
      <c r="M16" s="2">
        <f t="shared" si="9"/>
        <v>5.9502965759999998E-2</v>
      </c>
    </row>
    <row r="17" spans="1:13" x14ac:dyDescent="0.25">
      <c r="A17" s="4">
        <v>25.536000000000001</v>
      </c>
      <c r="B17" s="4" t="s">
        <v>2</v>
      </c>
      <c r="C17" s="5">
        <f t="shared" si="0"/>
        <v>0.16800000000000001</v>
      </c>
      <c r="D17" s="6">
        <f t="shared" si="4"/>
        <v>4.2900480000000005</v>
      </c>
      <c r="E17" s="6" t="s">
        <v>15</v>
      </c>
      <c r="F17" s="8">
        <f t="shared" si="6"/>
        <v>0.14599999999999999</v>
      </c>
      <c r="G17" s="6">
        <f t="shared" si="7"/>
        <v>0.62634700799999998</v>
      </c>
      <c r="H17" s="6" t="s">
        <v>9</v>
      </c>
      <c r="I17" s="6">
        <f>57.7/100</f>
        <v>0.57700000000000007</v>
      </c>
      <c r="J17" s="8">
        <f t="shared" si="8"/>
        <v>0.36140222361600005</v>
      </c>
      <c r="K17" s="2" t="s">
        <v>37</v>
      </c>
      <c r="L17" s="2">
        <f>30.7/100</f>
        <v>0.307</v>
      </c>
      <c r="M17" s="2">
        <f t="shared" si="9"/>
        <v>0.192288531456</v>
      </c>
    </row>
    <row r="18" spans="1:13" x14ac:dyDescent="0.25">
      <c r="A18" s="4">
        <v>25.536000000000001</v>
      </c>
      <c r="B18" s="4" t="s">
        <v>2</v>
      </c>
      <c r="C18" s="5">
        <f t="shared" si="0"/>
        <v>0.16800000000000001</v>
      </c>
      <c r="D18" s="6">
        <f t="shared" si="4"/>
        <v>4.2900480000000005</v>
      </c>
      <c r="E18" s="6" t="s">
        <v>15</v>
      </c>
      <c r="F18" s="8">
        <f t="shared" si="6"/>
        <v>0.14599999999999999</v>
      </c>
      <c r="G18" s="6">
        <f t="shared" si="7"/>
        <v>0.62634700799999998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25.536000000000001</v>
      </c>
      <c r="B19" s="4" t="s">
        <v>2</v>
      </c>
      <c r="C19" s="5">
        <f t="shared" si="0"/>
        <v>0.16800000000000001</v>
      </c>
      <c r="D19" s="6">
        <f t="shared" si="4"/>
        <v>4.2900480000000005</v>
      </c>
      <c r="E19" s="6" t="s">
        <v>15</v>
      </c>
      <c r="F19" s="8">
        <f t="shared" si="6"/>
        <v>0.14599999999999999</v>
      </c>
      <c r="G19" s="6">
        <f t="shared" si="7"/>
        <v>0.62634700799999998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25.536000000000001</v>
      </c>
      <c r="B20" s="4" t="s">
        <v>2</v>
      </c>
      <c r="C20" s="5">
        <f t="shared" si="0"/>
        <v>0.16800000000000001</v>
      </c>
      <c r="D20" s="6">
        <f t="shared" si="4"/>
        <v>4.2900480000000005</v>
      </c>
      <c r="E20" s="6" t="s">
        <v>45</v>
      </c>
      <c r="F20" s="6">
        <f>16.7/100</f>
        <v>0.16699999999999998</v>
      </c>
      <c r="G20" s="6">
        <f>F20*D20</f>
        <v>0.71643801600000001</v>
      </c>
      <c r="H20" s="6" t="s">
        <v>11</v>
      </c>
      <c r="I20" s="6">
        <f>13.3/100</f>
        <v>0.13300000000000001</v>
      </c>
      <c r="J20" s="6">
        <f>I20*G20</f>
        <v>9.5286256128000013E-2</v>
      </c>
      <c r="K20" s="2" t="s">
        <v>32</v>
      </c>
      <c r="L20" s="2">
        <f>2.1/100</f>
        <v>2.1000000000000001E-2</v>
      </c>
      <c r="M20" s="2">
        <f>L20*G20</f>
        <v>1.5045198336000001E-2</v>
      </c>
    </row>
    <row r="21" spans="1:13" x14ac:dyDescent="0.25">
      <c r="A21" s="4">
        <v>25.536000000000001</v>
      </c>
      <c r="B21" s="4" t="s">
        <v>2</v>
      </c>
      <c r="C21" s="5">
        <f t="shared" si="0"/>
        <v>0.16800000000000001</v>
      </c>
      <c r="D21" s="6">
        <f t="shared" si="4"/>
        <v>4.2900480000000005</v>
      </c>
      <c r="E21" s="6" t="s">
        <v>16</v>
      </c>
      <c r="F21" s="6">
        <f t="shared" ref="F21:F27" si="10">16.7/100</f>
        <v>0.16699999999999998</v>
      </c>
      <c r="G21" s="6">
        <f t="shared" ref="G21:G98" si="11">F21*D21</f>
        <v>0.71643801600000001</v>
      </c>
      <c r="H21" s="6" t="s">
        <v>12</v>
      </c>
      <c r="I21" s="6">
        <f>4.4/100</f>
        <v>4.4000000000000004E-2</v>
      </c>
      <c r="J21" s="6">
        <f t="shared" ref="J21:J26" si="12">I21*G21</f>
        <v>3.1523272704000002E-2</v>
      </c>
      <c r="K21" s="2" t="s">
        <v>33</v>
      </c>
      <c r="L21" s="2">
        <f>8.2/100</f>
        <v>8.199999999999999E-2</v>
      </c>
      <c r="M21" s="2">
        <f t="shared" ref="M21:M27" si="13">L21*G21</f>
        <v>5.8747917311999992E-2</v>
      </c>
    </row>
    <row r="22" spans="1:13" x14ac:dyDescent="0.25">
      <c r="A22" s="4">
        <v>25.536000000000001</v>
      </c>
      <c r="B22" s="4" t="s">
        <v>2</v>
      </c>
      <c r="C22" s="5">
        <f t="shared" si="0"/>
        <v>0.16800000000000001</v>
      </c>
      <c r="D22" s="6">
        <f t="shared" si="4"/>
        <v>4.2900480000000005</v>
      </c>
      <c r="E22" s="6" t="s">
        <v>16</v>
      </c>
      <c r="F22" s="6">
        <f t="shared" si="10"/>
        <v>0.16699999999999998</v>
      </c>
      <c r="G22" s="6">
        <f t="shared" si="11"/>
        <v>0.71643801600000001</v>
      </c>
      <c r="H22" s="6" t="s">
        <v>7</v>
      </c>
      <c r="I22" s="6">
        <f>5.9/100</f>
        <v>5.9000000000000004E-2</v>
      </c>
      <c r="J22" s="6">
        <f t="shared" si="12"/>
        <v>4.2269842944000005E-2</v>
      </c>
      <c r="K22" s="2" t="s">
        <v>34</v>
      </c>
      <c r="L22" s="2">
        <f>15.2/100</f>
        <v>0.152</v>
      </c>
      <c r="M22" s="2">
        <f t="shared" si="13"/>
        <v>0.108898578432</v>
      </c>
    </row>
    <row r="23" spans="1:13" x14ac:dyDescent="0.25">
      <c r="A23" s="4">
        <v>25.536000000000001</v>
      </c>
      <c r="B23" s="4" t="s">
        <v>2</v>
      </c>
      <c r="C23" s="5">
        <f t="shared" si="0"/>
        <v>0.16800000000000001</v>
      </c>
      <c r="D23" s="6">
        <f t="shared" si="4"/>
        <v>4.2900480000000005</v>
      </c>
      <c r="E23" s="6" t="s">
        <v>16</v>
      </c>
      <c r="F23" s="6">
        <f t="shared" si="10"/>
        <v>0.16699999999999998</v>
      </c>
      <c r="G23" s="6">
        <f t="shared" si="11"/>
        <v>0.71643801600000001</v>
      </c>
      <c r="H23" s="6" t="s">
        <v>8</v>
      </c>
      <c r="I23" s="6">
        <f>25.3/100</f>
        <v>0.253</v>
      </c>
      <c r="J23" s="6">
        <f t="shared" si="12"/>
        <v>0.18125881804800001</v>
      </c>
      <c r="K23" s="2" t="s">
        <v>35</v>
      </c>
      <c r="L23" s="2">
        <f>22.9/100</f>
        <v>0.22899999999999998</v>
      </c>
      <c r="M23" s="2">
        <f t="shared" si="13"/>
        <v>0.16406430566399999</v>
      </c>
    </row>
    <row r="24" spans="1:13" x14ac:dyDescent="0.25">
      <c r="A24" s="4">
        <v>25.536000000000001</v>
      </c>
      <c r="B24" s="4" t="s">
        <v>2</v>
      </c>
      <c r="C24" s="5">
        <f t="shared" si="0"/>
        <v>0.16800000000000001</v>
      </c>
      <c r="D24" s="6">
        <f t="shared" si="4"/>
        <v>4.2900480000000005</v>
      </c>
      <c r="E24" s="6" t="s">
        <v>16</v>
      </c>
      <c r="F24" s="6">
        <f t="shared" si="10"/>
        <v>0.16699999999999998</v>
      </c>
      <c r="G24" s="6">
        <f t="shared" si="11"/>
        <v>0.71643801600000001</v>
      </c>
      <c r="H24" s="6" t="s">
        <v>10</v>
      </c>
      <c r="I24" s="6">
        <f>4.8/100</f>
        <v>4.8000000000000001E-2</v>
      </c>
      <c r="J24" s="6">
        <f t="shared" si="12"/>
        <v>3.4389024768000001E-2</v>
      </c>
      <c r="K24" s="2" t="s">
        <v>36</v>
      </c>
      <c r="L24" s="2">
        <f>25.5/100</f>
        <v>0.255</v>
      </c>
      <c r="M24" s="2">
        <f t="shared" si="13"/>
        <v>0.18269169407999999</v>
      </c>
    </row>
    <row r="25" spans="1:13" x14ac:dyDescent="0.25">
      <c r="A25" s="4">
        <v>25.536000000000001</v>
      </c>
      <c r="B25" s="4" t="s">
        <v>2</v>
      </c>
      <c r="C25" s="5">
        <f t="shared" si="0"/>
        <v>0.16800000000000001</v>
      </c>
      <c r="D25" s="6">
        <f t="shared" si="4"/>
        <v>4.2900480000000005</v>
      </c>
      <c r="E25" s="6" t="s">
        <v>16</v>
      </c>
      <c r="F25" s="6">
        <f t="shared" si="10"/>
        <v>0.16699999999999998</v>
      </c>
      <c r="G25" s="6">
        <f t="shared" si="11"/>
        <v>0.71643801600000001</v>
      </c>
      <c r="H25" s="6" t="s">
        <v>9</v>
      </c>
      <c r="I25" s="6">
        <f>45.6/100</f>
        <v>0.45600000000000002</v>
      </c>
      <c r="J25" s="6">
        <f t="shared" si="12"/>
        <v>0.32669573529599999</v>
      </c>
      <c r="K25" s="2" t="s">
        <v>37</v>
      </c>
      <c r="L25" s="2">
        <f>22.9/100</f>
        <v>0.22899999999999998</v>
      </c>
      <c r="M25" s="2">
        <f t="shared" si="13"/>
        <v>0.16406430566399999</v>
      </c>
    </row>
    <row r="26" spans="1:13" x14ac:dyDescent="0.25">
      <c r="A26" s="4">
        <v>25.536000000000001</v>
      </c>
      <c r="B26" s="4" t="s">
        <v>2</v>
      </c>
      <c r="C26" s="5">
        <f t="shared" si="0"/>
        <v>0.16800000000000001</v>
      </c>
      <c r="D26" s="6">
        <f t="shared" si="4"/>
        <v>4.2900480000000005</v>
      </c>
      <c r="E26" s="6" t="s">
        <v>16</v>
      </c>
      <c r="F26" s="6">
        <f t="shared" si="10"/>
        <v>0.16699999999999998</v>
      </c>
      <c r="G26" s="6">
        <f t="shared" si="11"/>
        <v>0.71643801600000001</v>
      </c>
      <c r="H26" s="6" t="s">
        <v>55</v>
      </c>
      <c r="I26" s="6">
        <f>0.8/100</f>
        <v>8.0000000000000002E-3</v>
      </c>
      <c r="J26" s="6">
        <f t="shared" si="12"/>
        <v>5.7315041280000005E-3</v>
      </c>
      <c r="K26" s="2" t="s">
        <v>38</v>
      </c>
      <c r="L26" s="2">
        <f>1.6/100</f>
        <v>1.6E-2</v>
      </c>
      <c r="M26" s="2">
        <f t="shared" si="13"/>
        <v>1.1463008256000001E-2</v>
      </c>
    </row>
    <row r="27" spans="1:13" x14ac:dyDescent="0.25">
      <c r="A27" s="4">
        <v>25.536000000000001</v>
      </c>
      <c r="B27" s="4" t="s">
        <v>2</v>
      </c>
      <c r="C27" s="5">
        <f t="shared" si="0"/>
        <v>0.16800000000000001</v>
      </c>
      <c r="D27" s="6">
        <f t="shared" si="4"/>
        <v>4.2900480000000005</v>
      </c>
      <c r="E27" s="6" t="s">
        <v>16</v>
      </c>
      <c r="F27" s="6">
        <f t="shared" si="10"/>
        <v>0.16699999999999998</v>
      </c>
      <c r="G27" s="6">
        <f t="shared" si="11"/>
        <v>0.71643801600000001</v>
      </c>
      <c r="H27" s="6"/>
      <c r="I27" s="6"/>
      <c r="J27" s="6"/>
      <c r="K27" s="2" t="s">
        <v>39</v>
      </c>
      <c r="L27" s="2">
        <f>1.5/100</f>
        <v>1.4999999999999999E-2</v>
      </c>
      <c r="M27" s="2">
        <f t="shared" si="13"/>
        <v>1.0746570239999999E-2</v>
      </c>
    </row>
    <row r="28" spans="1:13" x14ac:dyDescent="0.25">
      <c r="A28" s="4">
        <v>25.536000000000001</v>
      </c>
      <c r="B28" s="4" t="s">
        <v>2</v>
      </c>
      <c r="C28" s="5">
        <f t="shared" si="0"/>
        <v>0.16800000000000001</v>
      </c>
      <c r="D28" s="6">
        <f t="shared" si="4"/>
        <v>4.2900480000000005</v>
      </c>
      <c r="E28" s="6" t="s">
        <v>46</v>
      </c>
      <c r="F28" s="8">
        <f>18.6/100</f>
        <v>0.18600000000000003</v>
      </c>
      <c r="G28" s="6">
        <f t="shared" si="11"/>
        <v>0.79794892800000017</v>
      </c>
      <c r="H28" s="6" t="s">
        <v>11</v>
      </c>
      <c r="I28" s="8">
        <f>30.6/100</f>
        <v>0.30599999999999999</v>
      </c>
      <c r="J28" s="8">
        <f>I28*G28</f>
        <v>0.24417237196800004</v>
      </c>
      <c r="K28" s="2" t="s">
        <v>32</v>
      </c>
      <c r="L28" s="2">
        <f>1.4/100</f>
        <v>1.3999999999999999E-2</v>
      </c>
      <c r="M28" s="2">
        <f>L28*G28</f>
        <v>1.1171284992000001E-2</v>
      </c>
    </row>
    <row r="29" spans="1:13" x14ac:dyDescent="0.25">
      <c r="A29" s="4">
        <v>25.536000000000001</v>
      </c>
      <c r="B29" s="4" t="s">
        <v>2</v>
      </c>
      <c r="C29" s="5">
        <f t="shared" si="0"/>
        <v>0.16800000000000001</v>
      </c>
      <c r="D29" s="6">
        <f t="shared" si="4"/>
        <v>4.2900480000000005</v>
      </c>
      <c r="E29" s="6" t="s">
        <v>13</v>
      </c>
      <c r="F29" s="8">
        <f t="shared" ref="F29:F35" si="14">18.6/100</f>
        <v>0.18600000000000003</v>
      </c>
      <c r="G29" s="6">
        <f t="shared" si="11"/>
        <v>0.79794892800000017</v>
      </c>
      <c r="H29" s="6" t="s">
        <v>12</v>
      </c>
      <c r="I29" s="8">
        <f>3.8/100</f>
        <v>3.7999999999999999E-2</v>
      </c>
      <c r="J29" s="8">
        <f t="shared" ref="J29:J33" si="15">I29*G29</f>
        <v>3.0322059264000004E-2</v>
      </c>
      <c r="K29" s="2" t="s">
        <v>33</v>
      </c>
      <c r="L29" s="2">
        <f>5.6/100</f>
        <v>5.5999999999999994E-2</v>
      </c>
      <c r="M29" s="2">
        <f t="shared" ref="M29:M32" si="16">L29*G29</f>
        <v>4.4685139968000005E-2</v>
      </c>
    </row>
    <row r="30" spans="1:13" x14ac:dyDescent="0.25">
      <c r="A30" s="4">
        <v>25.536000000000001</v>
      </c>
      <c r="B30" s="4" t="s">
        <v>2</v>
      </c>
      <c r="C30" s="5">
        <f t="shared" si="0"/>
        <v>0.16800000000000001</v>
      </c>
      <c r="D30" s="6">
        <f t="shared" si="4"/>
        <v>4.2900480000000005</v>
      </c>
      <c r="E30" s="6" t="s">
        <v>13</v>
      </c>
      <c r="F30" s="8">
        <f t="shared" si="14"/>
        <v>0.18600000000000003</v>
      </c>
      <c r="G30" s="6">
        <f t="shared" si="11"/>
        <v>0.79794892800000017</v>
      </c>
      <c r="H30" s="6" t="s">
        <v>7</v>
      </c>
      <c r="I30" s="8">
        <f>7.6/100</f>
        <v>7.5999999999999998E-2</v>
      </c>
      <c r="J30" s="8">
        <f t="shared" si="15"/>
        <v>6.0644118528000009E-2</v>
      </c>
      <c r="K30" s="2" t="s">
        <v>34</v>
      </c>
      <c r="L30" s="2">
        <f>10.4/100</f>
        <v>0.10400000000000001</v>
      </c>
      <c r="M30" s="2">
        <f t="shared" si="16"/>
        <v>8.2986688512000029E-2</v>
      </c>
    </row>
    <row r="31" spans="1:13" x14ac:dyDescent="0.25">
      <c r="A31" s="4">
        <v>25.536000000000001</v>
      </c>
      <c r="B31" s="4" t="s">
        <v>2</v>
      </c>
      <c r="C31" s="5">
        <f t="shared" si="0"/>
        <v>0.16800000000000001</v>
      </c>
      <c r="D31" s="6">
        <f t="shared" si="4"/>
        <v>4.2900480000000005</v>
      </c>
      <c r="E31" s="6" t="s">
        <v>13</v>
      </c>
      <c r="F31" s="8">
        <f t="shared" si="14"/>
        <v>0.18600000000000003</v>
      </c>
      <c r="G31" s="6">
        <f t="shared" si="11"/>
        <v>0.79794892800000017</v>
      </c>
      <c r="H31" s="6" t="s">
        <v>8</v>
      </c>
      <c r="I31" s="8">
        <f>30.7/100</f>
        <v>0.307</v>
      </c>
      <c r="J31" s="8">
        <f t="shared" si="15"/>
        <v>0.24497032089600004</v>
      </c>
      <c r="K31" s="2" t="s">
        <v>35</v>
      </c>
      <c r="L31" s="2">
        <f>29.3/100</f>
        <v>0.29299999999999998</v>
      </c>
      <c r="M31" s="2">
        <f t="shared" si="16"/>
        <v>0.23379903590400003</v>
      </c>
    </row>
    <row r="32" spans="1:13" x14ac:dyDescent="0.25">
      <c r="A32" s="4">
        <v>25.536000000000001</v>
      </c>
      <c r="B32" s="4" t="s">
        <v>2</v>
      </c>
      <c r="C32" s="5">
        <f t="shared" si="0"/>
        <v>0.16800000000000001</v>
      </c>
      <c r="D32" s="6">
        <f t="shared" si="4"/>
        <v>4.2900480000000005</v>
      </c>
      <c r="E32" s="6" t="s">
        <v>13</v>
      </c>
      <c r="F32" s="8">
        <f t="shared" si="14"/>
        <v>0.18600000000000003</v>
      </c>
      <c r="G32" s="6">
        <f t="shared" si="11"/>
        <v>0.79794892800000017</v>
      </c>
      <c r="H32" s="6" t="s">
        <v>10</v>
      </c>
      <c r="I32" s="8">
        <f>6/100</f>
        <v>0.06</v>
      </c>
      <c r="J32" s="8">
        <f t="shared" si="15"/>
        <v>4.787693568000001E-2</v>
      </c>
      <c r="K32" s="2" t="s">
        <v>36</v>
      </c>
      <c r="L32" s="2">
        <f>30/100</f>
        <v>0.3</v>
      </c>
      <c r="M32" s="2">
        <f t="shared" si="16"/>
        <v>0.23938467840000005</v>
      </c>
    </row>
    <row r="33" spans="1:13" x14ac:dyDescent="0.25">
      <c r="A33" s="4">
        <v>25.536000000000001</v>
      </c>
      <c r="B33" s="4" t="s">
        <v>2</v>
      </c>
      <c r="C33" s="5">
        <f t="shared" si="0"/>
        <v>0.16800000000000001</v>
      </c>
      <c r="D33" s="6">
        <f t="shared" si="4"/>
        <v>4.2900480000000005</v>
      </c>
      <c r="E33" s="6" t="s">
        <v>13</v>
      </c>
      <c r="F33" s="8">
        <f t="shared" si="14"/>
        <v>0.18600000000000003</v>
      </c>
      <c r="G33" s="6">
        <f t="shared" si="11"/>
        <v>0.79794892800000017</v>
      </c>
      <c r="H33" s="6" t="s">
        <v>9</v>
      </c>
      <c r="I33" s="8">
        <f>20.2/100</f>
        <v>0.20199999999999999</v>
      </c>
      <c r="J33" s="8">
        <f t="shared" si="15"/>
        <v>0.16118568345600001</v>
      </c>
      <c r="K33" s="2" t="s">
        <v>37</v>
      </c>
      <c r="L33" s="2">
        <f>20/100</f>
        <v>0.2</v>
      </c>
      <c r="M33" s="2">
        <f>L32*G33</f>
        <v>0.23938467840000005</v>
      </c>
    </row>
    <row r="34" spans="1:13" x14ac:dyDescent="0.25">
      <c r="A34" s="4">
        <v>25.536000000000001</v>
      </c>
      <c r="B34" s="4" t="s">
        <v>2</v>
      </c>
      <c r="C34" s="5">
        <f t="shared" si="0"/>
        <v>0.16800000000000001</v>
      </c>
      <c r="D34" s="6">
        <f t="shared" si="4"/>
        <v>4.2900480000000005</v>
      </c>
      <c r="E34" s="6" t="s">
        <v>13</v>
      </c>
      <c r="F34" s="8">
        <f t="shared" si="14"/>
        <v>0.18600000000000003</v>
      </c>
      <c r="G34" s="6">
        <f t="shared" si="11"/>
        <v>0.79794892800000017</v>
      </c>
      <c r="H34" s="6" t="s">
        <v>55</v>
      </c>
      <c r="I34" s="8">
        <f>1.1/100</f>
        <v>1.1000000000000001E-2</v>
      </c>
      <c r="J34" s="8"/>
      <c r="K34" s="2" t="s">
        <v>38</v>
      </c>
      <c r="L34" s="2">
        <f>2.6/100</f>
        <v>2.6000000000000002E-2</v>
      </c>
      <c r="M34" s="2">
        <f>L33*G34</f>
        <v>0.15958978560000003</v>
      </c>
    </row>
    <row r="35" spans="1:13" x14ac:dyDescent="0.25">
      <c r="A35" s="4">
        <v>25.536000000000001</v>
      </c>
      <c r="B35" s="4" t="s">
        <v>2</v>
      </c>
      <c r="C35" s="5">
        <f t="shared" si="0"/>
        <v>0.16800000000000001</v>
      </c>
      <c r="D35" s="6">
        <f t="shared" si="4"/>
        <v>4.2900480000000005</v>
      </c>
      <c r="E35" s="6" t="s">
        <v>13</v>
      </c>
      <c r="F35" s="8">
        <f t="shared" si="14"/>
        <v>0.18600000000000003</v>
      </c>
      <c r="G35" s="6">
        <f t="shared" si="11"/>
        <v>0.79794892800000017</v>
      </c>
      <c r="H35" s="6"/>
      <c r="I35" s="8"/>
      <c r="J35" s="8"/>
      <c r="K35" s="2" t="s">
        <v>39</v>
      </c>
      <c r="L35" s="2">
        <f>0.7/100</f>
        <v>6.9999999999999993E-3</v>
      </c>
      <c r="M35" s="2">
        <f>L34*G35</f>
        <v>2.0746672128000007E-2</v>
      </c>
    </row>
    <row r="36" spans="1:13" x14ac:dyDescent="0.25">
      <c r="A36" s="4">
        <v>25.536000000000001</v>
      </c>
      <c r="B36" s="4" t="s">
        <v>2</v>
      </c>
      <c r="C36" s="5">
        <f t="shared" si="0"/>
        <v>0.16800000000000001</v>
      </c>
      <c r="D36" s="6">
        <f t="shared" si="4"/>
        <v>4.2900480000000005</v>
      </c>
      <c r="E36" s="8" t="s">
        <v>47</v>
      </c>
      <c r="F36" s="6">
        <f>17.5/100</f>
        <v>0.17499999999999999</v>
      </c>
      <c r="G36" s="6">
        <f t="shared" si="11"/>
        <v>0.75075840000000005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25.536000000000001</v>
      </c>
      <c r="B37" s="4" t="s">
        <v>2</v>
      </c>
      <c r="C37" s="5">
        <f t="shared" si="0"/>
        <v>0.16800000000000001</v>
      </c>
      <c r="D37" s="6">
        <f t="shared" si="4"/>
        <v>4.2900480000000005</v>
      </c>
      <c r="E37" s="8" t="s">
        <v>17</v>
      </c>
      <c r="F37" s="6">
        <f t="shared" ref="F37:F43" si="17">17.5/100</f>
        <v>0.17499999999999999</v>
      </c>
      <c r="G37" s="6">
        <f t="shared" si="11"/>
        <v>0.75075840000000005</v>
      </c>
      <c r="H37" s="6" t="s">
        <v>12</v>
      </c>
      <c r="I37" s="6">
        <f>0/100</f>
        <v>0</v>
      </c>
      <c r="J37" s="6">
        <f t="shared" ref="J37:J41" si="18">I37*G37</f>
        <v>0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25.536000000000001</v>
      </c>
      <c r="B38" s="4" t="s">
        <v>2</v>
      </c>
      <c r="C38" s="5">
        <f t="shared" si="0"/>
        <v>0.16800000000000001</v>
      </c>
      <c r="D38" s="6">
        <f t="shared" si="4"/>
        <v>4.2900480000000005</v>
      </c>
      <c r="E38" s="8" t="s">
        <v>17</v>
      </c>
      <c r="F38" s="6">
        <f t="shared" si="17"/>
        <v>0.17499999999999999</v>
      </c>
      <c r="G38" s="6">
        <f t="shared" si="11"/>
        <v>0.75075840000000005</v>
      </c>
      <c r="H38" s="6" t="s">
        <v>7</v>
      </c>
      <c r="I38" s="6">
        <f>2.8/100</f>
        <v>2.7999999999999997E-2</v>
      </c>
      <c r="J38" s="6">
        <f t="shared" si="18"/>
        <v>2.1021235199999998E-2</v>
      </c>
      <c r="K38" s="2" t="s">
        <v>34</v>
      </c>
      <c r="L38" s="2">
        <f>5.3/100</f>
        <v>5.2999999999999999E-2</v>
      </c>
      <c r="M38" s="2">
        <f t="shared" si="19"/>
        <v>3.9790195200000003E-2</v>
      </c>
    </row>
    <row r="39" spans="1:13" x14ac:dyDescent="0.25">
      <c r="A39" s="4">
        <v>25.536000000000001</v>
      </c>
      <c r="B39" s="4" t="s">
        <v>2</v>
      </c>
      <c r="C39" s="5">
        <f t="shared" si="0"/>
        <v>0.16800000000000001</v>
      </c>
      <c r="D39" s="6">
        <f t="shared" si="4"/>
        <v>4.2900480000000005</v>
      </c>
      <c r="E39" s="8" t="s">
        <v>17</v>
      </c>
      <c r="F39" s="6">
        <f t="shared" si="17"/>
        <v>0.17499999999999999</v>
      </c>
      <c r="G39" s="6">
        <f t="shared" si="11"/>
        <v>0.75075840000000005</v>
      </c>
      <c r="H39" s="6" t="s">
        <v>8</v>
      </c>
      <c r="I39" s="6">
        <f>51.6/100</f>
        <v>0.51600000000000001</v>
      </c>
      <c r="J39" s="6">
        <f t="shared" si="18"/>
        <v>0.38739133440000001</v>
      </c>
      <c r="K39" s="2" t="s">
        <v>35</v>
      </c>
      <c r="L39" s="2">
        <f>33.4/100</f>
        <v>0.33399999999999996</v>
      </c>
      <c r="M39" s="2">
        <f t="shared" si="19"/>
        <v>0.25075330559999998</v>
      </c>
    </row>
    <row r="40" spans="1:13" x14ac:dyDescent="0.25">
      <c r="A40" s="4">
        <v>25.536000000000001</v>
      </c>
      <c r="B40" s="4" t="s">
        <v>2</v>
      </c>
      <c r="C40" s="5">
        <f t="shared" si="0"/>
        <v>0.16800000000000001</v>
      </c>
      <c r="D40" s="6">
        <f t="shared" si="4"/>
        <v>4.2900480000000005</v>
      </c>
      <c r="E40" s="8" t="s">
        <v>17</v>
      </c>
      <c r="F40" s="6">
        <f t="shared" si="17"/>
        <v>0.17499999999999999</v>
      </c>
      <c r="G40" s="6">
        <f t="shared" si="11"/>
        <v>0.75075840000000005</v>
      </c>
      <c r="H40" s="6" t="s">
        <v>10</v>
      </c>
      <c r="I40" s="6">
        <f>6/100</f>
        <v>0.06</v>
      </c>
      <c r="J40" s="6">
        <f t="shared" si="18"/>
        <v>4.5045504E-2</v>
      </c>
      <c r="K40" s="2" t="s">
        <v>36</v>
      </c>
      <c r="L40" s="2">
        <f>41.6/100</f>
        <v>0.41600000000000004</v>
      </c>
      <c r="M40" s="2">
        <f t="shared" si="19"/>
        <v>0.31231549440000006</v>
      </c>
    </row>
    <row r="41" spans="1:13" x14ac:dyDescent="0.25">
      <c r="A41" s="4">
        <v>25.536000000000001</v>
      </c>
      <c r="B41" s="4" t="s">
        <v>2</v>
      </c>
      <c r="C41" s="5">
        <f t="shared" si="0"/>
        <v>0.16800000000000001</v>
      </c>
      <c r="D41" s="6">
        <f t="shared" si="4"/>
        <v>4.2900480000000005</v>
      </c>
      <c r="E41" s="8" t="s">
        <v>17</v>
      </c>
      <c r="F41" s="6">
        <f t="shared" si="17"/>
        <v>0.17499999999999999</v>
      </c>
      <c r="G41" s="6">
        <f t="shared" si="11"/>
        <v>0.75075840000000005</v>
      </c>
      <c r="H41" s="6" t="s">
        <v>9</v>
      </c>
      <c r="I41" s="6">
        <f>39.7/100</f>
        <v>0.39700000000000002</v>
      </c>
      <c r="J41" s="6">
        <f t="shared" si="18"/>
        <v>0.29805108480000003</v>
      </c>
      <c r="K41" s="2" t="s">
        <v>37</v>
      </c>
      <c r="L41" s="2">
        <f>19.7/100</f>
        <v>0.19699999999999998</v>
      </c>
      <c r="M41" s="2">
        <f t="shared" si="19"/>
        <v>0.1478994048</v>
      </c>
    </row>
    <row r="42" spans="1:13" x14ac:dyDescent="0.25">
      <c r="A42" s="4">
        <v>25.536000000000001</v>
      </c>
      <c r="B42" s="4" t="s">
        <v>2</v>
      </c>
      <c r="C42" s="5">
        <f t="shared" si="0"/>
        <v>0.16800000000000001</v>
      </c>
      <c r="D42" s="6">
        <f t="shared" si="4"/>
        <v>4.2900480000000005</v>
      </c>
      <c r="E42" s="8" t="s">
        <v>17</v>
      </c>
      <c r="F42" s="6">
        <f t="shared" si="17"/>
        <v>0.17499999999999999</v>
      </c>
      <c r="G42" s="6">
        <f t="shared" si="11"/>
        <v>0.75075840000000005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25.536000000000001</v>
      </c>
      <c r="B43" s="4" t="s">
        <v>2</v>
      </c>
      <c r="C43" s="5">
        <f t="shared" si="0"/>
        <v>0.16800000000000001</v>
      </c>
      <c r="D43" s="6">
        <f t="shared" si="4"/>
        <v>4.2900480000000005</v>
      </c>
      <c r="E43" s="8" t="s">
        <v>17</v>
      </c>
      <c r="F43" s="6">
        <f t="shared" si="17"/>
        <v>0.17499999999999999</v>
      </c>
      <c r="G43" s="6">
        <f t="shared" si="11"/>
        <v>0.75075840000000005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25.536000000000001</v>
      </c>
      <c r="B44" s="4" t="s">
        <v>2</v>
      </c>
      <c r="C44" s="5">
        <f t="shared" si="0"/>
        <v>0.16800000000000001</v>
      </c>
      <c r="D44" s="6">
        <f t="shared" si="4"/>
        <v>4.2900480000000005</v>
      </c>
      <c r="E44" s="2" t="s">
        <v>18</v>
      </c>
      <c r="F44" s="6">
        <f>12.9/100</f>
        <v>0.129</v>
      </c>
      <c r="G44" s="6">
        <f t="shared" si="11"/>
        <v>0.55341619200000003</v>
      </c>
      <c r="H44" s="6" t="s">
        <v>11</v>
      </c>
      <c r="I44" s="8">
        <f>50.3/100</f>
        <v>0.503</v>
      </c>
      <c r="J44" s="6">
        <f>I44*G44</f>
        <v>0.27836834457600002</v>
      </c>
      <c r="K44" s="2" t="s">
        <v>32</v>
      </c>
      <c r="L44" s="2">
        <f>3.3/100</f>
        <v>3.3000000000000002E-2</v>
      </c>
      <c r="M44" s="2">
        <f>L44*G44</f>
        <v>1.8262734336000001E-2</v>
      </c>
    </row>
    <row r="45" spans="1:13" x14ac:dyDescent="0.25">
      <c r="A45" s="4">
        <v>25.536000000000001</v>
      </c>
      <c r="B45" s="4" t="s">
        <v>2</v>
      </c>
      <c r="C45" s="5">
        <f t="shared" si="0"/>
        <v>0.16800000000000001</v>
      </c>
      <c r="D45" s="6">
        <f t="shared" si="4"/>
        <v>4.2900480000000005</v>
      </c>
      <c r="E45" s="2" t="s">
        <v>18</v>
      </c>
      <c r="F45" s="6">
        <f t="shared" ref="F45:F51" si="20">11.6/100</f>
        <v>0.11599999999999999</v>
      </c>
      <c r="G45" s="6">
        <f t="shared" si="11"/>
        <v>0.49764556800000004</v>
      </c>
      <c r="H45" s="6" t="s">
        <v>12</v>
      </c>
      <c r="I45" s="8">
        <f>3.3/100</f>
        <v>3.3000000000000002E-2</v>
      </c>
      <c r="J45" s="6">
        <f t="shared" ref="J45:J50" si="21">I45*G45</f>
        <v>1.6422303744000003E-2</v>
      </c>
      <c r="K45" s="2" t="s">
        <v>33</v>
      </c>
      <c r="L45" s="2">
        <f>6.7/100</f>
        <v>6.7000000000000004E-2</v>
      </c>
      <c r="M45" s="2">
        <f t="shared" ref="M45:M51" si="22">L45*G45</f>
        <v>3.3342253056000005E-2</v>
      </c>
    </row>
    <row r="46" spans="1:13" x14ac:dyDescent="0.25">
      <c r="A46" s="4">
        <v>25.536000000000001</v>
      </c>
      <c r="B46" s="4" t="s">
        <v>2</v>
      </c>
      <c r="C46" s="5">
        <f t="shared" si="0"/>
        <v>0.16800000000000001</v>
      </c>
      <c r="D46" s="6">
        <f t="shared" si="4"/>
        <v>4.2900480000000005</v>
      </c>
      <c r="E46" s="2" t="s">
        <v>18</v>
      </c>
      <c r="F46" s="6">
        <f t="shared" si="20"/>
        <v>0.11599999999999999</v>
      </c>
      <c r="G46" s="6">
        <f t="shared" si="11"/>
        <v>0.49764556800000004</v>
      </c>
      <c r="H46" s="6" t="s">
        <v>7</v>
      </c>
      <c r="I46" s="8">
        <f>8.2/100</f>
        <v>8.199999999999999E-2</v>
      </c>
      <c r="J46" s="6">
        <f t="shared" si="21"/>
        <v>4.0806936576E-2</v>
      </c>
      <c r="K46" s="2" t="s">
        <v>34</v>
      </c>
      <c r="L46" s="2">
        <f>10/100</f>
        <v>0.1</v>
      </c>
      <c r="M46" s="2">
        <f t="shared" si="22"/>
        <v>4.9764556800000005E-2</v>
      </c>
    </row>
    <row r="47" spans="1:13" x14ac:dyDescent="0.25">
      <c r="A47" s="4">
        <v>25.536000000000001</v>
      </c>
      <c r="B47" s="4" t="s">
        <v>2</v>
      </c>
      <c r="C47" s="5">
        <f t="shared" si="0"/>
        <v>0.16800000000000001</v>
      </c>
      <c r="D47" s="6">
        <f t="shared" si="4"/>
        <v>4.2900480000000005</v>
      </c>
      <c r="E47" s="2" t="s">
        <v>18</v>
      </c>
      <c r="F47" s="6">
        <f t="shared" si="20"/>
        <v>0.11599999999999999</v>
      </c>
      <c r="G47" s="6">
        <f t="shared" si="11"/>
        <v>0.49764556800000004</v>
      </c>
      <c r="H47" s="6" t="s">
        <v>8</v>
      </c>
      <c r="I47" s="8">
        <f>16.4/100</f>
        <v>0.16399999999999998</v>
      </c>
      <c r="J47" s="6">
        <f>I50*G47</f>
        <v>5.4741012480000011E-3</v>
      </c>
      <c r="K47" s="2" t="s">
        <v>35</v>
      </c>
      <c r="L47" s="2">
        <f>29.6/100</f>
        <v>0.29600000000000004</v>
      </c>
      <c r="M47" s="2">
        <f t="shared" si="22"/>
        <v>0.14730308812800003</v>
      </c>
    </row>
    <row r="48" spans="1:13" x14ac:dyDescent="0.25">
      <c r="A48" s="4">
        <v>25.536000000000001</v>
      </c>
      <c r="B48" s="4" t="s">
        <v>2</v>
      </c>
      <c r="C48" s="5">
        <f t="shared" si="0"/>
        <v>0.16800000000000001</v>
      </c>
      <c r="D48" s="6">
        <f t="shared" si="4"/>
        <v>4.2900480000000005</v>
      </c>
      <c r="E48" s="2" t="s">
        <v>18</v>
      </c>
      <c r="F48" s="6">
        <f t="shared" si="20"/>
        <v>0.11599999999999999</v>
      </c>
      <c r="G48" s="6">
        <f t="shared" si="11"/>
        <v>0.49764556800000004</v>
      </c>
      <c r="H48" s="6" t="s">
        <v>10</v>
      </c>
      <c r="I48" s="8">
        <f>4.3/100</f>
        <v>4.2999999999999997E-2</v>
      </c>
      <c r="J48" s="6">
        <f>I47*G48</f>
        <v>8.1613873151999999E-2</v>
      </c>
      <c r="K48" s="2" t="s">
        <v>36</v>
      </c>
      <c r="L48" s="2">
        <f>25.8/100</f>
        <v>0.25800000000000001</v>
      </c>
      <c r="M48" s="2">
        <f t="shared" si="22"/>
        <v>0.128392556544</v>
      </c>
    </row>
    <row r="49" spans="1:13" x14ac:dyDescent="0.25">
      <c r="A49" s="4">
        <v>25.536000000000001</v>
      </c>
      <c r="B49" s="4" t="s">
        <v>2</v>
      </c>
      <c r="C49" s="5">
        <f t="shared" si="0"/>
        <v>0.16800000000000001</v>
      </c>
      <c r="D49" s="6">
        <f t="shared" si="4"/>
        <v>4.2900480000000005</v>
      </c>
      <c r="E49" s="2" t="s">
        <v>48</v>
      </c>
      <c r="F49" s="6">
        <f t="shared" si="20"/>
        <v>0.11599999999999999</v>
      </c>
      <c r="G49" s="6">
        <f t="shared" si="11"/>
        <v>0.49764556800000004</v>
      </c>
      <c r="H49" s="6" t="s">
        <v>9</v>
      </c>
      <c r="I49" s="8">
        <f>16.4/100</f>
        <v>0.16399999999999998</v>
      </c>
      <c r="J49" s="6">
        <f t="shared" si="21"/>
        <v>8.1613873151999999E-2</v>
      </c>
      <c r="K49" s="2" t="s">
        <v>37</v>
      </c>
      <c r="L49" s="2">
        <f>19.7/100</f>
        <v>0.19699999999999998</v>
      </c>
      <c r="M49" s="2">
        <f t="shared" si="22"/>
        <v>9.8036176895999999E-2</v>
      </c>
    </row>
    <row r="50" spans="1:13" x14ac:dyDescent="0.25">
      <c r="A50" s="4">
        <v>25.536000000000001</v>
      </c>
      <c r="B50" s="4" t="s">
        <v>2</v>
      </c>
      <c r="C50" s="5">
        <f t="shared" si="0"/>
        <v>0.16800000000000001</v>
      </c>
      <c r="D50" s="6">
        <f t="shared" si="4"/>
        <v>4.2900480000000005</v>
      </c>
      <c r="E50" s="2" t="s">
        <v>18</v>
      </c>
      <c r="F50" s="6">
        <f t="shared" si="20"/>
        <v>0.11599999999999999</v>
      </c>
      <c r="G50" s="6">
        <f t="shared" si="11"/>
        <v>0.49764556800000004</v>
      </c>
      <c r="H50" s="6" t="s">
        <v>55</v>
      </c>
      <c r="I50" s="8">
        <f>1.1/100</f>
        <v>1.1000000000000001E-2</v>
      </c>
      <c r="J50" s="6">
        <f t="shared" si="21"/>
        <v>5.4741012480000011E-3</v>
      </c>
      <c r="K50" s="2" t="s">
        <v>38</v>
      </c>
      <c r="L50" s="2">
        <f>3.5/100</f>
        <v>3.5000000000000003E-2</v>
      </c>
      <c r="M50" s="2">
        <f t="shared" si="22"/>
        <v>1.7417594880000001E-2</v>
      </c>
    </row>
    <row r="51" spans="1:13" x14ac:dyDescent="0.25">
      <c r="A51" s="4">
        <v>25.536000000000001</v>
      </c>
      <c r="B51" s="4" t="s">
        <v>2</v>
      </c>
      <c r="C51" s="5">
        <f t="shared" si="0"/>
        <v>0.16800000000000001</v>
      </c>
      <c r="D51" s="6">
        <f t="shared" si="4"/>
        <v>4.2900480000000005</v>
      </c>
      <c r="E51" s="2" t="s">
        <v>18</v>
      </c>
      <c r="F51" s="6">
        <f t="shared" si="20"/>
        <v>0.11599999999999999</v>
      </c>
      <c r="G51" s="6">
        <f t="shared" si="11"/>
        <v>0.49764556800000004</v>
      </c>
      <c r="H51" s="6"/>
      <c r="I51" s="6"/>
      <c r="J51" s="6"/>
      <c r="K51" s="2" t="s">
        <v>39</v>
      </c>
      <c r="L51" s="2">
        <f>1.4/100</f>
        <v>1.3999999999999999E-2</v>
      </c>
      <c r="M51" s="2">
        <f t="shared" si="22"/>
        <v>6.9670379520000002E-3</v>
      </c>
    </row>
    <row r="52" spans="1:13" x14ac:dyDescent="0.25">
      <c r="A52" s="4">
        <v>25.536000000000001</v>
      </c>
      <c r="B52" s="2" t="s">
        <v>19</v>
      </c>
      <c r="C52" s="6">
        <f>83.2/100</f>
        <v>0.83200000000000007</v>
      </c>
      <c r="D52" s="6">
        <f t="shared" si="4"/>
        <v>21.245952000000003</v>
      </c>
      <c r="E52" s="6" t="s">
        <v>54</v>
      </c>
      <c r="F52" s="6">
        <f>80.5/100</f>
        <v>0.80500000000000005</v>
      </c>
      <c r="G52" s="6">
        <f t="shared" si="11"/>
        <v>17.102991360000004</v>
      </c>
      <c r="H52" s="6" t="s">
        <v>11</v>
      </c>
      <c r="I52" s="6">
        <f>15/100</f>
        <v>0.15</v>
      </c>
      <c r="J52" s="6">
        <f>I52*G52</f>
        <v>2.5654487040000005</v>
      </c>
      <c r="K52" s="2" t="s">
        <v>32</v>
      </c>
      <c r="L52" s="2">
        <f>4.1/100</f>
        <v>4.0999999999999995E-2</v>
      </c>
      <c r="M52" s="2">
        <f>L52*G52</f>
        <v>0.70122264576000004</v>
      </c>
    </row>
    <row r="53" spans="1:13" x14ac:dyDescent="0.25">
      <c r="A53" s="4">
        <v>25.536000000000001</v>
      </c>
      <c r="B53" s="2" t="s">
        <v>19</v>
      </c>
      <c r="C53" s="6">
        <f t="shared" ref="C53:C99" si="23">83.2/100</f>
        <v>0.83200000000000007</v>
      </c>
      <c r="D53" s="6">
        <f t="shared" si="4"/>
        <v>21.245952000000003</v>
      </c>
      <c r="E53" s="6" t="s">
        <v>14</v>
      </c>
      <c r="F53" s="6">
        <f t="shared" ref="F53:F59" si="24">80.5/100</f>
        <v>0.80500000000000005</v>
      </c>
      <c r="G53" s="6">
        <f t="shared" si="11"/>
        <v>17.102991360000004</v>
      </c>
      <c r="H53" s="6" t="s">
        <v>12</v>
      </c>
      <c r="I53" s="6">
        <f>8.1/100</f>
        <v>8.1000000000000003E-2</v>
      </c>
      <c r="J53" s="6">
        <f t="shared" ref="J53:J56" si="25">I53*G53</f>
        <v>1.3853423001600005</v>
      </c>
      <c r="K53" s="2" t="s">
        <v>33</v>
      </c>
      <c r="L53" s="2">
        <f>9.1/100</f>
        <v>9.0999999999999998E-2</v>
      </c>
      <c r="M53" s="2">
        <f t="shared" ref="M53:M59" si="26">L53*G53</f>
        <v>1.5563722137600005</v>
      </c>
    </row>
    <row r="54" spans="1:13" x14ac:dyDescent="0.25">
      <c r="A54" s="4">
        <v>25.536000000000001</v>
      </c>
      <c r="B54" s="2" t="s">
        <v>19</v>
      </c>
      <c r="C54" s="6">
        <f t="shared" si="23"/>
        <v>0.83200000000000007</v>
      </c>
      <c r="D54" s="6">
        <f t="shared" si="4"/>
        <v>21.245952000000003</v>
      </c>
      <c r="E54" s="6" t="s">
        <v>14</v>
      </c>
      <c r="F54" s="6">
        <f t="shared" si="24"/>
        <v>0.80500000000000005</v>
      </c>
      <c r="G54" s="6">
        <f t="shared" si="11"/>
        <v>17.102991360000004</v>
      </c>
      <c r="H54" s="6" t="s">
        <v>7</v>
      </c>
      <c r="I54" s="14">
        <f>16.2/100</f>
        <v>0.16200000000000001</v>
      </c>
      <c r="J54" s="6">
        <f t="shared" si="25"/>
        <v>2.770684600320001</v>
      </c>
      <c r="K54" s="2" t="s">
        <v>34</v>
      </c>
      <c r="L54" s="2">
        <f>13.8/100</f>
        <v>0.13800000000000001</v>
      </c>
      <c r="M54" s="2">
        <f t="shared" si="26"/>
        <v>2.3602128076800009</v>
      </c>
    </row>
    <row r="55" spans="1:13" x14ac:dyDescent="0.25">
      <c r="A55" s="4">
        <v>25.536000000000001</v>
      </c>
      <c r="B55" s="2" t="s">
        <v>19</v>
      </c>
      <c r="C55" s="6">
        <f t="shared" si="23"/>
        <v>0.83200000000000007</v>
      </c>
      <c r="D55" s="6">
        <f t="shared" si="4"/>
        <v>21.245952000000003</v>
      </c>
      <c r="E55" s="6" t="s">
        <v>14</v>
      </c>
      <c r="F55" s="6">
        <f t="shared" si="24"/>
        <v>0.80500000000000005</v>
      </c>
      <c r="G55" s="6">
        <f t="shared" si="11"/>
        <v>17.102991360000004</v>
      </c>
      <c r="H55" s="6" t="s">
        <v>8</v>
      </c>
      <c r="I55" s="6">
        <f>34.1/100</f>
        <v>0.34100000000000003</v>
      </c>
      <c r="J55" s="6">
        <f t="shared" si="25"/>
        <v>5.8321200537600015</v>
      </c>
      <c r="K55" s="2" t="s">
        <v>35</v>
      </c>
      <c r="L55" s="2">
        <f>24.7/100</f>
        <v>0.247</v>
      </c>
      <c r="M55" s="2">
        <f t="shared" si="26"/>
        <v>4.2244388659200007</v>
      </c>
    </row>
    <row r="56" spans="1:13" x14ac:dyDescent="0.25">
      <c r="A56" s="4">
        <v>25.536000000000001</v>
      </c>
      <c r="B56" s="2" t="s">
        <v>19</v>
      </c>
      <c r="C56" s="6">
        <f t="shared" si="23"/>
        <v>0.83200000000000007</v>
      </c>
      <c r="D56" s="6">
        <f t="shared" si="4"/>
        <v>21.245952000000003</v>
      </c>
      <c r="E56" s="6" t="s">
        <v>14</v>
      </c>
      <c r="F56" s="6">
        <f t="shared" si="24"/>
        <v>0.80500000000000005</v>
      </c>
      <c r="G56" s="6">
        <f t="shared" si="11"/>
        <v>17.102991360000004</v>
      </c>
      <c r="H56" s="6" t="s">
        <v>10</v>
      </c>
      <c r="I56" s="6">
        <f>4.2/100</f>
        <v>4.2000000000000003E-2</v>
      </c>
      <c r="J56" s="6">
        <f t="shared" si="25"/>
        <v>0.71832563712000019</v>
      </c>
      <c r="K56" s="2" t="s">
        <v>36</v>
      </c>
      <c r="L56" s="2">
        <f>23.3/100</f>
        <v>0.23300000000000001</v>
      </c>
      <c r="M56" s="2">
        <f t="shared" si="26"/>
        <v>3.984996986880001</v>
      </c>
    </row>
    <row r="57" spans="1:13" x14ac:dyDescent="0.25">
      <c r="A57" s="4">
        <v>25.536000000000001</v>
      </c>
      <c r="B57" s="2" t="s">
        <v>19</v>
      </c>
      <c r="C57" s="6">
        <f t="shared" si="23"/>
        <v>0.83200000000000007</v>
      </c>
      <c r="D57" s="6">
        <f t="shared" si="4"/>
        <v>21.245952000000003</v>
      </c>
      <c r="E57" s="6" t="s">
        <v>14</v>
      </c>
      <c r="F57" s="6">
        <f t="shared" si="24"/>
        <v>0.80500000000000005</v>
      </c>
      <c r="G57" s="6">
        <f t="shared" si="11"/>
        <v>17.102991360000004</v>
      </c>
      <c r="H57" s="6" t="s">
        <v>9</v>
      </c>
      <c r="I57" s="6">
        <f>20.9/100</f>
        <v>0.20899999999999999</v>
      </c>
      <c r="J57" s="6">
        <f>I58*G57</f>
        <v>0.27364786176000006</v>
      </c>
      <c r="K57" s="2" t="s">
        <v>37</v>
      </c>
      <c r="L57" s="2">
        <f>20.4/100</f>
        <v>0.20399999999999999</v>
      </c>
      <c r="M57" s="2">
        <f t="shared" si="26"/>
        <v>3.4890102374400005</v>
      </c>
    </row>
    <row r="58" spans="1:13" x14ac:dyDescent="0.25">
      <c r="A58" s="4">
        <v>25.536000000000001</v>
      </c>
      <c r="B58" s="2" t="s">
        <v>19</v>
      </c>
      <c r="C58" s="6">
        <f t="shared" si="23"/>
        <v>0.83200000000000007</v>
      </c>
      <c r="D58" s="6">
        <f t="shared" si="4"/>
        <v>21.245952000000003</v>
      </c>
      <c r="E58" s="6" t="s">
        <v>14</v>
      </c>
      <c r="F58" s="6">
        <f t="shared" si="24"/>
        <v>0.80500000000000005</v>
      </c>
      <c r="G58" s="6">
        <f t="shared" si="11"/>
        <v>17.102991360000004</v>
      </c>
      <c r="H58" s="6" t="s">
        <v>55</v>
      </c>
      <c r="I58" s="6">
        <f>1.6/100</f>
        <v>1.6E-2</v>
      </c>
      <c r="J58" s="6"/>
      <c r="K58" s="2" t="s">
        <v>38</v>
      </c>
      <c r="L58" s="2">
        <f>3.4/100</f>
        <v>3.4000000000000002E-2</v>
      </c>
      <c r="M58" s="2">
        <f t="shared" si="26"/>
        <v>0.58150170624000019</v>
      </c>
    </row>
    <row r="59" spans="1:13" x14ac:dyDescent="0.25">
      <c r="A59" s="4">
        <v>25.536000000000001</v>
      </c>
      <c r="B59" s="2" t="s">
        <v>19</v>
      </c>
      <c r="C59" s="6">
        <f t="shared" si="23"/>
        <v>0.83200000000000007</v>
      </c>
      <c r="D59" s="6">
        <f t="shared" si="4"/>
        <v>21.245952000000003</v>
      </c>
      <c r="E59" s="6" t="s">
        <v>14</v>
      </c>
      <c r="F59" s="6">
        <f t="shared" si="24"/>
        <v>0.80500000000000005</v>
      </c>
      <c r="G59" s="6">
        <f t="shared" si="11"/>
        <v>17.102991360000004</v>
      </c>
      <c r="H59" s="6"/>
      <c r="I59" s="6"/>
      <c r="J59" s="6"/>
      <c r="K59" s="2" t="s">
        <v>39</v>
      </c>
      <c r="L59" s="2">
        <f>1.2/100</f>
        <v>1.2E-2</v>
      </c>
      <c r="M59" s="2">
        <f t="shared" si="26"/>
        <v>0.20523589632000006</v>
      </c>
    </row>
    <row r="60" spans="1:13" x14ac:dyDescent="0.25">
      <c r="A60" s="4">
        <v>25.536000000000001</v>
      </c>
      <c r="B60" s="2" t="s">
        <v>19</v>
      </c>
      <c r="C60" s="6">
        <f t="shared" si="23"/>
        <v>0.83200000000000007</v>
      </c>
      <c r="D60" s="6">
        <f t="shared" si="4"/>
        <v>21.245952000000003</v>
      </c>
      <c r="E60" s="6" t="s">
        <v>52</v>
      </c>
      <c r="F60" s="6">
        <f>85.4/100</f>
        <v>0.85400000000000009</v>
      </c>
      <c r="G60" s="6">
        <f t="shared" si="11"/>
        <v>18.144043008000004</v>
      </c>
      <c r="H60" s="6" t="s">
        <v>11</v>
      </c>
      <c r="I60" s="6">
        <f>12/100</f>
        <v>0.12</v>
      </c>
      <c r="J60" s="6">
        <f>I60*G60</f>
        <v>2.1772851609600004</v>
      </c>
      <c r="K60" s="2" t="s">
        <v>32</v>
      </c>
      <c r="L60" s="2">
        <f>0/100</f>
        <v>0</v>
      </c>
      <c r="M60" s="2">
        <f>L60*G60</f>
        <v>0</v>
      </c>
    </row>
    <row r="61" spans="1:13" x14ac:dyDescent="0.25">
      <c r="A61" s="4">
        <v>25.536000000000001</v>
      </c>
      <c r="B61" s="2" t="s">
        <v>19</v>
      </c>
      <c r="C61" s="6">
        <f t="shared" si="23"/>
        <v>0.83200000000000007</v>
      </c>
      <c r="D61" s="6">
        <f t="shared" si="4"/>
        <v>21.245952000000003</v>
      </c>
      <c r="E61" s="6" t="s">
        <v>15</v>
      </c>
      <c r="F61" s="6">
        <f t="shared" ref="F61:F67" si="27">85.4/100</f>
        <v>0.85400000000000009</v>
      </c>
      <c r="G61" s="6">
        <f t="shared" si="11"/>
        <v>18.144043008000004</v>
      </c>
      <c r="H61" s="6" t="s">
        <v>12</v>
      </c>
      <c r="I61" s="6">
        <f>6.4/100</f>
        <v>6.4000000000000001E-2</v>
      </c>
      <c r="J61" s="6">
        <f t="shared" ref="J61:J65" si="28">I61*G61</f>
        <v>1.1612187525120004</v>
      </c>
      <c r="K61" s="2" t="s">
        <v>33</v>
      </c>
      <c r="L61" s="2">
        <f>7.2/100</f>
        <v>7.2000000000000008E-2</v>
      </c>
      <c r="M61" s="2">
        <f t="shared" ref="M61:M67" si="29">L61*G61</f>
        <v>1.3063710965760005</v>
      </c>
    </row>
    <row r="62" spans="1:13" x14ac:dyDescent="0.25">
      <c r="A62" s="4">
        <v>25.536000000000001</v>
      </c>
      <c r="B62" s="2" t="s">
        <v>19</v>
      </c>
      <c r="C62" s="6">
        <f t="shared" si="23"/>
        <v>0.83200000000000007</v>
      </c>
      <c r="D62" s="6">
        <f t="shared" si="4"/>
        <v>21.245952000000003</v>
      </c>
      <c r="E62" s="6" t="s">
        <v>15</v>
      </c>
      <c r="F62" s="6">
        <f t="shared" si="27"/>
        <v>0.85400000000000009</v>
      </c>
      <c r="G62" s="6">
        <f t="shared" si="11"/>
        <v>18.144043008000004</v>
      </c>
      <c r="H62" s="6" t="s">
        <v>7</v>
      </c>
      <c r="I62" s="6">
        <f>9.4/100</f>
        <v>9.4E-2</v>
      </c>
      <c r="J62" s="6">
        <f t="shared" si="28"/>
        <v>1.7055400427520004</v>
      </c>
      <c r="K62" s="2" t="s">
        <v>34</v>
      </c>
      <c r="L62" s="2">
        <f>17.2/100</f>
        <v>0.17199999999999999</v>
      </c>
      <c r="M62" s="2">
        <f t="shared" si="29"/>
        <v>3.1207753973760006</v>
      </c>
    </row>
    <row r="63" spans="1:13" x14ac:dyDescent="0.25">
      <c r="A63" s="4">
        <v>25.536000000000001</v>
      </c>
      <c r="B63" s="2" t="s">
        <v>19</v>
      </c>
      <c r="C63" s="6">
        <f t="shared" si="23"/>
        <v>0.83200000000000007</v>
      </c>
      <c r="D63" s="6">
        <f t="shared" si="4"/>
        <v>21.245952000000003</v>
      </c>
      <c r="E63" s="6" t="s">
        <v>15</v>
      </c>
      <c r="F63" s="6">
        <f t="shared" si="27"/>
        <v>0.85400000000000009</v>
      </c>
      <c r="G63" s="6">
        <f t="shared" si="11"/>
        <v>18.144043008000004</v>
      </c>
      <c r="H63" s="6" t="s">
        <v>8</v>
      </c>
      <c r="I63" s="6">
        <f>40.7/100</f>
        <v>0.40700000000000003</v>
      </c>
      <c r="J63" s="6">
        <f t="shared" si="28"/>
        <v>7.3846255042560021</v>
      </c>
      <c r="K63" s="2" t="s">
        <v>35</v>
      </c>
      <c r="L63" s="2">
        <f>34.8/100</f>
        <v>0.34799999999999998</v>
      </c>
      <c r="M63" s="2">
        <f t="shared" si="29"/>
        <v>6.3141269667840012</v>
      </c>
    </row>
    <row r="64" spans="1:13" x14ac:dyDescent="0.25">
      <c r="A64" s="4">
        <v>25.536000000000001</v>
      </c>
      <c r="B64" s="2" t="s">
        <v>19</v>
      </c>
      <c r="C64" s="6">
        <f t="shared" si="23"/>
        <v>0.83200000000000007</v>
      </c>
      <c r="D64" s="6">
        <f t="shared" si="4"/>
        <v>21.245952000000003</v>
      </c>
      <c r="E64" s="6" t="s">
        <v>15</v>
      </c>
      <c r="F64" s="6">
        <f t="shared" si="27"/>
        <v>0.85400000000000009</v>
      </c>
      <c r="G64" s="6">
        <f t="shared" si="11"/>
        <v>18.144043008000004</v>
      </c>
      <c r="H64" s="6" t="s">
        <v>10</v>
      </c>
      <c r="I64" s="6">
        <f>3.3/100</f>
        <v>3.3000000000000002E-2</v>
      </c>
      <c r="J64" s="6">
        <f t="shared" si="28"/>
        <v>0.59875341926400016</v>
      </c>
      <c r="K64" s="2" t="s">
        <v>36</v>
      </c>
      <c r="L64" s="2">
        <f>20.2/100</f>
        <v>0.20199999999999999</v>
      </c>
      <c r="M64" s="2">
        <f t="shared" si="29"/>
        <v>3.6650966876160007</v>
      </c>
    </row>
    <row r="65" spans="1:13" x14ac:dyDescent="0.25">
      <c r="A65" s="4">
        <v>25.536000000000001</v>
      </c>
      <c r="B65" s="2" t="s">
        <v>19</v>
      </c>
      <c r="C65" s="6">
        <f t="shared" si="23"/>
        <v>0.83200000000000007</v>
      </c>
      <c r="D65" s="6">
        <f t="shared" si="4"/>
        <v>21.245952000000003</v>
      </c>
      <c r="E65" s="6" t="s">
        <v>15</v>
      </c>
      <c r="F65" s="6">
        <f t="shared" si="27"/>
        <v>0.85400000000000009</v>
      </c>
      <c r="G65" s="6">
        <f t="shared" si="11"/>
        <v>18.144043008000004</v>
      </c>
      <c r="H65" s="6" t="s">
        <v>9</v>
      </c>
      <c r="I65" s="6">
        <f>23.2/100</f>
        <v>0.23199999999999998</v>
      </c>
      <c r="J65" s="6">
        <f t="shared" si="28"/>
        <v>4.2094179778560008</v>
      </c>
      <c r="K65" s="2" t="s">
        <v>37</v>
      </c>
      <c r="L65" s="2">
        <f>16.7/100</f>
        <v>0.16699999999999998</v>
      </c>
      <c r="M65" s="2">
        <f t="shared" si="29"/>
        <v>3.0300551823360005</v>
      </c>
    </row>
    <row r="66" spans="1:13" x14ac:dyDescent="0.25">
      <c r="A66" s="4">
        <v>25.536000000000001</v>
      </c>
      <c r="B66" s="2" t="s">
        <v>19</v>
      </c>
      <c r="C66" s="6">
        <f t="shared" si="23"/>
        <v>0.83200000000000007</v>
      </c>
      <c r="D66" s="6">
        <f t="shared" si="4"/>
        <v>21.245952000000003</v>
      </c>
      <c r="E66" s="6" t="s">
        <v>15</v>
      </c>
      <c r="F66" s="6">
        <f t="shared" si="27"/>
        <v>0.85400000000000009</v>
      </c>
      <c r="G66" s="6">
        <f t="shared" si="11"/>
        <v>18.144043008000004</v>
      </c>
      <c r="H66" s="6" t="s">
        <v>55</v>
      </c>
      <c r="I66" s="6">
        <f>5/100</f>
        <v>0.05</v>
      </c>
      <c r="J66" s="6"/>
      <c r="K66" s="2" t="s">
        <v>38</v>
      </c>
      <c r="L66" s="2">
        <f>3.6/100</f>
        <v>3.6000000000000004E-2</v>
      </c>
      <c r="M66" s="2">
        <f t="shared" si="29"/>
        <v>0.65318554828800024</v>
      </c>
    </row>
    <row r="67" spans="1:13" x14ac:dyDescent="0.25">
      <c r="A67" s="4">
        <v>25.536000000000001</v>
      </c>
      <c r="B67" s="2" t="s">
        <v>19</v>
      </c>
      <c r="C67" s="6">
        <f t="shared" si="23"/>
        <v>0.83200000000000007</v>
      </c>
      <c r="D67" s="6">
        <f t="shared" si="4"/>
        <v>21.245952000000003</v>
      </c>
      <c r="E67" s="6" t="s">
        <v>15</v>
      </c>
      <c r="F67" s="6">
        <f t="shared" si="27"/>
        <v>0.85400000000000009</v>
      </c>
      <c r="G67" s="6">
        <f t="shared" si="11"/>
        <v>18.144043008000004</v>
      </c>
      <c r="H67" s="6"/>
      <c r="I67" s="6"/>
      <c r="J67" s="6"/>
      <c r="K67" s="2" t="s">
        <v>39</v>
      </c>
      <c r="L67" s="2">
        <f>0.3/100</f>
        <v>3.0000000000000001E-3</v>
      </c>
      <c r="M67" s="2">
        <f t="shared" si="29"/>
        <v>5.4432129024000013E-2</v>
      </c>
    </row>
    <row r="68" spans="1:13" x14ac:dyDescent="0.25">
      <c r="A68" s="4">
        <v>25.536000000000001</v>
      </c>
      <c r="B68" s="2" t="s">
        <v>19</v>
      </c>
      <c r="C68" s="6">
        <f t="shared" si="23"/>
        <v>0.83200000000000007</v>
      </c>
      <c r="D68" s="6">
        <f t="shared" si="4"/>
        <v>21.245952000000003</v>
      </c>
      <c r="E68" s="6" t="s">
        <v>53</v>
      </c>
      <c r="F68" s="6">
        <f>83.3/100</f>
        <v>0.83299999999999996</v>
      </c>
      <c r="G68" s="6">
        <f t="shared" si="11"/>
        <v>17.697878016000001</v>
      </c>
      <c r="H68" s="6" t="s">
        <v>11</v>
      </c>
      <c r="I68" s="6">
        <f>15.7/100</f>
        <v>0.157</v>
      </c>
      <c r="J68" s="6">
        <f>I68*G68</f>
        <v>2.7785668485120003</v>
      </c>
      <c r="K68" s="2" t="s">
        <v>32</v>
      </c>
      <c r="L68" s="2">
        <f>4.1/100</f>
        <v>4.0999999999999995E-2</v>
      </c>
      <c r="M68" s="2">
        <f>L68*G68</f>
        <v>0.72561299865599993</v>
      </c>
    </row>
    <row r="69" spans="1:13" x14ac:dyDescent="0.25">
      <c r="A69" s="4">
        <v>25.536000000000001</v>
      </c>
      <c r="B69" s="2" t="s">
        <v>19</v>
      </c>
      <c r="C69" s="6">
        <f t="shared" si="23"/>
        <v>0.83200000000000007</v>
      </c>
      <c r="D69" s="6">
        <f t="shared" si="4"/>
        <v>21.245952000000003</v>
      </c>
      <c r="E69" s="6" t="s">
        <v>16</v>
      </c>
      <c r="F69" s="6">
        <f t="shared" ref="F69:F75" si="30">83.3/100</f>
        <v>0.83299999999999996</v>
      </c>
      <c r="G69" s="6">
        <f t="shared" si="11"/>
        <v>17.697878016000001</v>
      </c>
      <c r="H69" s="6" t="s">
        <v>12</v>
      </c>
      <c r="I69" s="6">
        <f>6.4/100</f>
        <v>6.4000000000000001E-2</v>
      </c>
      <c r="J69" s="6">
        <f t="shared" ref="J69:J73" si="31">I69*G69</f>
        <v>1.132664193024</v>
      </c>
      <c r="K69" s="2" t="s">
        <v>33</v>
      </c>
      <c r="L69" s="2">
        <f>10.8/100</f>
        <v>0.10800000000000001</v>
      </c>
      <c r="M69" s="2">
        <f t="shared" ref="M69:M75" si="32">L69*G69</f>
        <v>1.9113708257280002</v>
      </c>
    </row>
    <row r="70" spans="1:13" x14ac:dyDescent="0.25">
      <c r="A70" s="4">
        <v>25.536000000000001</v>
      </c>
      <c r="B70" s="2" t="s">
        <v>19</v>
      </c>
      <c r="C70" s="6">
        <f t="shared" si="23"/>
        <v>0.83200000000000007</v>
      </c>
      <c r="D70" s="6">
        <f t="shared" si="4"/>
        <v>21.245952000000003</v>
      </c>
      <c r="E70" s="6" t="s">
        <v>16</v>
      </c>
      <c r="F70" s="6">
        <f t="shared" si="30"/>
        <v>0.83299999999999996</v>
      </c>
      <c r="G70" s="6">
        <f t="shared" si="11"/>
        <v>17.697878016000001</v>
      </c>
      <c r="H70" s="6" t="s">
        <v>7</v>
      </c>
      <c r="I70" s="6">
        <f>16.9/100</f>
        <v>0.16899999999999998</v>
      </c>
      <c r="J70" s="6">
        <f t="shared" si="31"/>
        <v>2.9909413847039996</v>
      </c>
      <c r="K70" s="2" t="s">
        <v>34</v>
      </c>
      <c r="L70" s="2">
        <f>13.3/100</f>
        <v>0.13300000000000001</v>
      </c>
      <c r="M70" s="2">
        <f t="shared" si="32"/>
        <v>2.3538177761280004</v>
      </c>
    </row>
    <row r="71" spans="1:13" x14ac:dyDescent="0.25">
      <c r="A71" s="4">
        <v>25.536000000000001</v>
      </c>
      <c r="B71" s="2" t="s">
        <v>19</v>
      </c>
      <c r="C71" s="6">
        <f t="shared" si="23"/>
        <v>0.83200000000000007</v>
      </c>
      <c r="D71" s="6">
        <f t="shared" si="4"/>
        <v>21.245952000000003</v>
      </c>
      <c r="E71" s="6" t="s">
        <v>16</v>
      </c>
      <c r="F71" s="6">
        <f t="shared" si="30"/>
        <v>0.83299999999999996</v>
      </c>
      <c r="G71" s="6">
        <f t="shared" si="11"/>
        <v>17.697878016000001</v>
      </c>
      <c r="H71" s="6" t="s">
        <v>8</v>
      </c>
      <c r="I71" s="6">
        <f>36.9/100</f>
        <v>0.36899999999999999</v>
      </c>
      <c r="J71" s="6">
        <f t="shared" si="31"/>
        <v>6.5305169879039999</v>
      </c>
      <c r="K71" s="2" t="s">
        <v>35</v>
      </c>
      <c r="L71" s="2">
        <f>23.3/100</f>
        <v>0.23300000000000001</v>
      </c>
      <c r="M71" s="2">
        <f t="shared" si="32"/>
        <v>4.1236055777280001</v>
      </c>
    </row>
    <row r="72" spans="1:13" x14ac:dyDescent="0.25">
      <c r="A72" s="4">
        <v>25.536000000000001</v>
      </c>
      <c r="B72" s="2" t="s">
        <v>19</v>
      </c>
      <c r="C72" s="6">
        <f t="shared" si="23"/>
        <v>0.83200000000000007</v>
      </c>
      <c r="D72" s="6">
        <f t="shared" si="4"/>
        <v>21.245952000000003</v>
      </c>
      <c r="E72" s="6" t="s">
        <v>16</v>
      </c>
      <c r="F72" s="6">
        <f t="shared" si="30"/>
        <v>0.83299999999999996</v>
      </c>
      <c r="G72" s="6">
        <f t="shared" si="11"/>
        <v>17.697878016000001</v>
      </c>
      <c r="H72" s="6" t="s">
        <v>10</v>
      </c>
      <c r="I72" s="6">
        <f>4.6/100</f>
        <v>4.5999999999999999E-2</v>
      </c>
      <c r="J72" s="6">
        <f t="shared" si="31"/>
        <v>0.81410238873600005</v>
      </c>
      <c r="K72" s="2" t="s">
        <v>36</v>
      </c>
      <c r="L72" s="2">
        <f>22.1/100</f>
        <v>0.221</v>
      </c>
      <c r="M72" s="2">
        <f t="shared" si="32"/>
        <v>3.9112310415360003</v>
      </c>
    </row>
    <row r="73" spans="1:13" x14ac:dyDescent="0.25">
      <c r="A73" s="4">
        <v>25.536000000000001</v>
      </c>
      <c r="B73" s="2" t="s">
        <v>19</v>
      </c>
      <c r="C73" s="6">
        <f t="shared" si="23"/>
        <v>0.83200000000000007</v>
      </c>
      <c r="D73" s="6">
        <f t="shared" si="4"/>
        <v>21.245952000000003</v>
      </c>
      <c r="E73" s="6" t="s">
        <v>16</v>
      </c>
      <c r="F73" s="6">
        <f t="shared" si="30"/>
        <v>0.83299999999999996</v>
      </c>
      <c r="G73" s="6">
        <f t="shared" si="11"/>
        <v>17.697878016000001</v>
      </c>
      <c r="H73" s="6" t="s">
        <v>9</v>
      </c>
      <c r="I73" s="6">
        <f>17.3/100</f>
        <v>0.17300000000000001</v>
      </c>
      <c r="J73" s="6">
        <f t="shared" si="31"/>
        <v>3.0617328967680004</v>
      </c>
      <c r="K73" s="2" t="s">
        <v>37</v>
      </c>
      <c r="L73" s="2">
        <f>22.6/100</f>
        <v>0.22600000000000001</v>
      </c>
      <c r="M73" s="2">
        <f t="shared" si="32"/>
        <v>3.9997204316160002</v>
      </c>
    </row>
    <row r="74" spans="1:13" x14ac:dyDescent="0.25">
      <c r="A74" s="4">
        <v>25.536000000000001</v>
      </c>
      <c r="B74" s="2" t="s">
        <v>19</v>
      </c>
      <c r="C74" s="6">
        <f t="shared" si="23"/>
        <v>0.83200000000000007</v>
      </c>
      <c r="D74" s="6">
        <f t="shared" si="4"/>
        <v>21.245952000000003</v>
      </c>
      <c r="E74" s="6" t="s">
        <v>16</v>
      </c>
      <c r="F74" s="6">
        <f t="shared" si="30"/>
        <v>0.83299999999999996</v>
      </c>
      <c r="G74" s="6">
        <f t="shared" si="11"/>
        <v>17.697878016000001</v>
      </c>
      <c r="H74" s="6" t="s">
        <v>55</v>
      </c>
      <c r="I74" s="6">
        <f>2.2/100</f>
        <v>2.2000000000000002E-2</v>
      </c>
      <c r="J74" s="6"/>
      <c r="K74" s="2" t="s">
        <v>38</v>
      </c>
      <c r="L74" s="2">
        <f>2.3/100</f>
        <v>2.3E-2</v>
      </c>
      <c r="M74" s="2">
        <f t="shared" si="32"/>
        <v>0.40705119436800002</v>
      </c>
    </row>
    <row r="75" spans="1:13" x14ac:dyDescent="0.25">
      <c r="A75" s="4">
        <v>25.536000000000001</v>
      </c>
      <c r="B75" s="2" t="s">
        <v>19</v>
      </c>
      <c r="C75" s="6">
        <f t="shared" si="23"/>
        <v>0.83200000000000007</v>
      </c>
      <c r="D75" s="6">
        <f t="shared" si="4"/>
        <v>21.245952000000003</v>
      </c>
      <c r="E75" s="6" t="s">
        <v>16</v>
      </c>
      <c r="F75" s="6">
        <f t="shared" si="30"/>
        <v>0.83299999999999996</v>
      </c>
      <c r="G75" s="6">
        <f t="shared" si="11"/>
        <v>17.697878016000001</v>
      </c>
      <c r="H75" s="6"/>
      <c r="I75" s="6"/>
      <c r="J75" s="6"/>
      <c r="K75" s="2" t="s">
        <v>39</v>
      </c>
      <c r="L75" s="2">
        <f>1.6/100</f>
        <v>1.6E-2</v>
      </c>
      <c r="M75" s="2">
        <f t="shared" si="32"/>
        <v>0.283166048256</v>
      </c>
    </row>
    <row r="76" spans="1:13" x14ac:dyDescent="0.25">
      <c r="A76" s="4">
        <v>25.536000000000001</v>
      </c>
      <c r="B76" s="2" t="s">
        <v>19</v>
      </c>
      <c r="C76" s="6">
        <f t="shared" si="23"/>
        <v>0.83200000000000007</v>
      </c>
      <c r="D76" s="6">
        <f t="shared" si="4"/>
        <v>21.245952000000003</v>
      </c>
      <c r="E76" s="2" t="s">
        <v>51</v>
      </c>
      <c r="F76" s="6">
        <f>81.4/100</f>
        <v>0.81400000000000006</v>
      </c>
      <c r="G76" s="6">
        <f t="shared" si="11"/>
        <v>17.294204928000003</v>
      </c>
      <c r="H76" s="6" t="s">
        <v>11</v>
      </c>
      <c r="I76" s="6">
        <f>20.5/100</f>
        <v>0.20499999999999999</v>
      </c>
      <c r="J76" s="8">
        <f>I76*G76</f>
        <v>3.5453120102400004</v>
      </c>
      <c r="K76" s="2" t="s">
        <v>32</v>
      </c>
      <c r="L76" s="2">
        <f>5.1/100</f>
        <v>5.0999999999999997E-2</v>
      </c>
      <c r="M76" s="2">
        <f>L76*G76</f>
        <v>0.88200445132800009</v>
      </c>
    </row>
    <row r="77" spans="1:13" x14ac:dyDescent="0.25">
      <c r="A77" s="4">
        <v>25.536000000000001</v>
      </c>
      <c r="B77" s="2" t="s">
        <v>19</v>
      </c>
      <c r="C77" s="6">
        <f t="shared" si="23"/>
        <v>0.83200000000000007</v>
      </c>
      <c r="D77" s="6">
        <f t="shared" si="4"/>
        <v>21.245952000000003</v>
      </c>
      <c r="E77" s="2" t="s">
        <v>13</v>
      </c>
      <c r="F77" s="6">
        <f t="shared" ref="F77:F83" si="33">81.4/100</f>
        <v>0.81400000000000006</v>
      </c>
      <c r="G77" s="6">
        <f t="shared" si="11"/>
        <v>17.294204928000003</v>
      </c>
      <c r="H77" s="6" t="s">
        <v>12</v>
      </c>
      <c r="I77" s="6">
        <f>9.6/100</f>
        <v>9.6000000000000002E-2</v>
      </c>
      <c r="J77" s="8">
        <f t="shared" ref="J77:J81" si="34">I77*G77</f>
        <v>1.6602436730880004</v>
      </c>
      <c r="K77" s="2" t="s">
        <v>33</v>
      </c>
      <c r="L77" s="2">
        <f>10.4/100</f>
        <v>0.10400000000000001</v>
      </c>
      <c r="M77" s="2">
        <f t="shared" ref="M77:M83" si="35">L77*G77</f>
        <v>1.7985973125120005</v>
      </c>
    </row>
    <row r="78" spans="1:13" x14ac:dyDescent="0.25">
      <c r="A78" s="4">
        <v>25.536000000000001</v>
      </c>
      <c r="B78" s="2" t="s">
        <v>19</v>
      </c>
      <c r="C78" s="6">
        <f t="shared" si="23"/>
        <v>0.83200000000000007</v>
      </c>
      <c r="D78" s="6">
        <f t="shared" si="4"/>
        <v>21.245952000000003</v>
      </c>
      <c r="E78" s="2" t="s">
        <v>13</v>
      </c>
      <c r="F78" s="6">
        <f t="shared" si="33"/>
        <v>0.81400000000000006</v>
      </c>
      <c r="G78" s="6">
        <f t="shared" si="11"/>
        <v>17.294204928000003</v>
      </c>
      <c r="H78" s="6" t="s">
        <v>7</v>
      </c>
      <c r="I78" s="6">
        <f>18.1/100</f>
        <v>0.18100000000000002</v>
      </c>
      <c r="J78" s="8">
        <f t="shared" si="34"/>
        <v>3.1302510919680007</v>
      </c>
      <c r="K78" s="2" t="s">
        <v>34</v>
      </c>
      <c r="L78" s="2">
        <f>11.5/100</f>
        <v>0.115</v>
      </c>
      <c r="M78" s="2">
        <f t="shared" si="35"/>
        <v>1.9888335667200003</v>
      </c>
    </row>
    <row r="79" spans="1:13" x14ac:dyDescent="0.25">
      <c r="A79" s="4">
        <v>25.536000000000001</v>
      </c>
      <c r="B79" s="2" t="s">
        <v>19</v>
      </c>
      <c r="C79" s="6">
        <f t="shared" si="23"/>
        <v>0.83200000000000007</v>
      </c>
      <c r="D79" s="6">
        <f t="shared" si="4"/>
        <v>21.245952000000003</v>
      </c>
      <c r="E79" s="2" t="s">
        <v>13</v>
      </c>
      <c r="F79" s="6">
        <f t="shared" si="33"/>
        <v>0.81400000000000006</v>
      </c>
      <c r="G79" s="6">
        <f t="shared" si="11"/>
        <v>17.294204928000003</v>
      </c>
      <c r="H79" s="6" t="s">
        <v>8</v>
      </c>
      <c r="I79" s="6">
        <f>35.2/100</f>
        <v>0.35200000000000004</v>
      </c>
      <c r="J79" s="8">
        <f t="shared" si="34"/>
        <v>6.0875601346560018</v>
      </c>
      <c r="K79" s="2" t="s">
        <v>35</v>
      </c>
      <c r="L79" s="2">
        <f>24/100</f>
        <v>0.24</v>
      </c>
      <c r="M79" s="2">
        <f t="shared" si="35"/>
        <v>4.1506091827200002</v>
      </c>
    </row>
    <row r="80" spans="1:13" x14ac:dyDescent="0.25">
      <c r="A80" s="4">
        <v>25.536000000000001</v>
      </c>
      <c r="B80" s="2" t="s">
        <v>19</v>
      </c>
      <c r="C80" s="6">
        <f t="shared" si="23"/>
        <v>0.83200000000000007</v>
      </c>
      <c r="D80" s="6">
        <f t="shared" si="4"/>
        <v>21.245952000000003</v>
      </c>
      <c r="E80" s="2" t="s">
        <v>13</v>
      </c>
      <c r="F80" s="6">
        <f t="shared" si="33"/>
        <v>0.81400000000000006</v>
      </c>
      <c r="G80" s="6">
        <f t="shared" si="11"/>
        <v>17.294204928000003</v>
      </c>
      <c r="H80" s="6" t="s">
        <v>10</v>
      </c>
      <c r="I80" s="6">
        <f>2.7/100</f>
        <v>2.7000000000000003E-2</v>
      </c>
      <c r="J80" s="8">
        <f t="shared" si="34"/>
        <v>0.46694353305600012</v>
      </c>
      <c r="K80" s="2" t="s">
        <v>36</v>
      </c>
      <c r="L80" s="2">
        <f>24.1/100</f>
        <v>0.24100000000000002</v>
      </c>
      <c r="M80" s="2">
        <f t="shared" si="35"/>
        <v>4.1679033876480007</v>
      </c>
    </row>
    <row r="81" spans="1:13" x14ac:dyDescent="0.25">
      <c r="A81" s="4">
        <v>25.536000000000001</v>
      </c>
      <c r="B81" s="2" t="s">
        <v>19</v>
      </c>
      <c r="C81" s="6">
        <f t="shared" si="23"/>
        <v>0.83200000000000007</v>
      </c>
      <c r="D81" s="6">
        <f t="shared" si="4"/>
        <v>21.245952000000003</v>
      </c>
      <c r="E81" s="2" t="s">
        <v>13</v>
      </c>
      <c r="F81" s="6">
        <f t="shared" si="33"/>
        <v>0.81400000000000006</v>
      </c>
      <c r="G81" s="6">
        <f t="shared" si="11"/>
        <v>17.294204928000003</v>
      </c>
      <c r="H81" s="6" t="s">
        <v>9</v>
      </c>
      <c r="I81" s="6">
        <f>12/100</f>
        <v>0.12</v>
      </c>
      <c r="J81" s="8">
        <f t="shared" si="34"/>
        <v>2.0753045913600001</v>
      </c>
      <c r="K81" s="2" t="s">
        <v>37</v>
      </c>
      <c r="L81" s="2">
        <f>19.2/100</f>
        <v>0.192</v>
      </c>
      <c r="M81" s="2">
        <f t="shared" si="35"/>
        <v>3.3204873461760007</v>
      </c>
    </row>
    <row r="82" spans="1:13" x14ac:dyDescent="0.25">
      <c r="A82" s="4">
        <v>25.536000000000001</v>
      </c>
      <c r="B82" s="2" t="s">
        <v>19</v>
      </c>
      <c r="C82" s="6">
        <f t="shared" si="23"/>
        <v>0.83200000000000007</v>
      </c>
      <c r="D82" s="6">
        <f t="shared" si="4"/>
        <v>21.245952000000003</v>
      </c>
      <c r="E82" s="2" t="s">
        <v>13</v>
      </c>
      <c r="F82" s="6">
        <f t="shared" si="33"/>
        <v>0.81400000000000006</v>
      </c>
      <c r="G82" s="6">
        <f t="shared" si="11"/>
        <v>17.294204928000003</v>
      </c>
      <c r="H82" s="6" t="s">
        <v>55</v>
      </c>
      <c r="I82" s="6">
        <f>1.8/100</f>
        <v>1.8000000000000002E-2</v>
      </c>
      <c r="J82" s="8"/>
      <c r="K82" s="2" t="s">
        <v>38</v>
      </c>
      <c r="L82" s="2">
        <f>3.8/100</f>
        <v>3.7999999999999999E-2</v>
      </c>
      <c r="M82" s="2">
        <f t="shared" si="35"/>
        <v>0.65717978726400006</v>
      </c>
    </row>
    <row r="83" spans="1:13" x14ac:dyDescent="0.25">
      <c r="A83" s="4">
        <v>25.536000000000001</v>
      </c>
      <c r="B83" s="2" t="s">
        <v>19</v>
      </c>
      <c r="C83" s="6">
        <f t="shared" si="23"/>
        <v>0.83200000000000007</v>
      </c>
      <c r="D83" s="6">
        <f t="shared" si="4"/>
        <v>21.245952000000003</v>
      </c>
      <c r="E83" s="2" t="s">
        <v>13</v>
      </c>
      <c r="F83" s="6">
        <f t="shared" si="33"/>
        <v>0.81400000000000006</v>
      </c>
      <c r="G83" s="6">
        <f t="shared" si="11"/>
        <v>17.294204928000003</v>
      </c>
      <c r="H83" s="6"/>
      <c r="I83" s="6"/>
      <c r="J83" s="8"/>
      <c r="K83" s="2" t="s">
        <v>39</v>
      </c>
      <c r="L83" s="2">
        <f>1.8/100</f>
        <v>1.8000000000000002E-2</v>
      </c>
      <c r="M83" s="2">
        <f t="shared" si="35"/>
        <v>0.3112956887040001</v>
      </c>
    </row>
    <row r="84" spans="1:13" x14ac:dyDescent="0.25">
      <c r="A84" s="4">
        <v>25.536000000000001</v>
      </c>
      <c r="B84" s="2" t="s">
        <v>19</v>
      </c>
      <c r="C84" s="6">
        <f t="shared" si="23"/>
        <v>0.83200000000000007</v>
      </c>
      <c r="D84" s="6">
        <f t="shared" si="4"/>
        <v>21.245952000000003</v>
      </c>
      <c r="E84" s="2" t="s">
        <v>50</v>
      </c>
      <c r="F84" s="6">
        <f>82.5/100</f>
        <v>0.82499999999999996</v>
      </c>
      <c r="G84" s="6">
        <f t="shared" si="11"/>
        <v>17.5279104</v>
      </c>
      <c r="H84" s="6" t="s">
        <v>11</v>
      </c>
      <c r="I84" s="6">
        <f>3.9/100</f>
        <v>3.9E-2</v>
      </c>
      <c r="J84" s="6">
        <f>I84*G84</f>
        <v>0.68358850559999995</v>
      </c>
      <c r="K84" s="2" t="s">
        <v>32</v>
      </c>
      <c r="L84" s="2">
        <f>3.6/100</f>
        <v>3.6000000000000004E-2</v>
      </c>
      <c r="M84" s="2">
        <f>L84*G84</f>
        <v>0.63100477440000002</v>
      </c>
    </row>
    <row r="85" spans="1:13" x14ac:dyDescent="0.25">
      <c r="A85" s="4">
        <v>25.536000000000001</v>
      </c>
      <c r="B85" s="2" t="s">
        <v>19</v>
      </c>
      <c r="C85" s="6">
        <f t="shared" si="23"/>
        <v>0.83200000000000007</v>
      </c>
      <c r="D85" s="6">
        <f t="shared" si="4"/>
        <v>21.245952000000003</v>
      </c>
      <c r="E85" s="2" t="s">
        <v>17</v>
      </c>
      <c r="F85" s="6">
        <f t="shared" ref="F85:F91" si="36">82.5/100</f>
        <v>0.82499999999999996</v>
      </c>
      <c r="G85" s="6">
        <f t="shared" si="11"/>
        <v>17.5279104</v>
      </c>
      <c r="H85" s="6" t="s">
        <v>12</v>
      </c>
      <c r="I85" s="6">
        <f>6.6/100</f>
        <v>6.6000000000000003E-2</v>
      </c>
      <c r="J85" s="6">
        <f t="shared" ref="J85:J89" si="37">I85*G85</f>
        <v>1.1568420864</v>
      </c>
      <c r="K85" s="2" t="s">
        <v>33</v>
      </c>
      <c r="L85" s="2">
        <f>10.4/100</f>
        <v>0.10400000000000001</v>
      </c>
      <c r="M85" s="2">
        <f t="shared" ref="M85:M87" si="38">L85*G85</f>
        <v>1.8229026816</v>
      </c>
    </row>
    <row r="86" spans="1:13" x14ac:dyDescent="0.25">
      <c r="A86" s="4">
        <v>25.536000000000001</v>
      </c>
      <c r="B86" s="2" t="s">
        <v>19</v>
      </c>
      <c r="C86" s="6">
        <f t="shared" si="23"/>
        <v>0.83200000000000007</v>
      </c>
      <c r="D86" s="6">
        <f t="shared" si="4"/>
        <v>21.245952000000003</v>
      </c>
      <c r="E86" s="2" t="s">
        <v>17</v>
      </c>
      <c r="F86" s="6">
        <f t="shared" si="36"/>
        <v>0.82499999999999996</v>
      </c>
      <c r="G86" s="6">
        <f t="shared" si="11"/>
        <v>17.5279104</v>
      </c>
      <c r="H86" s="6" t="s">
        <v>7</v>
      </c>
      <c r="I86" s="6">
        <f>11.8/100</f>
        <v>0.11800000000000001</v>
      </c>
      <c r="J86" s="6">
        <f t="shared" si="37"/>
        <v>2.0682934272</v>
      </c>
      <c r="K86" s="2" t="s">
        <v>34</v>
      </c>
      <c r="L86" s="2">
        <f>12.2/100</f>
        <v>0.122</v>
      </c>
      <c r="M86" s="2">
        <f t="shared" si="38"/>
        <v>2.1384050688</v>
      </c>
    </row>
    <row r="87" spans="1:13" x14ac:dyDescent="0.25">
      <c r="A87" s="4">
        <v>25.536000000000001</v>
      </c>
      <c r="B87" s="2" t="s">
        <v>19</v>
      </c>
      <c r="C87" s="6">
        <f t="shared" si="23"/>
        <v>0.83200000000000007</v>
      </c>
      <c r="D87" s="6">
        <f t="shared" si="4"/>
        <v>21.245952000000003</v>
      </c>
      <c r="E87" s="2" t="s">
        <v>17</v>
      </c>
      <c r="F87" s="6">
        <f t="shared" si="36"/>
        <v>0.82499999999999996</v>
      </c>
      <c r="G87" s="6">
        <f t="shared" si="11"/>
        <v>17.5279104</v>
      </c>
      <c r="H87" s="6" t="s">
        <v>8</v>
      </c>
      <c r="I87" s="6">
        <f>54/100</f>
        <v>0.54</v>
      </c>
      <c r="J87" s="6">
        <f t="shared" si="37"/>
        <v>9.4650716160000012</v>
      </c>
      <c r="K87" s="2" t="s">
        <v>35</v>
      </c>
      <c r="L87" s="2">
        <f>27.3/100</f>
        <v>0.27300000000000002</v>
      </c>
      <c r="M87" s="2">
        <f t="shared" si="38"/>
        <v>4.7851195392000001</v>
      </c>
    </row>
    <row r="88" spans="1:13" x14ac:dyDescent="0.25">
      <c r="A88" s="4">
        <v>25.536000000000001</v>
      </c>
      <c r="B88" s="2" t="s">
        <v>19</v>
      </c>
      <c r="C88" s="6">
        <f t="shared" si="23"/>
        <v>0.83200000000000007</v>
      </c>
      <c r="D88" s="6">
        <f t="shared" si="4"/>
        <v>21.245952000000003</v>
      </c>
      <c r="E88" s="2" t="s">
        <v>17</v>
      </c>
      <c r="F88" s="6">
        <f t="shared" si="36"/>
        <v>0.82499999999999996</v>
      </c>
      <c r="G88" s="6">
        <f t="shared" si="11"/>
        <v>17.5279104</v>
      </c>
      <c r="H88" s="6" t="s">
        <v>10</v>
      </c>
      <c r="I88" s="6">
        <f>3.9/100</f>
        <v>3.9E-2</v>
      </c>
      <c r="J88" s="6">
        <f t="shared" si="37"/>
        <v>0.68358850559999995</v>
      </c>
      <c r="K88" s="2" t="s">
        <v>36</v>
      </c>
      <c r="L88" s="2">
        <f>23.2/100</f>
        <v>0.23199999999999998</v>
      </c>
      <c r="M88" s="2">
        <f>L87*G88</f>
        <v>4.7851195392000001</v>
      </c>
    </row>
    <row r="89" spans="1:13" x14ac:dyDescent="0.25">
      <c r="A89" s="4">
        <v>25.536000000000001</v>
      </c>
      <c r="B89" s="2" t="s">
        <v>19</v>
      </c>
      <c r="C89" s="6">
        <f t="shared" si="23"/>
        <v>0.83200000000000007</v>
      </c>
      <c r="D89" s="6">
        <f t="shared" si="4"/>
        <v>21.245952000000003</v>
      </c>
      <c r="E89" s="2" t="s">
        <v>17</v>
      </c>
      <c r="F89" s="6">
        <f t="shared" si="36"/>
        <v>0.82499999999999996</v>
      </c>
      <c r="G89" s="6">
        <f t="shared" si="11"/>
        <v>17.5279104</v>
      </c>
      <c r="H89" s="6" t="s">
        <v>9</v>
      </c>
      <c r="I89" s="6">
        <f>19.2/100</f>
        <v>0.192</v>
      </c>
      <c r="J89" s="6">
        <f t="shared" si="37"/>
        <v>3.3653587967999998</v>
      </c>
      <c r="K89" s="2" t="s">
        <v>37</v>
      </c>
      <c r="L89" s="2">
        <f>21.7/100</f>
        <v>0.217</v>
      </c>
      <c r="M89" s="2">
        <f>L88*G89</f>
        <v>4.0664752127999995</v>
      </c>
    </row>
    <row r="90" spans="1:13" x14ac:dyDescent="0.25">
      <c r="A90" s="4">
        <v>25.536000000000001</v>
      </c>
      <c r="B90" s="2" t="s">
        <v>19</v>
      </c>
      <c r="C90" s="6">
        <f t="shared" si="23"/>
        <v>0.83200000000000007</v>
      </c>
      <c r="D90" s="6">
        <f t="shared" si="4"/>
        <v>21.245952000000003</v>
      </c>
      <c r="E90" s="2" t="s">
        <v>17</v>
      </c>
      <c r="F90" s="6">
        <f t="shared" si="36"/>
        <v>0.82499999999999996</v>
      </c>
      <c r="G90" s="6">
        <f t="shared" si="11"/>
        <v>17.5279104</v>
      </c>
      <c r="H90" s="6" t="s">
        <v>55</v>
      </c>
      <c r="I90" s="6">
        <f>0.6/100</f>
        <v>6.0000000000000001E-3</v>
      </c>
      <c r="J90" s="6"/>
      <c r="K90" s="2" t="s">
        <v>38</v>
      </c>
      <c r="L90" s="2">
        <f>1.2/100</f>
        <v>1.2E-2</v>
      </c>
      <c r="M90" s="2">
        <f>L89*G90</f>
        <v>3.8035565567999998</v>
      </c>
    </row>
    <row r="91" spans="1:13" x14ac:dyDescent="0.25">
      <c r="A91" s="4">
        <v>25.536000000000001</v>
      </c>
      <c r="B91" s="2" t="s">
        <v>19</v>
      </c>
      <c r="C91" s="6">
        <f t="shared" si="23"/>
        <v>0.83200000000000007</v>
      </c>
      <c r="D91" s="6">
        <f t="shared" si="4"/>
        <v>21.245952000000003</v>
      </c>
      <c r="E91" s="2" t="s">
        <v>17</v>
      </c>
      <c r="F91" s="6">
        <f t="shared" si="36"/>
        <v>0.82499999999999996</v>
      </c>
      <c r="G91" s="6">
        <f t="shared" si="11"/>
        <v>17.5279104</v>
      </c>
      <c r="H91" s="6"/>
      <c r="I91" s="6"/>
      <c r="J91" s="6"/>
      <c r="K91" s="2" t="s">
        <v>39</v>
      </c>
      <c r="L91" s="2">
        <f>0.4/100</f>
        <v>4.0000000000000001E-3</v>
      </c>
      <c r="M91" s="2">
        <f>L90*G91</f>
        <v>0.21033492479999999</v>
      </c>
    </row>
    <row r="92" spans="1:13" x14ac:dyDescent="0.25">
      <c r="A92" s="4">
        <v>25.536000000000001</v>
      </c>
      <c r="B92" s="2" t="s">
        <v>19</v>
      </c>
      <c r="C92" s="6">
        <f t="shared" si="23"/>
        <v>0.83200000000000007</v>
      </c>
      <c r="D92" s="6">
        <f t="shared" si="4"/>
        <v>21.245952000000003</v>
      </c>
      <c r="E92" s="2" t="s">
        <v>49</v>
      </c>
      <c r="F92" s="2">
        <f>87.1/100</f>
        <v>0.871</v>
      </c>
      <c r="G92" s="6">
        <f t="shared" si="11"/>
        <v>18.505224192000004</v>
      </c>
      <c r="H92" s="6" t="s">
        <v>11</v>
      </c>
      <c r="I92" s="6">
        <f>23.2/100</f>
        <v>0.23199999999999998</v>
      </c>
      <c r="J92" s="6">
        <f>I92*G92</f>
        <v>4.2932120125440001</v>
      </c>
      <c r="K92" s="2" t="s">
        <v>32</v>
      </c>
      <c r="L92" s="2">
        <f>6.9/100</f>
        <v>6.9000000000000006E-2</v>
      </c>
      <c r="M92" s="2">
        <f>L92*G92</f>
        <v>1.2768604692480003</v>
      </c>
    </row>
    <row r="93" spans="1:13" x14ac:dyDescent="0.25">
      <c r="A93" s="4">
        <v>25.536000000000001</v>
      </c>
      <c r="B93" s="2" t="s">
        <v>19</v>
      </c>
      <c r="C93" s="6">
        <f t="shared" si="23"/>
        <v>0.83200000000000007</v>
      </c>
      <c r="D93" s="6">
        <f t="shared" ref="D93:D99" si="39">C93*A93</f>
        <v>21.245952000000003</v>
      </c>
      <c r="E93" s="2" t="s">
        <v>18</v>
      </c>
      <c r="F93" s="2">
        <f t="shared" ref="F93:F99" si="40">87.1/100</f>
        <v>0.871</v>
      </c>
      <c r="G93" s="6">
        <f t="shared" si="11"/>
        <v>18.505224192000004</v>
      </c>
      <c r="H93" s="6" t="s">
        <v>12</v>
      </c>
      <c r="I93" s="6">
        <f>9.3/100</f>
        <v>9.3000000000000013E-2</v>
      </c>
      <c r="J93" s="6">
        <f t="shared" ref="J93:J97" si="41">I93*G93</f>
        <v>1.7209858498560007</v>
      </c>
      <c r="K93" s="2" t="s">
        <v>33</v>
      </c>
      <c r="L93" s="2">
        <f>12.3/100</f>
        <v>0.12300000000000001</v>
      </c>
      <c r="M93" s="2">
        <f t="shared" ref="M93:M99" si="42">L93*G93</f>
        <v>2.2761425756160008</v>
      </c>
    </row>
    <row r="94" spans="1:13" x14ac:dyDescent="0.25">
      <c r="A94" s="4">
        <v>25.536000000000001</v>
      </c>
      <c r="B94" s="2" t="s">
        <v>19</v>
      </c>
      <c r="C94" s="6">
        <f t="shared" si="23"/>
        <v>0.83200000000000007</v>
      </c>
      <c r="D94" s="6">
        <f t="shared" si="39"/>
        <v>21.245952000000003</v>
      </c>
      <c r="E94" s="2" t="s">
        <v>18</v>
      </c>
      <c r="F94" s="2">
        <f t="shared" si="40"/>
        <v>0.871</v>
      </c>
      <c r="G94" s="6">
        <f t="shared" si="11"/>
        <v>18.505224192000004</v>
      </c>
      <c r="H94" s="6" t="s">
        <v>7</v>
      </c>
      <c r="I94" s="6">
        <f>18/100</f>
        <v>0.18</v>
      </c>
      <c r="J94" s="6">
        <f t="shared" si="41"/>
        <v>3.3309403545600005</v>
      </c>
      <c r="K94" s="2" t="s">
        <v>34</v>
      </c>
      <c r="L94" s="2">
        <f>12.8/100</f>
        <v>0.128</v>
      </c>
      <c r="M94" s="2">
        <f t="shared" si="42"/>
        <v>2.3686686965760004</v>
      </c>
    </row>
    <row r="95" spans="1:13" x14ac:dyDescent="0.25">
      <c r="A95" s="4">
        <v>25.536000000000001</v>
      </c>
      <c r="B95" s="2" t="s">
        <v>19</v>
      </c>
      <c r="C95" s="6">
        <f t="shared" si="23"/>
        <v>0.83200000000000007</v>
      </c>
      <c r="D95" s="6">
        <f t="shared" si="39"/>
        <v>21.245952000000003</v>
      </c>
      <c r="E95" s="2" t="s">
        <v>18</v>
      </c>
      <c r="F95" s="2">
        <f t="shared" si="40"/>
        <v>0.871</v>
      </c>
      <c r="G95" s="6">
        <f t="shared" si="11"/>
        <v>18.505224192000004</v>
      </c>
      <c r="H95" s="6" t="s">
        <v>8</v>
      </c>
      <c r="I95" s="6">
        <f>35.9/100</f>
        <v>0.35899999999999999</v>
      </c>
      <c r="J95" s="6">
        <f t="shared" si="41"/>
        <v>6.6433754849280007</v>
      </c>
      <c r="K95" s="2" t="s">
        <v>35</v>
      </c>
      <c r="L95" s="2">
        <f>22.7/100</f>
        <v>0.22699999999999998</v>
      </c>
      <c r="M95" s="2">
        <f t="shared" si="42"/>
        <v>4.2006858915840004</v>
      </c>
    </row>
    <row r="96" spans="1:13" x14ac:dyDescent="0.25">
      <c r="A96" s="4">
        <v>25.536000000000001</v>
      </c>
      <c r="B96" s="2" t="s">
        <v>19</v>
      </c>
      <c r="C96" s="6">
        <f t="shared" si="23"/>
        <v>0.83200000000000007</v>
      </c>
      <c r="D96" s="6">
        <f t="shared" si="39"/>
        <v>21.245952000000003</v>
      </c>
      <c r="E96" s="2" t="s">
        <v>18</v>
      </c>
      <c r="F96" s="2">
        <f t="shared" si="40"/>
        <v>0.871</v>
      </c>
      <c r="G96" s="6">
        <f t="shared" si="11"/>
        <v>18.505224192000004</v>
      </c>
      <c r="H96" s="6" t="s">
        <v>10</v>
      </c>
      <c r="I96" s="6">
        <f>2.6/100</f>
        <v>2.6000000000000002E-2</v>
      </c>
      <c r="J96" s="6">
        <f t="shared" si="41"/>
        <v>0.48113582899200014</v>
      </c>
      <c r="K96" s="2" t="s">
        <v>36</v>
      </c>
      <c r="L96" s="2">
        <f>21.5/100</f>
        <v>0.215</v>
      </c>
      <c r="M96" s="2">
        <f t="shared" si="42"/>
        <v>3.9786232012800009</v>
      </c>
    </row>
    <row r="97" spans="1:13" x14ac:dyDescent="0.25">
      <c r="A97" s="4">
        <v>25.536000000000001</v>
      </c>
      <c r="B97" s="2" t="s">
        <v>19</v>
      </c>
      <c r="C97" s="6">
        <f t="shared" si="23"/>
        <v>0.83200000000000007</v>
      </c>
      <c r="D97" s="6">
        <f t="shared" si="39"/>
        <v>21.245952000000003</v>
      </c>
      <c r="E97" s="2" t="s">
        <v>18</v>
      </c>
      <c r="F97" s="2">
        <f t="shared" si="40"/>
        <v>0.871</v>
      </c>
      <c r="G97" s="6">
        <f t="shared" si="11"/>
        <v>18.505224192000004</v>
      </c>
      <c r="H97" s="6" t="s">
        <v>9</v>
      </c>
      <c r="I97" s="6">
        <f>9.4/100</f>
        <v>9.4E-2</v>
      </c>
      <c r="J97" s="6">
        <f t="shared" si="41"/>
        <v>1.7394910740480003</v>
      </c>
      <c r="K97" s="2" t="s">
        <v>37</v>
      </c>
      <c r="L97" s="2">
        <f>17.8/100</f>
        <v>0.17800000000000002</v>
      </c>
      <c r="M97" s="2">
        <f t="shared" si="42"/>
        <v>3.2939299061760008</v>
      </c>
    </row>
    <row r="98" spans="1:13" x14ac:dyDescent="0.25">
      <c r="A98" s="4">
        <v>25.536000000000001</v>
      </c>
      <c r="B98" s="2" t="s">
        <v>19</v>
      </c>
      <c r="C98" s="6">
        <f t="shared" si="23"/>
        <v>0.83200000000000007</v>
      </c>
      <c r="D98" s="6">
        <f t="shared" si="39"/>
        <v>21.245952000000003</v>
      </c>
      <c r="E98" s="2" t="s">
        <v>18</v>
      </c>
      <c r="F98" s="2">
        <f t="shared" si="40"/>
        <v>0.871</v>
      </c>
      <c r="G98" s="6">
        <f t="shared" si="11"/>
        <v>18.505224192000004</v>
      </c>
      <c r="H98" s="6" t="s">
        <v>55</v>
      </c>
      <c r="I98" s="2">
        <f>1.7/100</f>
        <v>1.7000000000000001E-2</v>
      </c>
      <c r="J98" s="2"/>
      <c r="K98" s="2" t="s">
        <v>38</v>
      </c>
      <c r="L98" s="2">
        <f>3.7/100</f>
        <v>3.7000000000000005E-2</v>
      </c>
      <c r="M98" s="2">
        <f t="shared" si="42"/>
        <v>0.68469329510400023</v>
      </c>
    </row>
    <row r="99" spans="1:13" x14ac:dyDescent="0.25">
      <c r="A99" s="4">
        <v>25.536000000000001</v>
      </c>
      <c r="B99" s="2" t="s">
        <v>19</v>
      </c>
      <c r="C99" s="6">
        <f t="shared" si="23"/>
        <v>0.83200000000000007</v>
      </c>
      <c r="D99" s="6">
        <f t="shared" si="39"/>
        <v>21.245952000000003</v>
      </c>
      <c r="E99" s="2" t="s">
        <v>18</v>
      </c>
      <c r="F99" s="2">
        <f t="shared" si="40"/>
        <v>0.871</v>
      </c>
      <c r="G99" s="6">
        <f t="shared" ref="G99" si="43">F99*D99</f>
        <v>18.505224192000004</v>
      </c>
      <c r="H99" s="2"/>
      <c r="I99" s="2"/>
      <c r="J99" s="2"/>
      <c r="K99" s="2" t="s">
        <v>39</v>
      </c>
      <c r="L99" s="2">
        <f>2.2/100</f>
        <v>2.2000000000000002E-2</v>
      </c>
      <c r="M99" s="2">
        <f t="shared" si="42"/>
        <v>0.40711493222400014</v>
      </c>
    </row>
  </sheetData>
  <mergeCells count="1">
    <mergeCell ref="E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2:M99"/>
  <sheetViews>
    <sheetView topLeftCell="A72" workbookViewId="0">
      <selection activeCell="C103" sqref="C103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83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25.701000000000001</v>
      </c>
      <c r="B4" s="4" t="s">
        <v>2</v>
      </c>
      <c r="C4" s="5">
        <f>15.9/100</f>
        <v>0.159</v>
      </c>
      <c r="D4" s="6">
        <f>C4*A4</f>
        <v>4.0864590000000005</v>
      </c>
      <c r="E4" s="6" t="s">
        <v>14</v>
      </c>
      <c r="F4" s="5">
        <f>18.4/100</f>
        <v>0.184</v>
      </c>
      <c r="G4" s="5">
        <f>D4*F4</f>
        <v>0.75190845600000011</v>
      </c>
      <c r="H4" s="6" t="s">
        <v>11</v>
      </c>
      <c r="I4" s="6">
        <f>8.7/100</f>
        <v>8.6999999999999994E-2</v>
      </c>
      <c r="J4" s="7">
        <f>I4*G4</f>
        <v>6.5416035672000009E-2</v>
      </c>
      <c r="K4" s="2" t="s">
        <v>32</v>
      </c>
      <c r="L4" s="2">
        <f>1.4/100</f>
        <v>1.3999999999999999E-2</v>
      </c>
      <c r="M4" s="2">
        <f>L4*G4</f>
        <v>1.0526718384000001E-2</v>
      </c>
    </row>
    <row r="5" spans="1:13" x14ac:dyDescent="0.25">
      <c r="A5" s="4">
        <v>25.701000000000001</v>
      </c>
      <c r="B5" s="4" t="s">
        <v>2</v>
      </c>
      <c r="C5" s="5">
        <f t="shared" ref="C5:C51" si="0">15.9/100</f>
        <v>0.159</v>
      </c>
      <c r="D5" s="6">
        <f>C5*A5</f>
        <v>4.0864590000000005</v>
      </c>
      <c r="E5" s="6" t="s">
        <v>43</v>
      </c>
      <c r="F5" s="5">
        <f t="shared" ref="F5:F11" si="1">18.4/100</f>
        <v>0.184</v>
      </c>
      <c r="G5" s="5">
        <f>D5*F5</f>
        <v>0.75190845600000011</v>
      </c>
      <c r="H5" s="6" t="s">
        <v>12</v>
      </c>
      <c r="I5" s="6">
        <f>10.4/100</f>
        <v>0.10400000000000001</v>
      </c>
      <c r="J5" s="8">
        <f t="shared" ref="J5:J10" si="2">G5*I5</f>
        <v>7.8198479424000017E-2</v>
      </c>
      <c r="K5" s="2" t="s">
        <v>33</v>
      </c>
      <c r="L5" s="2">
        <f>8.4/100</f>
        <v>8.4000000000000005E-2</v>
      </c>
      <c r="M5" s="2">
        <f t="shared" ref="M5:M11" si="3">L5*G5</f>
        <v>6.3160310304000017E-2</v>
      </c>
    </row>
    <row r="6" spans="1:13" x14ac:dyDescent="0.25">
      <c r="A6" s="4">
        <v>25.701000000000001</v>
      </c>
      <c r="B6" s="4" t="s">
        <v>2</v>
      </c>
      <c r="C6" s="5">
        <f t="shared" si="0"/>
        <v>0.159</v>
      </c>
      <c r="D6" s="6">
        <f t="shared" ref="D6:D92" si="4">C6*A6</f>
        <v>4.0864590000000005</v>
      </c>
      <c r="E6" s="6" t="s">
        <v>14</v>
      </c>
      <c r="F6" s="5">
        <f t="shared" si="1"/>
        <v>0.184</v>
      </c>
      <c r="G6" s="5">
        <f t="shared" ref="G6:G11" si="5">D6*F6</f>
        <v>0.75190845600000011</v>
      </c>
      <c r="H6" s="6" t="s">
        <v>7</v>
      </c>
      <c r="I6" s="14">
        <f>0.1/100</f>
        <v>1E-3</v>
      </c>
      <c r="J6" s="8">
        <f t="shared" si="2"/>
        <v>7.5190845600000015E-4</v>
      </c>
      <c r="K6" s="2" t="s">
        <v>34</v>
      </c>
      <c r="L6" s="2">
        <f>10.7/100</f>
        <v>0.107</v>
      </c>
      <c r="M6" s="2">
        <f t="shared" si="3"/>
        <v>8.0454204792000009E-2</v>
      </c>
    </row>
    <row r="7" spans="1:13" x14ac:dyDescent="0.25">
      <c r="A7" s="4">
        <v>25.701000000000001</v>
      </c>
      <c r="B7" s="4" t="s">
        <v>2</v>
      </c>
      <c r="C7" s="5">
        <f t="shared" si="0"/>
        <v>0.159</v>
      </c>
      <c r="D7" s="6">
        <f t="shared" si="4"/>
        <v>4.0864590000000005</v>
      </c>
      <c r="E7" s="6" t="s">
        <v>14</v>
      </c>
      <c r="F7" s="5">
        <f t="shared" si="1"/>
        <v>0.184</v>
      </c>
      <c r="G7" s="5">
        <f t="shared" si="5"/>
        <v>0.75190845600000011</v>
      </c>
      <c r="H7" s="6" t="s">
        <v>8</v>
      </c>
      <c r="I7" s="6">
        <f>30.3/100</f>
        <v>0.30299999999999999</v>
      </c>
      <c r="J7" s="8">
        <f t="shared" si="2"/>
        <v>0.22782826216800003</v>
      </c>
      <c r="K7" s="2" t="s">
        <v>35</v>
      </c>
      <c r="L7" s="2">
        <f>23.4/100</f>
        <v>0.23399999999999999</v>
      </c>
      <c r="M7" s="2">
        <f t="shared" si="3"/>
        <v>0.17594657870400002</v>
      </c>
    </row>
    <row r="8" spans="1:13" x14ac:dyDescent="0.25">
      <c r="A8" s="4">
        <v>25.701000000000001</v>
      </c>
      <c r="B8" s="4" t="s">
        <v>2</v>
      </c>
      <c r="C8" s="5">
        <f t="shared" si="0"/>
        <v>0.159</v>
      </c>
      <c r="D8" s="6">
        <f t="shared" si="4"/>
        <v>4.0864590000000005</v>
      </c>
      <c r="E8" s="6" t="s">
        <v>14</v>
      </c>
      <c r="F8" s="5">
        <f t="shared" si="1"/>
        <v>0.184</v>
      </c>
      <c r="G8" s="5">
        <f t="shared" si="5"/>
        <v>0.75190845600000011</v>
      </c>
      <c r="H8" s="6" t="s">
        <v>10</v>
      </c>
      <c r="I8" s="6">
        <f>5.8/100</f>
        <v>5.7999999999999996E-2</v>
      </c>
      <c r="J8" s="8">
        <f t="shared" si="2"/>
        <v>4.3610690448000006E-2</v>
      </c>
      <c r="K8" s="2" t="s">
        <v>36</v>
      </c>
      <c r="L8" s="2">
        <f>25.3/100</f>
        <v>0.253</v>
      </c>
      <c r="M8" s="2">
        <f t="shared" si="3"/>
        <v>0.19023283936800003</v>
      </c>
    </row>
    <row r="9" spans="1:13" x14ac:dyDescent="0.25">
      <c r="A9" s="4">
        <v>25.701000000000001</v>
      </c>
      <c r="B9" s="4" t="s">
        <v>2</v>
      </c>
      <c r="C9" s="5">
        <f t="shared" si="0"/>
        <v>0.159</v>
      </c>
      <c r="D9" s="6">
        <f>C9*A9</f>
        <v>4.0864590000000005</v>
      </c>
      <c r="E9" s="6" t="s">
        <v>14</v>
      </c>
      <c r="F9" s="5">
        <f t="shared" si="1"/>
        <v>0.184</v>
      </c>
      <c r="G9" s="5">
        <f t="shared" si="5"/>
        <v>0.75190845600000011</v>
      </c>
      <c r="H9" s="6" t="s">
        <v>9</v>
      </c>
      <c r="I9" s="6">
        <f>43.1/100</f>
        <v>0.43099999999999999</v>
      </c>
      <c r="J9" s="8">
        <f t="shared" si="2"/>
        <v>0.32407254453600004</v>
      </c>
      <c r="K9" s="2" t="s">
        <v>37</v>
      </c>
      <c r="L9" s="2">
        <f>28/100</f>
        <v>0.28000000000000003</v>
      </c>
      <c r="M9" s="2">
        <f t="shared" si="3"/>
        <v>0.21053436768000006</v>
      </c>
    </row>
    <row r="10" spans="1:13" x14ac:dyDescent="0.25">
      <c r="A10" s="4">
        <v>25.701000000000001</v>
      </c>
      <c r="B10" s="4" t="s">
        <v>2</v>
      </c>
      <c r="C10" s="5">
        <f t="shared" si="0"/>
        <v>0.159</v>
      </c>
      <c r="D10" s="6">
        <f t="shared" si="4"/>
        <v>4.0864590000000005</v>
      </c>
      <c r="E10" s="6" t="s">
        <v>14</v>
      </c>
      <c r="F10" s="5">
        <f t="shared" si="1"/>
        <v>0.184</v>
      </c>
      <c r="G10" s="5">
        <f t="shared" si="5"/>
        <v>0.75190845600000011</v>
      </c>
      <c r="H10" s="6" t="s">
        <v>55</v>
      </c>
      <c r="I10" s="6">
        <f>1.5/100</f>
        <v>1.4999999999999999E-2</v>
      </c>
      <c r="J10" s="8">
        <f t="shared" si="2"/>
        <v>1.1278626840000002E-2</v>
      </c>
      <c r="K10" s="2" t="s">
        <v>38</v>
      </c>
      <c r="L10" s="2">
        <f>1.5/100</f>
        <v>1.4999999999999999E-2</v>
      </c>
      <c r="M10" s="2">
        <f t="shared" si="3"/>
        <v>1.1278626840000002E-2</v>
      </c>
    </row>
    <row r="11" spans="1:13" x14ac:dyDescent="0.25">
      <c r="A11" s="4">
        <v>25.701000000000001</v>
      </c>
      <c r="B11" s="4" t="s">
        <v>2</v>
      </c>
      <c r="C11" s="5">
        <f t="shared" si="0"/>
        <v>0.159</v>
      </c>
      <c r="D11" s="6">
        <f t="shared" si="4"/>
        <v>4.0864590000000005</v>
      </c>
      <c r="E11" s="6" t="s">
        <v>14</v>
      </c>
      <c r="F11" s="5">
        <f t="shared" si="1"/>
        <v>0.184</v>
      </c>
      <c r="G11" s="5">
        <f t="shared" si="5"/>
        <v>0.75190845600000011</v>
      </c>
      <c r="H11" s="6"/>
      <c r="I11" s="6"/>
      <c r="J11" s="8"/>
      <c r="K11" s="2" t="s">
        <v>39</v>
      </c>
      <c r="L11" s="2">
        <f>1.4/100</f>
        <v>1.3999999999999999E-2</v>
      </c>
      <c r="M11" s="2">
        <f t="shared" si="3"/>
        <v>1.0526718384000001E-2</v>
      </c>
    </row>
    <row r="12" spans="1:13" x14ac:dyDescent="0.25">
      <c r="A12" s="4">
        <v>25.701000000000001</v>
      </c>
      <c r="B12" s="4" t="s">
        <v>2</v>
      </c>
      <c r="C12" s="5">
        <f t="shared" si="0"/>
        <v>0.159</v>
      </c>
      <c r="D12" s="6">
        <f t="shared" si="4"/>
        <v>4.0864590000000005</v>
      </c>
      <c r="E12" s="6" t="s">
        <v>44</v>
      </c>
      <c r="F12" s="8">
        <f>17.8/100</f>
        <v>0.17800000000000002</v>
      </c>
      <c r="G12" s="6">
        <f>F12*D12</f>
        <v>0.72738970200000019</v>
      </c>
      <c r="H12" s="6" t="s">
        <v>11</v>
      </c>
      <c r="I12" s="6">
        <f>0/100</f>
        <v>0</v>
      </c>
      <c r="J12" s="8">
        <f>I12*G12</f>
        <v>0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25.701000000000001</v>
      </c>
      <c r="B13" s="4" t="s">
        <v>2</v>
      </c>
      <c r="C13" s="5">
        <f t="shared" si="0"/>
        <v>0.159</v>
      </c>
      <c r="D13" s="6">
        <f t="shared" si="4"/>
        <v>4.0864590000000005</v>
      </c>
      <c r="E13" s="6" t="s">
        <v>15</v>
      </c>
      <c r="F13" s="8">
        <f t="shared" ref="F13:F19" si="6">17.8/100</f>
        <v>0.17800000000000002</v>
      </c>
      <c r="G13" s="6">
        <f t="shared" ref="G13:G19" si="7">F13*D13</f>
        <v>0.72738970200000019</v>
      </c>
      <c r="H13" s="6" t="s">
        <v>12</v>
      </c>
      <c r="I13" s="6">
        <f>2.6/100</f>
        <v>2.6000000000000002E-2</v>
      </c>
      <c r="J13" s="8">
        <f t="shared" ref="J13:J17" si="8">I13*G13</f>
        <v>1.8912132252000006E-2</v>
      </c>
      <c r="K13" s="2" t="s">
        <v>33</v>
      </c>
      <c r="L13" s="2">
        <f>8.1/100</f>
        <v>8.1000000000000003E-2</v>
      </c>
      <c r="M13" s="2">
        <f t="shared" ref="M13:M19" si="9">L13*G13</f>
        <v>5.8918565862000019E-2</v>
      </c>
    </row>
    <row r="14" spans="1:13" x14ac:dyDescent="0.25">
      <c r="A14" s="4">
        <v>25.701000000000001</v>
      </c>
      <c r="B14" s="4" t="s">
        <v>2</v>
      </c>
      <c r="C14" s="5">
        <f t="shared" si="0"/>
        <v>0.159</v>
      </c>
      <c r="D14" s="6">
        <f t="shared" si="4"/>
        <v>4.0864590000000005</v>
      </c>
      <c r="E14" s="6" t="s">
        <v>15</v>
      </c>
      <c r="F14" s="8">
        <f t="shared" si="6"/>
        <v>0.17800000000000002</v>
      </c>
      <c r="G14" s="6">
        <f t="shared" si="7"/>
        <v>0.72738970200000019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22.3/100</f>
        <v>0.223</v>
      </c>
      <c r="M14" s="2">
        <f t="shared" si="9"/>
        <v>0.16220790354600004</v>
      </c>
    </row>
    <row r="15" spans="1:13" x14ac:dyDescent="0.25">
      <c r="A15" s="4">
        <v>25.701000000000001</v>
      </c>
      <c r="B15" s="4" t="s">
        <v>2</v>
      </c>
      <c r="C15" s="5">
        <f t="shared" si="0"/>
        <v>0.159</v>
      </c>
      <c r="D15" s="6">
        <f t="shared" si="4"/>
        <v>4.0864590000000005</v>
      </c>
      <c r="E15" s="6" t="s">
        <v>15</v>
      </c>
      <c r="F15" s="8">
        <f t="shared" si="6"/>
        <v>0.17800000000000002</v>
      </c>
      <c r="G15" s="6">
        <f t="shared" si="7"/>
        <v>0.72738970200000019</v>
      </c>
      <c r="H15" s="6" t="s">
        <v>8</v>
      </c>
      <c r="I15" s="6">
        <f>30/100</f>
        <v>0.3</v>
      </c>
      <c r="J15" s="8">
        <f>I15*G15</f>
        <v>0.21821691060000006</v>
      </c>
      <c r="K15" s="2" t="s">
        <v>35</v>
      </c>
      <c r="L15" s="2">
        <f>26.2/100</f>
        <v>0.26200000000000001</v>
      </c>
      <c r="M15" s="2">
        <f t="shared" si="9"/>
        <v>0.19057610192400007</v>
      </c>
    </row>
    <row r="16" spans="1:13" x14ac:dyDescent="0.25">
      <c r="A16" s="4">
        <v>25.701000000000001</v>
      </c>
      <c r="B16" s="4" t="s">
        <v>2</v>
      </c>
      <c r="C16" s="5">
        <f t="shared" si="0"/>
        <v>0.159</v>
      </c>
      <c r="D16" s="6">
        <f t="shared" si="4"/>
        <v>4.0864590000000005</v>
      </c>
      <c r="E16" s="6" t="s">
        <v>15</v>
      </c>
      <c r="F16" s="8">
        <f t="shared" si="6"/>
        <v>0.17800000000000002</v>
      </c>
      <c r="G16" s="6">
        <f t="shared" si="7"/>
        <v>0.72738970200000019</v>
      </c>
      <c r="H16" s="6" t="s">
        <v>10</v>
      </c>
      <c r="I16" s="6">
        <f>9.6/100</f>
        <v>9.6000000000000002E-2</v>
      </c>
      <c r="J16" s="8">
        <f t="shared" si="8"/>
        <v>6.9829411392000024E-2</v>
      </c>
      <c r="K16" s="2" t="s">
        <v>36</v>
      </c>
      <c r="L16" s="2">
        <f>21.8/100</f>
        <v>0.218</v>
      </c>
      <c r="M16" s="2">
        <f t="shared" si="9"/>
        <v>0.15857095503600005</v>
      </c>
    </row>
    <row r="17" spans="1:13" x14ac:dyDescent="0.25">
      <c r="A17" s="4">
        <v>25.701000000000001</v>
      </c>
      <c r="B17" s="4" t="s">
        <v>2</v>
      </c>
      <c r="C17" s="5">
        <f t="shared" si="0"/>
        <v>0.159</v>
      </c>
      <c r="D17" s="6">
        <f t="shared" si="4"/>
        <v>4.0864590000000005</v>
      </c>
      <c r="E17" s="6" t="s">
        <v>15</v>
      </c>
      <c r="F17" s="8">
        <f t="shared" si="6"/>
        <v>0.17800000000000002</v>
      </c>
      <c r="G17" s="6">
        <f t="shared" si="7"/>
        <v>0.72738970200000019</v>
      </c>
      <c r="H17" s="6" t="s">
        <v>9</v>
      </c>
      <c r="I17" s="6">
        <f>56/100</f>
        <v>0.56000000000000005</v>
      </c>
      <c r="J17" s="8">
        <f t="shared" si="8"/>
        <v>0.40733823312000017</v>
      </c>
      <c r="K17" s="2" t="s">
        <v>37</v>
      </c>
      <c r="L17" s="2">
        <f>18.1/100</f>
        <v>0.18100000000000002</v>
      </c>
      <c r="M17" s="2">
        <f t="shared" si="9"/>
        <v>0.13165753606200006</v>
      </c>
    </row>
    <row r="18" spans="1:13" x14ac:dyDescent="0.25">
      <c r="A18" s="4">
        <v>25.701000000000001</v>
      </c>
      <c r="B18" s="4" t="s">
        <v>2</v>
      </c>
      <c r="C18" s="5">
        <f t="shared" si="0"/>
        <v>0.159</v>
      </c>
      <c r="D18" s="6">
        <f t="shared" si="4"/>
        <v>4.0864590000000005</v>
      </c>
      <c r="E18" s="6" t="s">
        <v>15</v>
      </c>
      <c r="F18" s="8">
        <f t="shared" si="6"/>
        <v>0.17800000000000002</v>
      </c>
      <c r="G18" s="6">
        <f t="shared" si="7"/>
        <v>0.72738970200000019</v>
      </c>
      <c r="H18" s="6" t="s">
        <v>55</v>
      </c>
      <c r="I18" s="6">
        <f>1.8/100</f>
        <v>1.8000000000000002E-2</v>
      </c>
      <c r="J18" s="8">
        <f>I18*G18</f>
        <v>1.3093014636000004E-2</v>
      </c>
      <c r="K18" s="2" t="s">
        <v>38</v>
      </c>
      <c r="L18" s="2">
        <f>3.4/100</f>
        <v>3.4000000000000002E-2</v>
      </c>
      <c r="M18" s="2">
        <f>L18*G18</f>
        <v>2.4731249868000009E-2</v>
      </c>
    </row>
    <row r="19" spans="1:13" x14ac:dyDescent="0.25">
      <c r="A19" s="4">
        <v>25.701000000000001</v>
      </c>
      <c r="B19" s="4" t="s">
        <v>2</v>
      </c>
      <c r="C19" s="5">
        <f t="shared" si="0"/>
        <v>0.159</v>
      </c>
      <c r="D19" s="6">
        <f t="shared" si="4"/>
        <v>4.0864590000000005</v>
      </c>
      <c r="E19" s="6" t="s">
        <v>15</v>
      </c>
      <c r="F19" s="8">
        <f t="shared" si="6"/>
        <v>0.17800000000000002</v>
      </c>
      <c r="G19" s="6">
        <f t="shared" si="7"/>
        <v>0.72738970200000019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25.701000000000001</v>
      </c>
      <c r="B20" s="4" t="s">
        <v>2</v>
      </c>
      <c r="C20" s="5">
        <f t="shared" si="0"/>
        <v>0.159</v>
      </c>
      <c r="D20" s="6">
        <f t="shared" si="4"/>
        <v>4.0864590000000005</v>
      </c>
      <c r="E20" s="6" t="s">
        <v>45</v>
      </c>
      <c r="F20" s="6">
        <f>16.4/100</f>
        <v>0.16399999999999998</v>
      </c>
      <c r="G20" s="6">
        <f>F20*D20</f>
        <v>0.67017927600000005</v>
      </c>
      <c r="H20" s="6" t="s">
        <v>11</v>
      </c>
      <c r="I20" s="6">
        <f>9.4/100</f>
        <v>9.4E-2</v>
      </c>
      <c r="J20" s="6">
        <f>I20*G20</f>
        <v>6.299685194400001E-2</v>
      </c>
      <c r="K20" s="2" t="s">
        <v>32</v>
      </c>
      <c r="L20" s="2">
        <f>3.2/100</f>
        <v>3.2000000000000001E-2</v>
      </c>
      <c r="M20" s="2">
        <f>L20*G20</f>
        <v>2.1445736832000004E-2</v>
      </c>
    </row>
    <row r="21" spans="1:13" x14ac:dyDescent="0.25">
      <c r="A21" s="4">
        <v>25.701000000000001</v>
      </c>
      <c r="B21" s="4" t="s">
        <v>2</v>
      </c>
      <c r="C21" s="5">
        <f t="shared" si="0"/>
        <v>0.159</v>
      </c>
      <c r="D21" s="6">
        <f t="shared" si="4"/>
        <v>4.0864590000000005</v>
      </c>
      <c r="E21" s="6" t="s">
        <v>16</v>
      </c>
      <c r="F21" s="6">
        <f t="shared" ref="F21:F27" si="10">16.4/100</f>
        <v>0.16399999999999998</v>
      </c>
      <c r="G21" s="6">
        <f t="shared" ref="G21:G98" si="11">F21*D21</f>
        <v>0.67017927600000005</v>
      </c>
      <c r="H21" s="6" t="s">
        <v>12</v>
      </c>
      <c r="I21" s="6">
        <f>7.6/100</f>
        <v>7.5999999999999998E-2</v>
      </c>
      <c r="J21" s="6">
        <f t="shared" ref="J21:J26" si="12">I21*G21</f>
        <v>5.0933624976E-2</v>
      </c>
      <c r="K21" s="2" t="s">
        <v>33</v>
      </c>
      <c r="L21" s="2">
        <f>10.6/100</f>
        <v>0.106</v>
      </c>
      <c r="M21" s="2">
        <f t="shared" ref="M21:M27" si="13">L21*G21</f>
        <v>7.1039003256000002E-2</v>
      </c>
    </row>
    <row r="22" spans="1:13" x14ac:dyDescent="0.25">
      <c r="A22" s="4">
        <v>25.701000000000001</v>
      </c>
      <c r="B22" s="4" t="s">
        <v>2</v>
      </c>
      <c r="C22" s="5">
        <f t="shared" si="0"/>
        <v>0.159</v>
      </c>
      <c r="D22" s="6">
        <f t="shared" si="4"/>
        <v>4.0864590000000005</v>
      </c>
      <c r="E22" s="6" t="s">
        <v>16</v>
      </c>
      <c r="F22" s="6">
        <f t="shared" si="10"/>
        <v>0.16399999999999998</v>
      </c>
      <c r="G22" s="6">
        <f t="shared" si="11"/>
        <v>0.67017927600000005</v>
      </c>
      <c r="H22" s="6" t="s">
        <v>7</v>
      </c>
      <c r="I22" s="6">
        <f>1.1/100</f>
        <v>1.1000000000000001E-2</v>
      </c>
      <c r="J22" s="6">
        <f t="shared" si="12"/>
        <v>7.3719720360000017E-3</v>
      </c>
      <c r="K22" s="2" t="s">
        <v>34</v>
      </c>
      <c r="L22" s="2">
        <f>18.3/100</f>
        <v>0.183</v>
      </c>
      <c r="M22" s="2">
        <f t="shared" si="13"/>
        <v>0.12264280750800001</v>
      </c>
    </row>
    <row r="23" spans="1:13" x14ac:dyDescent="0.25">
      <c r="A23" s="4">
        <v>25.701000000000001</v>
      </c>
      <c r="B23" s="4" t="s">
        <v>2</v>
      </c>
      <c r="C23" s="5">
        <f t="shared" si="0"/>
        <v>0.159</v>
      </c>
      <c r="D23" s="6">
        <f t="shared" si="4"/>
        <v>4.0864590000000005</v>
      </c>
      <c r="E23" s="6" t="s">
        <v>16</v>
      </c>
      <c r="F23" s="6">
        <f t="shared" si="10"/>
        <v>0.16399999999999998</v>
      </c>
      <c r="G23" s="6">
        <f t="shared" si="11"/>
        <v>0.67017927600000005</v>
      </c>
      <c r="H23" s="6" t="s">
        <v>8</v>
      </c>
      <c r="I23" s="6">
        <f>30.5/100</f>
        <v>0.30499999999999999</v>
      </c>
      <c r="J23" s="6">
        <f t="shared" si="12"/>
        <v>0.20440467918000002</v>
      </c>
      <c r="K23" s="2" t="s">
        <v>35</v>
      </c>
      <c r="L23" s="2">
        <f>27.1/100</f>
        <v>0.27100000000000002</v>
      </c>
      <c r="M23" s="2">
        <f t="shared" si="13"/>
        <v>0.18161858379600002</v>
      </c>
    </row>
    <row r="24" spans="1:13" x14ac:dyDescent="0.25">
      <c r="A24" s="4">
        <v>25.701000000000001</v>
      </c>
      <c r="B24" s="4" t="s">
        <v>2</v>
      </c>
      <c r="C24" s="5">
        <f t="shared" si="0"/>
        <v>0.159</v>
      </c>
      <c r="D24" s="6">
        <f t="shared" si="4"/>
        <v>4.0864590000000005</v>
      </c>
      <c r="E24" s="6" t="s">
        <v>16</v>
      </c>
      <c r="F24" s="6">
        <f t="shared" si="10"/>
        <v>0.16399999999999998</v>
      </c>
      <c r="G24" s="6">
        <f t="shared" si="11"/>
        <v>0.67017927600000005</v>
      </c>
      <c r="H24" s="6" t="s">
        <v>10</v>
      </c>
      <c r="I24" s="6">
        <f>5.3/100</f>
        <v>5.2999999999999999E-2</v>
      </c>
      <c r="J24" s="6">
        <f t="shared" si="12"/>
        <v>3.5519501628000001E-2</v>
      </c>
      <c r="K24" s="2" t="s">
        <v>36</v>
      </c>
      <c r="L24" s="2">
        <f>20.6/100</f>
        <v>0.20600000000000002</v>
      </c>
      <c r="M24" s="2">
        <f t="shared" si="13"/>
        <v>0.13805693085600002</v>
      </c>
    </row>
    <row r="25" spans="1:13" x14ac:dyDescent="0.25">
      <c r="A25" s="4">
        <v>25.701000000000001</v>
      </c>
      <c r="B25" s="4" t="s">
        <v>2</v>
      </c>
      <c r="C25" s="5">
        <f t="shared" si="0"/>
        <v>0.159</v>
      </c>
      <c r="D25" s="6">
        <f t="shared" si="4"/>
        <v>4.0864590000000005</v>
      </c>
      <c r="E25" s="6" t="s">
        <v>16</v>
      </c>
      <c r="F25" s="6">
        <f t="shared" si="10"/>
        <v>0.16399999999999998</v>
      </c>
      <c r="G25" s="6">
        <f t="shared" si="11"/>
        <v>0.67017927600000005</v>
      </c>
      <c r="H25" s="6" t="s">
        <v>9</v>
      </c>
      <c r="I25" s="6">
        <f>45.2/100</f>
        <v>0.45200000000000001</v>
      </c>
      <c r="J25" s="6">
        <f t="shared" si="12"/>
        <v>0.30292103275200005</v>
      </c>
      <c r="K25" s="2" t="s">
        <v>37</v>
      </c>
      <c r="L25" s="2">
        <f>18.4/100</f>
        <v>0.184</v>
      </c>
      <c r="M25" s="2">
        <f t="shared" si="13"/>
        <v>0.123312986784</v>
      </c>
    </row>
    <row r="26" spans="1:13" x14ac:dyDescent="0.25">
      <c r="A26" s="4">
        <v>25.701000000000001</v>
      </c>
      <c r="B26" s="4" t="s">
        <v>2</v>
      </c>
      <c r="C26" s="5">
        <f t="shared" si="0"/>
        <v>0.159</v>
      </c>
      <c r="D26" s="6">
        <f t="shared" si="4"/>
        <v>4.0864590000000005</v>
      </c>
      <c r="E26" s="6" t="s">
        <v>16</v>
      </c>
      <c r="F26" s="6">
        <f t="shared" si="10"/>
        <v>0.16399999999999998</v>
      </c>
      <c r="G26" s="6">
        <f t="shared" si="11"/>
        <v>0.67017927600000005</v>
      </c>
      <c r="H26" s="6" t="s">
        <v>55</v>
      </c>
      <c r="I26" s="6">
        <f>0.9/100</f>
        <v>9.0000000000000011E-3</v>
      </c>
      <c r="J26" s="6">
        <f t="shared" si="12"/>
        <v>6.0316134840000014E-3</v>
      </c>
      <c r="K26" s="2" t="s">
        <v>38</v>
      </c>
      <c r="L26" s="2">
        <f>1.1/100</f>
        <v>1.1000000000000001E-2</v>
      </c>
      <c r="M26" s="2">
        <f t="shared" si="13"/>
        <v>7.3719720360000017E-3</v>
      </c>
    </row>
    <row r="27" spans="1:13" x14ac:dyDescent="0.25">
      <c r="A27" s="4">
        <v>25.701000000000001</v>
      </c>
      <c r="B27" s="4" t="s">
        <v>2</v>
      </c>
      <c r="C27" s="5">
        <f t="shared" si="0"/>
        <v>0.159</v>
      </c>
      <c r="D27" s="6">
        <f t="shared" si="4"/>
        <v>4.0864590000000005</v>
      </c>
      <c r="E27" s="6" t="s">
        <v>16</v>
      </c>
      <c r="F27" s="6">
        <f t="shared" si="10"/>
        <v>0.16399999999999998</v>
      </c>
      <c r="G27" s="6">
        <f t="shared" si="11"/>
        <v>0.67017927600000005</v>
      </c>
      <c r="H27" s="6"/>
      <c r="I27" s="6"/>
      <c r="J27" s="6"/>
      <c r="K27" s="2" t="s">
        <v>39</v>
      </c>
      <c r="L27" s="2">
        <f>0.7/100</f>
        <v>6.9999999999999993E-3</v>
      </c>
      <c r="M27" s="2">
        <f t="shared" si="13"/>
        <v>4.6912549319999995E-3</v>
      </c>
    </row>
    <row r="28" spans="1:13" x14ac:dyDescent="0.25">
      <c r="A28" s="4">
        <v>25.701000000000001</v>
      </c>
      <c r="B28" s="4" t="s">
        <v>2</v>
      </c>
      <c r="C28" s="5">
        <f t="shared" si="0"/>
        <v>0.159</v>
      </c>
      <c r="D28" s="6">
        <f t="shared" si="4"/>
        <v>4.0864590000000005</v>
      </c>
      <c r="E28" s="6" t="s">
        <v>46</v>
      </c>
      <c r="F28" s="8">
        <f>17.3/100</f>
        <v>0.17300000000000001</v>
      </c>
      <c r="G28" s="6">
        <f t="shared" si="11"/>
        <v>0.70695740700000009</v>
      </c>
      <c r="H28" s="6" t="s">
        <v>11</v>
      </c>
      <c r="I28" s="8">
        <f>29.2/100</f>
        <v>0.29199999999999998</v>
      </c>
      <c r="J28" s="8">
        <f>I28*G28</f>
        <v>0.20643156284400002</v>
      </c>
      <c r="K28" s="2" t="s">
        <v>32</v>
      </c>
      <c r="L28" s="2">
        <f>2.4/100</f>
        <v>2.4E-2</v>
      </c>
      <c r="M28" s="2">
        <f>L28*G28</f>
        <v>1.6966977768000002E-2</v>
      </c>
    </row>
    <row r="29" spans="1:13" x14ac:dyDescent="0.25">
      <c r="A29" s="4">
        <v>25.701000000000001</v>
      </c>
      <c r="B29" s="4" t="s">
        <v>2</v>
      </c>
      <c r="C29" s="5">
        <f t="shared" si="0"/>
        <v>0.159</v>
      </c>
      <c r="D29" s="6">
        <f t="shared" si="4"/>
        <v>4.0864590000000005</v>
      </c>
      <c r="E29" s="6" t="s">
        <v>13</v>
      </c>
      <c r="F29" s="8">
        <f t="shared" ref="F29:F35" si="14">17.3/100</f>
        <v>0.17300000000000001</v>
      </c>
      <c r="G29" s="6">
        <f t="shared" si="11"/>
        <v>0.70695740700000009</v>
      </c>
      <c r="H29" s="6" t="s">
        <v>12</v>
      </c>
      <c r="I29" s="8">
        <f>11.3/100</f>
        <v>0.113</v>
      </c>
      <c r="J29" s="8">
        <f t="shared" ref="J29:J33" si="15">I29*G29</f>
        <v>7.9886186991000016E-2</v>
      </c>
      <c r="K29" s="2" t="s">
        <v>33</v>
      </c>
      <c r="L29" s="2">
        <f>8.4/100</f>
        <v>8.4000000000000005E-2</v>
      </c>
      <c r="M29" s="2">
        <f t="shared" ref="M29:M32" si="16">L29*G29</f>
        <v>5.9384422188000011E-2</v>
      </c>
    </row>
    <row r="30" spans="1:13" x14ac:dyDescent="0.25">
      <c r="A30" s="4">
        <v>25.701000000000001</v>
      </c>
      <c r="B30" s="4" t="s">
        <v>2</v>
      </c>
      <c r="C30" s="5">
        <f t="shared" si="0"/>
        <v>0.159</v>
      </c>
      <c r="D30" s="6">
        <f t="shared" si="4"/>
        <v>4.0864590000000005</v>
      </c>
      <c r="E30" s="6" t="s">
        <v>13</v>
      </c>
      <c r="F30" s="8">
        <f t="shared" si="14"/>
        <v>0.17300000000000001</v>
      </c>
      <c r="G30" s="6">
        <f t="shared" si="11"/>
        <v>0.70695740700000009</v>
      </c>
      <c r="H30" s="6" t="s">
        <v>7</v>
      </c>
      <c r="I30" s="8">
        <f>0.9/100</f>
        <v>9.0000000000000011E-3</v>
      </c>
      <c r="J30" s="8">
        <f t="shared" si="15"/>
        <v>6.3626166630000019E-3</v>
      </c>
      <c r="K30" s="2" t="s">
        <v>34</v>
      </c>
      <c r="L30" s="2">
        <f>12.9/100</f>
        <v>0.129</v>
      </c>
      <c r="M30" s="2">
        <f t="shared" si="16"/>
        <v>9.1197505503000015E-2</v>
      </c>
    </row>
    <row r="31" spans="1:13" x14ac:dyDescent="0.25">
      <c r="A31" s="4">
        <v>25.701000000000001</v>
      </c>
      <c r="B31" s="4" t="s">
        <v>2</v>
      </c>
      <c r="C31" s="5">
        <f t="shared" si="0"/>
        <v>0.159</v>
      </c>
      <c r="D31" s="6">
        <f t="shared" si="4"/>
        <v>4.0864590000000005</v>
      </c>
      <c r="E31" s="6" t="s">
        <v>13</v>
      </c>
      <c r="F31" s="8">
        <f t="shared" si="14"/>
        <v>0.17300000000000001</v>
      </c>
      <c r="G31" s="6">
        <f t="shared" si="11"/>
        <v>0.70695740700000009</v>
      </c>
      <c r="H31" s="6" t="s">
        <v>8</v>
      </c>
      <c r="I31" s="8">
        <f>32.1/100</f>
        <v>0.32100000000000001</v>
      </c>
      <c r="J31" s="8">
        <f t="shared" si="15"/>
        <v>0.22693332764700003</v>
      </c>
      <c r="K31" s="2" t="s">
        <v>35</v>
      </c>
      <c r="L31" s="2">
        <f>26.5/100</f>
        <v>0.26500000000000001</v>
      </c>
      <c r="M31" s="2">
        <f t="shared" si="16"/>
        <v>0.18734371285500004</v>
      </c>
    </row>
    <row r="32" spans="1:13" x14ac:dyDescent="0.25">
      <c r="A32" s="4">
        <v>25.701000000000001</v>
      </c>
      <c r="B32" s="4" t="s">
        <v>2</v>
      </c>
      <c r="C32" s="5">
        <f t="shared" si="0"/>
        <v>0.159</v>
      </c>
      <c r="D32" s="6">
        <f t="shared" si="4"/>
        <v>4.0864590000000005</v>
      </c>
      <c r="E32" s="6" t="s">
        <v>13</v>
      </c>
      <c r="F32" s="8">
        <f t="shared" si="14"/>
        <v>0.17300000000000001</v>
      </c>
      <c r="G32" s="6">
        <f t="shared" si="11"/>
        <v>0.70695740700000009</v>
      </c>
      <c r="H32" s="6" t="s">
        <v>10</v>
      </c>
      <c r="I32" s="8">
        <f>4.5/100</f>
        <v>4.4999999999999998E-2</v>
      </c>
      <c r="J32" s="8">
        <f t="shared" si="15"/>
        <v>3.1813083315000004E-2</v>
      </c>
      <c r="K32" s="2" t="s">
        <v>36</v>
      </c>
      <c r="L32" s="2">
        <f>26.7/100</f>
        <v>0.26700000000000002</v>
      </c>
      <c r="M32" s="2">
        <f t="shared" si="16"/>
        <v>0.18875762766900003</v>
      </c>
    </row>
    <row r="33" spans="1:13" x14ac:dyDescent="0.25">
      <c r="A33" s="4">
        <v>25.701000000000001</v>
      </c>
      <c r="B33" s="4" t="s">
        <v>2</v>
      </c>
      <c r="C33" s="5">
        <f t="shared" si="0"/>
        <v>0.159</v>
      </c>
      <c r="D33" s="6">
        <f t="shared" si="4"/>
        <v>4.0864590000000005</v>
      </c>
      <c r="E33" s="6" t="s">
        <v>13</v>
      </c>
      <c r="F33" s="8">
        <f t="shared" si="14"/>
        <v>0.17300000000000001</v>
      </c>
      <c r="G33" s="6">
        <f t="shared" si="11"/>
        <v>0.70695740700000009</v>
      </c>
      <c r="H33" s="6" t="s">
        <v>9</v>
      </c>
      <c r="I33" s="8">
        <f>21/100</f>
        <v>0.21</v>
      </c>
      <c r="J33" s="8">
        <f t="shared" si="15"/>
        <v>0.14846105547000002</v>
      </c>
      <c r="K33" s="2" t="s">
        <v>37</v>
      </c>
      <c r="L33" s="2">
        <f>20.2/100</f>
        <v>0.20199999999999999</v>
      </c>
      <c r="M33" s="2">
        <f>L32*G33</f>
        <v>0.18875762766900003</v>
      </c>
    </row>
    <row r="34" spans="1:13" x14ac:dyDescent="0.25">
      <c r="A34" s="4">
        <v>25.701000000000001</v>
      </c>
      <c r="B34" s="4" t="s">
        <v>2</v>
      </c>
      <c r="C34" s="5">
        <f t="shared" si="0"/>
        <v>0.159</v>
      </c>
      <c r="D34" s="6">
        <f t="shared" si="4"/>
        <v>4.0864590000000005</v>
      </c>
      <c r="E34" s="6" t="s">
        <v>13</v>
      </c>
      <c r="F34" s="8">
        <f t="shared" si="14"/>
        <v>0.17300000000000001</v>
      </c>
      <c r="G34" s="6">
        <f t="shared" si="11"/>
        <v>0.70695740700000009</v>
      </c>
      <c r="H34" s="6" t="s">
        <v>55</v>
      </c>
      <c r="I34" s="8">
        <f>0.9/100</f>
        <v>9.0000000000000011E-3</v>
      </c>
      <c r="J34" s="8"/>
      <c r="K34" s="2" t="s">
        <v>38</v>
      </c>
      <c r="L34" s="2">
        <f>2/100</f>
        <v>0.02</v>
      </c>
      <c r="M34" s="2">
        <f>L33*G34</f>
        <v>0.14280539621400001</v>
      </c>
    </row>
    <row r="35" spans="1:13" x14ac:dyDescent="0.25">
      <c r="A35" s="4">
        <v>25.701000000000001</v>
      </c>
      <c r="B35" s="4" t="s">
        <v>2</v>
      </c>
      <c r="C35" s="5">
        <f t="shared" si="0"/>
        <v>0.159</v>
      </c>
      <c r="D35" s="6">
        <f t="shared" si="4"/>
        <v>4.0864590000000005</v>
      </c>
      <c r="E35" s="6" t="s">
        <v>13</v>
      </c>
      <c r="F35" s="8">
        <f t="shared" si="14"/>
        <v>0.17300000000000001</v>
      </c>
      <c r="G35" s="6">
        <f t="shared" si="11"/>
        <v>0.70695740700000009</v>
      </c>
      <c r="H35" s="6"/>
      <c r="I35" s="8"/>
      <c r="J35" s="8"/>
      <c r="K35" s="2" t="s">
        <v>39</v>
      </c>
      <c r="L35" s="2">
        <f>1/100</f>
        <v>0.01</v>
      </c>
      <c r="M35" s="2">
        <f>L34*G35</f>
        <v>1.4139148140000002E-2</v>
      </c>
    </row>
    <row r="36" spans="1:13" x14ac:dyDescent="0.25">
      <c r="A36" s="4">
        <v>25.701000000000001</v>
      </c>
      <c r="B36" s="4" t="s">
        <v>2</v>
      </c>
      <c r="C36" s="5">
        <f t="shared" si="0"/>
        <v>0.159</v>
      </c>
      <c r="D36" s="6">
        <f t="shared" si="4"/>
        <v>4.0864590000000005</v>
      </c>
      <c r="E36" s="8" t="s">
        <v>47</v>
      </c>
      <c r="F36" s="6">
        <f>13.6/100</f>
        <v>0.13600000000000001</v>
      </c>
      <c r="G36" s="6">
        <f t="shared" si="11"/>
        <v>0.55575842400000008</v>
      </c>
      <c r="H36" s="6" t="s">
        <v>11</v>
      </c>
      <c r="I36" s="6">
        <f>2.9/100</f>
        <v>2.8999999999999998E-2</v>
      </c>
      <c r="J36" s="6">
        <f>I36*G36</f>
        <v>1.6116994296000001E-2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25.701000000000001</v>
      </c>
      <c r="B37" s="4" t="s">
        <v>2</v>
      </c>
      <c r="C37" s="5">
        <f t="shared" si="0"/>
        <v>0.159</v>
      </c>
      <c r="D37" s="6">
        <f t="shared" si="4"/>
        <v>4.0864590000000005</v>
      </c>
      <c r="E37" s="8" t="s">
        <v>17</v>
      </c>
      <c r="F37" s="6">
        <f t="shared" ref="F37:F43" si="17">13.6/100</f>
        <v>0.13600000000000001</v>
      </c>
      <c r="G37" s="6">
        <f t="shared" si="11"/>
        <v>0.55575842400000008</v>
      </c>
      <c r="H37" s="6" t="s">
        <v>12</v>
      </c>
      <c r="I37" s="6">
        <f>12.4/100</f>
        <v>0.124</v>
      </c>
      <c r="J37" s="6">
        <f t="shared" ref="J37:J41" si="18">I37*G37</f>
        <v>6.8914044576000005E-2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25.701000000000001</v>
      </c>
      <c r="B38" s="4" t="s">
        <v>2</v>
      </c>
      <c r="C38" s="5">
        <f t="shared" si="0"/>
        <v>0.159</v>
      </c>
      <c r="D38" s="6">
        <f t="shared" si="4"/>
        <v>4.0864590000000005</v>
      </c>
      <c r="E38" s="8" t="s">
        <v>17</v>
      </c>
      <c r="F38" s="6">
        <f t="shared" si="17"/>
        <v>0.13600000000000001</v>
      </c>
      <c r="G38" s="6">
        <f t="shared" si="11"/>
        <v>0.55575842400000008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13.6/100</f>
        <v>0.13600000000000001</v>
      </c>
      <c r="M38" s="2">
        <f t="shared" si="19"/>
        <v>7.5583145664000012E-2</v>
      </c>
    </row>
    <row r="39" spans="1:13" x14ac:dyDescent="0.25">
      <c r="A39" s="4">
        <v>25.701000000000001</v>
      </c>
      <c r="B39" s="4" t="s">
        <v>2</v>
      </c>
      <c r="C39" s="5">
        <f t="shared" si="0"/>
        <v>0.159</v>
      </c>
      <c r="D39" s="6">
        <f t="shared" si="4"/>
        <v>4.0864590000000005</v>
      </c>
      <c r="E39" s="8" t="s">
        <v>17</v>
      </c>
      <c r="F39" s="6">
        <f t="shared" si="17"/>
        <v>0.13600000000000001</v>
      </c>
      <c r="G39" s="6">
        <f t="shared" si="11"/>
        <v>0.55575842400000008</v>
      </c>
      <c r="H39" s="6" t="s">
        <v>8</v>
      </c>
      <c r="I39" s="6">
        <f>52.1/100</f>
        <v>0.52100000000000002</v>
      </c>
      <c r="J39" s="6">
        <f t="shared" si="18"/>
        <v>0.28955013890400005</v>
      </c>
      <c r="K39" s="2" t="s">
        <v>35</v>
      </c>
      <c r="L39" s="2">
        <f>33.4/100</f>
        <v>0.33399999999999996</v>
      </c>
      <c r="M39" s="2">
        <f t="shared" si="19"/>
        <v>0.18562331361600001</v>
      </c>
    </row>
    <row r="40" spans="1:13" x14ac:dyDescent="0.25">
      <c r="A40" s="4">
        <v>25.701000000000001</v>
      </c>
      <c r="B40" s="4" t="s">
        <v>2</v>
      </c>
      <c r="C40" s="5">
        <f t="shared" si="0"/>
        <v>0.159</v>
      </c>
      <c r="D40" s="6">
        <f t="shared" si="4"/>
        <v>4.0864590000000005</v>
      </c>
      <c r="E40" s="8" t="s">
        <v>17</v>
      </c>
      <c r="F40" s="6">
        <f t="shared" si="17"/>
        <v>0.13600000000000001</v>
      </c>
      <c r="G40" s="6">
        <f t="shared" si="11"/>
        <v>0.55575842400000008</v>
      </c>
      <c r="H40" s="6" t="s">
        <v>10</v>
      </c>
      <c r="I40" s="6">
        <f>17.2/100</f>
        <v>0.17199999999999999</v>
      </c>
      <c r="J40" s="6">
        <f t="shared" si="18"/>
        <v>9.5590448928000005E-2</v>
      </c>
      <c r="K40" s="2" t="s">
        <v>36</v>
      </c>
      <c r="L40" s="2">
        <f>35.4/100</f>
        <v>0.35399999999999998</v>
      </c>
      <c r="M40" s="2">
        <f t="shared" si="19"/>
        <v>0.19673848209600001</v>
      </c>
    </row>
    <row r="41" spans="1:13" x14ac:dyDescent="0.25">
      <c r="A41" s="4">
        <v>25.701000000000001</v>
      </c>
      <c r="B41" s="4" t="s">
        <v>2</v>
      </c>
      <c r="C41" s="5">
        <f t="shared" si="0"/>
        <v>0.159</v>
      </c>
      <c r="D41" s="6">
        <f t="shared" si="4"/>
        <v>4.0864590000000005</v>
      </c>
      <c r="E41" s="8" t="s">
        <v>17</v>
      </c>
      <c r="F41" s="6">
        <f t="shared" si="17"/>
        <v>0.13600000000000001</v>
      </c>
      <c r="G41" s="6">
        <f t="shared" si="11"/>
        <v>0.55575842400000008</v>
      </c>
      <c r="H41" s="6" t="s">
        <v>9</v>
      </c>
      <c r="I41" s="6">
        <f>15.4/100</f>
        <v>0.154</v>
      </c>
      <c r="J41" s="6">
        <f t="shared" si="18"/>
        <v>8.5586797296000008E-2</v>
      </c>
      <c r="K41" s="2" t="s">
        <v>37</v>
      </c>
      <c r="L41" s="2">
        <f>17.7/100</f>
        <v>0.17699999999999999</v>
      </c>
      <c r="M41" s="2">
        <f t="shared" si="19"/>
        <v>9.8369241048000003E-2</v>
      </c>
    </row>
    <row r="42" spans="1:13" x14ac:dyDescent="0.25">
      <c r="A42" s="4">
        <v>25.701000000000001</v>
      </c>
      <c r="B42" s="4" t="s">
        <v>2</v>
      </c>
      <c r="C42" s="5">
        <f t="shared" si="0"/>
        <v>0.159</v>
      </c>
      <c r="D42" s="6">
        <f t="shared" si="4"/>
        <v>4.0864590000000005</v>
      </c>
      <c r="E42" s="8" t="s">
        <v>17</v>
      </c>
      <c r="F42" s="6">
        <f t="shared" si="17"/>
        <v>0.13600000000000001</v>
      </c>
      <c r="G42" s="6">
        <f t="shared" si="11"/>
        <v>0.55575842400000008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25.701000000000001</v>
      </c>
      <c r="B43" s="4" t="s">
        <v>2</v>
      </c>
      <c r="C43" s="5">
        <f t="shared" si="0"/>
        <v>0.159</v>
      </c>
      <c r="D43" s="6">
        <f t="shared" si="4"/>
        <v>4.0864590000000005</v>
      </c>
      <c r="E43" s="8" t="s">
        <v>17</v>
      </c>
      <c r="F43" s="6">
        <f t="shared" si="17"/>
        <v>0.13600000000000001</v>
      </c>
      <c r="G43" s="6">
        <f t="shared" si="11"/>
        <v>0.55575842400000008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25.701000000000001</v>
      </c>
      <c r="B44" s="4" t="s">
        <v>2</v>
      </c>
      <c r="C44" s="5">
        <f t="shared" si="0"/>
        <v>0.159</v>
      </c>
      <c r="D44" s="6">
        <f t="shared" si="4"/>
        <v>4.0864590000000005</v>
      </c>
      <c r="E44" s="2" t="s">
        <v>18</v>
      </c>
      <c r="F44" s="6">
        <f>12.3/100</f>
        <v>0.12300000000000001</v>
      </c>
      <c r="G44" s="6">
        <f t="shared" si="11"/>
        <v>0.50263445700000009</v>
      </c>
      <c r="H44" s="6" t="s">
        <v>11</v>
      </c>
      <c r="I44" s="8">
        <f>48.1/100</f>
        <v>0.48100000000000004</v>
      </c>
      <c r="J44" s="6">
        <f>I44*G44</f>
        <v>0.24176717381700005</v>
      </c>
      <c r="K44" s="2" t="s">
        <v>32</v>
      </c>
      <c r="L44" s="2">
        <f>4.9/100</f>
        <v>4.9000000000000002E-2</v>
      </c>
      <c r="M44" s="2">
        <f>L44*G44</f>
        <v>2.4629088393000004E-2</v>
      </c>
    </row>
    <row r="45" spans="1:13" x14ac:dyDescent="0.25">
      <c r="A45" s="4">
        <v>25.701000000000001</v>
      </c>
      <c r="B45" s="4" t="s">
        <v>2</v>
      </c>
      <c r="C45" s="5">
        <f t="shared" si="0"/>
        <v>0.159</v>
      </c>
      <c r="D45" s="6">
        <f t="shared" si="4"/>
        <v>4.0864590000000005</v>
      </c>
      <c r="E45" s="2" t="s">
        <v>18</v>
      </c>
      <c r="F45" s="6">
        <f t="shared" ref="F45:F51" si="20">12.3/100</f>
        <v>0.12300000000000001</v>
      </c>
      <c r="G45" s="6">
        <f t="shared" si="11"/>
        <v>0.50263445700000009</v>
      </c>
      <c r="H45" s="6" t="s">
        <v>12</v>
      </c>
      <c r="I45" s="8">
        <f>11.3/100</f>
        <v>0.113</v>
      </c>
      <c r="J45" s="6">
        <f t="shared" ref="J45:J50" si="21">I45*G45</f>
        <v>5.6797693641000013E-2</v>
      </c>
      <c r="K45" s="2" t="s">
        <v>33</v>
      </c>
      <c r="L45" s="2">
        <f>9.8/100</f>
        <v>9.8000000000000004E-2</v>
      </c>
      <c r="M45" s="2">
        <f t="shared" ref="M45:M51" si="22">L45*G45</f>
        <v>4.9258176786000009E-2</v>
      </c>
    </row>
    <row r="46" spans="1:13" x14ac:dyDescent="0.25">
      <c r="A46" s="4">
        <v>25.701000000000001</v>
      </c>
      <c r="B46" s="4" t="s">
        <v>2</v>
      </c>
      <c r="C46" s="5">
        <f t="shared" si="0"/>
        <v>0.159</v>
      </c>
      <c r="D46" s="6">
        <f t="shared" si="4"/>
        <v>4.0864590000000005</v>
      </c>
      <c r="E46" s="2" t="s">
        <v>18</v>
      </c>
      <c r="F46" s="6">
        <f t="shared" si="20"/>
        <v>0.12300000000000001</v>
      </c>
      <c r="G46" s="6">
        <f t="shared" si="11"/>
        <v>0.50263445700000009</v>
      </c>
      <c r="H46" s="6" t="s">
        <v>7</v>
      </c>
      <c r="I46" s="8">
        <f>1.4/100</f>
        <v>1.3999999999999999E-2</v>
      </c>
      <c r="J46" s="6">
        <f t="shared" si="21"/>
        <v>7.0368823980000005E-3</v>
      </c>
      <c r="K46" s="2" t="s">
        <v>34</v>
      </c>
      <c r="L46" s="2">
        <f>13.7/100</f>
        <v>0.13699999999999998</v>
      </c>
      <c r="M46" s="2">
        <f t="shared" si="22"/>
        <v>6.8860920609000009E-2</v>
      </c>
    </row>
    <row r="47" spans="1:13" x14ac:dyDescent="0.25">
      <c r="A47" s="4">
        <v>25.701000000000001</v>
      </c>
      <c r="B47" s="4" t="s">
        <v>2</v>
      </c>
      <c r="C47" s="5">
        <f t="shared" si="0"/>
        <v>0.159</v>
      </c>
      <c r="D47" s="6">
        <f t="shared" si="4"/>
        <v>4.0864590000000005</v>
      </c>
      <c r="E47" s="2" t="s">
        <v>18</v>
      </c>
      <c r="F47" s="6">
        <f t="shared" si="20"/>
        <v>0.12300000000000001</v>
      </c>
      <c r="G47" s="6">
        <f t="shared" si="11"/>
        <v>0.50263445700000009</v>
      </c>
      <c r="H47" s="6" t="s">
        <v>8</v>
      </c>
      <c r="I47" s="8">
        <f>19.2/100</f>
        <v>0.192</v>
      </c>
      <c r="J47" s="6">
        <f>I50*G47</f>
        <v>4.0210756560000007E-3</v>
      </c>
      <c r="K47" s="2" t="s">
        <v>35</v>
      </c>
      <c r="L47" s="2">
        <f>28/100</f>
        <v>0.28000000000000003</v>
      </c>
      <c r="M47" s="2">
        <f t="shared" si="22"/>
        <v>0.14073764796000005</v>
      </c>
    </row>
    <row r="48" spans="1:13" x14ac:dyDescent="0.25">
      <c r="A48" s="4">
        <v>25.701000000000001</v>
      </c>
      <c r="B48" s="4" t="s">
        <v>2</v>
      </c>
      <c r="C48" s="5">
        <f t="shared" si="0"/>
        <v>0.159</v>
      </c>
      <c r="D48" s="6">
        <f t="shared" si="4"/>
        <v>4.0864590000000005</v>
      </c>
      <c r="E48" s="2" t="s">
        <v>18</v>
      </c>
      <c r="F48" s="6">
        <f t="shared" si="20"/>
        <v>0.12300000000000001</v>
      </c>
      <c r="G48" s="6">
        <f t="shared" si="11"/>
        <v>0.50263445700000009</v>
      </c>
      <c r="H48" s="6" t="s">
        <v>10</v>
      </c>
      <c r="I48" s="8">
        <f>4.6/100</f>
        <v>4.5999999999999999E-2</v>
      </c>
      <c r="J48" s="6">
        <f>I47*G48</f>
        <v>9.6505815744000023E-2</v>
      </c>
      <c r="K48" s="2" t="s">
        <v>36</v>
      </c>
      <c r="L48" s="2">
        <f>24.7/100</f>
        <v>0.247</v>
      </c>
      <c r="M48" s="2">
        <f t="shared" si="22"/>
        <v>0.12415071087900002</v>
      </c>
    </row>
    <row r="49" spans="1:13" x14ac:dyDescent="0.25">
      <c r="A49" s="4">
        <v>25.701000000000001</v>
      </c>
      <c r="B49" s="4" t="s">
        <v>2</v>
      </c>
      <c r="C49" s="5">
        <f t="shared" si="0"/>
        <v>0.159</v>
      </c>
      <c r="D49" s="6">
        <f t="shared" si="4"/>
        <v>4.0864590000000005</v>
      </c>
      <c r="E49" s="2" t="s">
        <v>48</v>
      </c>
      <c r="F49" s="6">
        <f t="shared" si="20"/>
        <v>0.12300000000000001</v>
      </c>
      <c r="G49" s="6">
        <f t="shared" si="11"/>
        <v>0.50263445700000009</v>
      </c>
      <c r="H49" s="6" t="s">
        <v>9</v>
      </c>
      <c r="I49" s="8">
        <f>14.6/100</f>
        <v>0.14599999999999999</v>
      </c>
      <c r="J49" s="6">
        <f t="shared" si="21"/>
        <v>7.3384630722000008E-2</v>
      </c>
      <c r="K49" s="2" t="s">
        <v>37</v>
      </c>
      <c r="L49" s="2">
        <f>14.4/100</f>
        <v>0.14400000000000002</v>
      </c>
      <c r="M49" s="2">
        <f t="shared" si="22"/>
        <v>7.2379361808000017E-2</v>
      </c>
    </row>
    <row r="50" spans="1:13" x14ac:dyDescent="0.25">
      <c r="A50" s="4">
        <v>25.701000000000001</v>
      </c>
      <c r="B50" s="4" t="s">
        <v>2</v>
      </c>
      <c r="C50" s="5">
        <f t="shared" si="0"/>
        <v>0.159</v>
      </c>
      <c r="D50" s="6">
        <f t="shared" si="4"/>
        <v>4.0864590000000005</v>
      </c>
      <c r="E50" s="2" t="s">
        <v>18</v>
      </c>
      <c r="F50" s="6">
        <f t="shared" si="20"/>
        <v>0.12300000000000001</v>
      </c>
      <c r="G50" s="6">
        <f t="shared" si="11"/>
        <v>0.50263445700000009</v>
      </c>
      <c r="H50" s="6" t="s">
        <v>55</v>
      </c>
      <c r="I50" s="8">
        <f>0.8/100</f>
        <v>8.0000000000000002E-3</v>
      </c>
      <c r="J50" s="6">
        <f t="shared" si="21"/>
        <v>4.0210756560000007E-3</v>
      </c>
      <c r="K50" s="2" t="s">
        <v>38</v>
      </c>
      <c r="L50" s="2">
        <f>2.4/100</f>
        <v>2.4E-2</v>
      </c>
      <c r="M50" s="2">
        <f t="shared" si="22"/>
        <v>1.2063226968000003E-2</v>
      </c>
    </row>
    <row r="51" spans="1:13" x14ac:dyDescent="0.25">
      <c r="A51" s="4">
        <v>25.701000000000001</v>
      </c>
      <c r="B51" s="4" t="s">
        <v>2</v>
      </c>
      <c r="C51" s="5">
        <f t="shared" si="0"/>
        <v>0.159</v>
      </c>
      <c r="D51" s="6">
        <f t="shared" si="4"/>
        <v>4.0864590000000005</v>
      </c>
      <c r="E51" s="2" t="s">
        <v>18</v>
      </c>
      <c r="F51" s="6">
        <f t="shared" si="20"/>
        <v>0.12300000000000001</v>
      </c>
      <c r="G51" s="6">
        <f t="shared" si="11"/>
        <v>0.50263445700000009</v>
      </c>
      <c r="H51" s="6"/>
      <c r="I51" s="6"/>
      <c r="J51" s="6"/>
      <c r="K51" s="2" t="s">
        <v>39</v>
      </c>
      <c r="L51" s="2">
        <f>2/100</f>
        <v>0.02</v>
      </c>
      <c r="M51" s="2">
        <f t="shared" si="22"/>
        <v>1.0052689140000001E-2</v>
      </c>
    </row>
    <row r="52" spans="1:13" x14ac:dyDescent="0.25">
      <c r="A52" s="4">
        <v>25.701000000000001</v>
      </c>
      <c r="B52" s="2" t="s">
        <v>19</v>
      </c>
      <c r="C52" s="6">
        <f>84.1/100</f>
        <v>0.84099999999999997</v>
      </c>
      <c r="D52" s="6">
        <f t="shared" si="4"/>
        <v>21.614540999999999</v>
      </c>
      <c r="E52" s="6" t="s">
        <v>54</v>
      </c>
      <c r="F52" s="6">
        <f>81.6/100</f>
        <v>0.81599999999999995</v>
      </c>
      <c r="G52" s="6">
        <f t="shared" si="11"/>
        <v>17.637465455999997</v>
      </c>
      <c r="H52" s="6" t="s">
        <v>11</v>
      </c>
      <c r="I52" s="6">
        <f>12.3/100</f>
        <v>0.12300000000000001</v>
      </c>
      <c r="J52" s="6">
        <f>I52*G52</f>
        <v>2.169408251088</v>
      </c>
      <c r="K52" s="2" t="s">
        <v>32</v>
      </c>
      <c r="L52" s="2">
        <f>3.1/100</f>
        <v>3.1E-2</v>
      </c>
      <c r="M52" s="2">
        <f>L52*G52</f>
        <v>0.5467614291359999</v>
      </c>
    </row>
    <row r="53" spans="1:13" x14ac:dyDescent="0.25">
      <c r="A53" s="4">
        <v>25.701000000000001</v>
      </c>
      <c r="B53" s="2" t="s">
        <v>19</v>
      </c>
      <c r="C53" s="6">
        <f t="shared" ref="C53:C99" si="23">84.1/100</f>
        <v>0.84099999999999997</v>
      </c>
      <c r="D53" s="6">
        <f t="shared" si="4"/>
        <v>21.614540999999999</v>
      </c>
      <c r="E53" s="6" t="s">
        <v>14</v>
      </c>
      <c r="F53" s="6">
        <f t="shared" ref="F53:F59" si="24">81.6/100</f>
        <v>0.81599999999999995</v>
      </c>
      <c r="G53" s="6">
        <f t="shared" si="11"/>
        <v>17.637465455999997</v>
      </c>
      <c r="H53" s="6" t="s">
        <v>12</v>
      </c>
      <c r="I53" s="6">
        <f>19.6/100</f>
        <v>0.19600000000000001</v>
      </c>
      <c r="J53" s="6">
        <f t="shared" ref="J53:J56" si="25">I53*G53</f>
        <v>3.4569432293759998</v>
      </c>
      <c r="K53" s="2" t="s">
        <v>33</v>
      </c>
      <c r="L53" s="2">
        <f>9.7/100</f>
        <v>9.6999999999999989E-2</v>
      </c>
      <c r="M53" s="2">
        <f t="shared" ref="M53:M59" si="26">L53*G53</f>
        <v>1.7108341492319996</v>
      </c>
    </row>
    <row r="54" spans="1:13" x14ac:dyDescent="0.25">
      <c r="A54" s="4">
        <v>25.701000000000001</v>
      </c>
      <c r="B54" s="2" t="s">
        <v>19</v>
      </c>
      <c r="C54" s="6">
        <f t="shared" si="23"/>
        <v>0.84099999999999997</v>
      </c>
      <c r="D54" s="6">
        <f t="shared" si="4"/>
        <v>21.614540999999999</v>
      </c>
      <c r="E54" s="6" t="s">
        <v>14</v>
      </c>
      <c r="F54" s="6">
        <f t="shared" si="24"/>
        <v>0.81599999999999995</v>
      </c>
      <c r="G54" s="6">
        <f t="shared" si="11"/>
        <v>17.637465455999997</v>
      </c>
      <c r="H54" s="6" t="s">
        <v>7</v>
      </c>
      <c r="I54" s="14">
        <f>1.3/100</f>
        <v>1.3000000000000001E-2</v>
      </c>
      <c r="J54" s="6">
        <f t="shared" si="25"/>
        <v>0.22928705092799997</v>
      </c>
      <c r="K54" s="2" t="s">
        <v>34</v>
      </c>
      <c r="L54" s="2">
        <f>17.1/100</f>
        <v>0.17100000000000001</v>
      </c>
      <c r="M54" s="2">
        <f t="shared" si="26"/>
        <v>3.0160065929759998</v>
      </c>
    </row>
    <row r="55" spans="1:13" x14ac:dyDescent="0.25">
      <c r="A55" s="4">
        <v>25.701000000000001</v>
      </c>
      <c r="B55" s="2" t="s">
        <v>19</v>
      </c>
      <c r="C55" s="6">
        <f t="shared" si="23"/>
        <v>0.84099999999999997</v>
      </c>
      <c r="D55" s="6">
        <f t="shared" si="4"/>
        <v>21.614540999999999</v>
      </c>
      <c r="E55" s="6" t="s">
        <v>14</v>
      </c>
      <c r="F55" s="6">
        <f t="shared" si="24"/>
        <v>0.81599999999999995</v>
      </c>
      <c r="G55" s="6">
        <f t="shared" si="11"/>
        <v>17.637465455999997</v>
      </c>
      <c r="H55" s="6" t="s">
        <v>8</v>
      </c>
      <c r="I55" s="6">
        <f>37.3/100</f>
        <v>0.373</v>
      </c>
      <c r="J55" s="6">
        <f t="shared" si="25"/>
        <v>6.5787746150879993</v>
      </c>
      <c r="K55" s="2" t="s">
        <v>35</v>
      </c>
      <c r="L55" s="2">
        <f>27.5/100</f>
        <v>0.27500000000000002</v>
      </c>
      <c r="M55" s="2">
        <f t="shared" si="26"/>
        <v>4.8503030003999994</v>
      </c>
    </row>
    <row r="56" spans="1:13" x14ac:dyDescent="0.25">
      <c r="A56" s="4">
        <v>25.701000000000001</v>
      </c>
      <c r="B56" s="2" t="s">
        <v>19</v>
      </c>
      <c r="C56" s="6">
        <f t="shared" si="23"/>
        <v>0.84099999999999997</v>
      </c>
      <c r="D56" s="6">
        <f t="shared" si="4"/>
        <v>21.614540999999999</v>
      </c>
      <c r="E56" s="6" t="s">
        <v>14</v>
      </c>
      <c r="F56" s="6">
        <f t="shared" si="24"/>
        <v>0.81599999999999995</v>
      </c>
      <c r="G56" s="6">
        <f t="shared" si="11"/>
        <v>17.637465455999997</v>
      </c>
      <c r="H56" s="6" t="s">
        <v>10</v>
      </c>
      <c r="I56" s="6">
        <f>3.9/100</f>
        <v>3.9E-2</v>
      </c>
      <c r="J56" s="6">
        <f t="shared" si="25"/>
        <v>0.68786115278399995</v>
      </c>
      <c r="K56" s="2" t="s">
        <v>36</v>
      </c>
      <c r="L56" s="2">
        <f>22.4/100</f>
        <v>0.22399999999999998</v>
      </c>
      <c r="M56" s="2">
        <f t="shared" si="26"/>
        <v>3.9507922621439988</v>
      </c>
    </row>
    <row r="57" spans="1:13" x14ac:dyDescent="0.25">
      <c r="A57" s="4">
        <v>25.701000000000001</v>
      </c>
      <c r="B57" s="2" t="s">
        <v>19</v>
      </c>
      <c r="C57" s="6">
        <f t="shared" si="23"/>
        <v>0.84099999999999997</v>
      </c>
      <c r="D57" s="6">
        <f t="shared" si="4"/>
        <v>21.614540999999999</v>
      </c>
      <c r="E57" s="6" t="s">
        <v>14</v>
      </c>
      <c r="F57" s="6">
        <f t="shared" si="24"/>
        <v>0.81599999999999995</v>
      </c>
      <c r="G57" s="6">
        <f t="shared" si="11"/>
        <v>17.637465455999997</v>
      </c>
      <c r="H57" s="6" t="s">
        <v>9</v>
      </c>
      <c r="I57" s="6">
        <f>24.7/100</f>
        <v>0.247</v>
      </c>
      <c r="J57" s="6">
        <f>I58*G57</f>
        <v>0.17637465455999998</v>
      </c>
      <c r="K57" s="2" t="s">
        <v>37</v>
      </c>
      <c r="L57" s="2">
        <f>16.8/100</f>
        <v>0.16800000000000001</v>
      </c>
      <c r="M57" s="2">
        <f t="shared" si="26"/>
        <v>2.9630941966079996</v>
      </c>
    </row>
    <row r="58" spans="1:13" x14ac:dyDescent="0.25">
      <c r="A58" s="4">
        <v>25.701000000000001</v>
      </c>
      <c r="B58" s="2" t="s">
        <v>19</v>
      </c>
      <c r="C58" s="6">
        <f t="shared" si="23"/>
        <v>0.84099999999999997</v>
      </c>
      <c r="D58" s="6">
        <f t="shared" si="4"/>
        <v>21.614540999999999</v>
      </c>
      <c r="E58" s="6" t="s">
        <v>14</v>
      </c>
      <c r="F58" s="6">
        <f t="shared" si="24"/>
        <v>0.81599999999999995</v>
      </c>
      <c r="G58" s="6">
        <f t="shared" si="11"/>
        <v>17.637465455999997</v>
      </c>
      <c r="H58" s="6" t="s">
        <v>55</v>
      </c>
      <c r="I58" s="6">
        <f>1/100</f>
        <v>0.01</v>
      </c>
      <c r="J58" s="6"/>
      <c r="K58" s="2" t="s">
        <v>38</v>
      </c>
      <c r="L58" s="2">
        <f>2.5/100</f>
        <v>2.5000000000000001E-2</v>
      </c>
      <c r="M58" s="2">
        <f t="shared" si="26"/>
        <v>0.44093663639999997</v>
      </c>
    </row>
    <row r="59" spans="1:13" x14ac:dyDescent="0.25">
      <c r="A59" s="4">
        <v>25.701000000000001</v>
      </c>
      <c r="B59" s="2" t="s">
        <v>19</v>
      </c>
      <c r="C59" s="6">
        <f t="shared" si="23"/>
        <v>0.84099999999999997</v>
      </c>
      <c r="D59" s="6">
        <f t="shared" si="4"/>
        <v>21.614540999999999</v>
      </c>
      <c r="E59" s="6" t="s">
        <v>14</v>
      </c>
      <c r="F59" s="6">
        <f t="shared" si="24"/>
        <v>0.81599999999999995</v>
      </c>
      <c r="G59" s="6">
        <f t="shared" si="11"/>
        <v>17.637465455999997</v>
      </c>
      <c r="H59" s="6"/>
      <c r="I59" s="6"/>
      <c r="J59" s="6"/>
      <c r="K59" s="2" t="s">
        <v>39</v>
      </c>
      <c r="L59" s="2">
        <f>0.9/100</f>
        <v>9.0000000000000011E-3</v>
      </c>
      <c r="M59" s="2">
        <f t="shared" si="26"/>
        <v>0.158737189104</v>
      </c>
    </row>
    <row r="60" spans="1:13" x14ac:dyDescent="0.25">
      <c r="A60" s="4">
        <v>25.701000000000001</v>
      </c>
      <c r="B60" s="2" t="s">
        <v>19</v>
      </c>
      <c r="C60" s="6">
        <f t="shared" si="23"/>
        <v>0.84099999999999997</v>
      </c>
      <c r="D60" s="6">
        <f t="shared" si="4"/>
        <v>21.614540999999999</v>
      </c>
      <c r="E60" s="6" t="s">
        <v>52</v>
      </c>
      <c r="F60" s="6">
        <f>82.2/100</f>
        <v>0.82200000000000006</v>
      </c>
      <c r="G60" s="6">
        <f t="shared" si="11"/>
        <v>17.767152702000001</v>
      </c>
      <c r="H60" s="6" t="s">
        <v>11</v>
      </c>
      <c r="I60" s="6">
        <f>6.6/100</f>
        <v>6.6000000000000003E-2</v>
      </c>
      <c r="J60" s="6">
        <f>I60*G60</f>
        <v>1.1726320783320001</v>
      </c>
      <c r="K60" s="2" t="s">
        <v>32</v>
      </c>
      <c r="L60" s="2">
        <f>1.9/100</f>
        <v>1.9E-2</v>
      </c>
      <c r="M60" s="2">
        <f>L60*G60</f>
        <v>0.33757590133800003</v>
      </c>
    </row>
    <row r="61" spans="1:13" x14ac:dyDescent="0.25">
      <c r="A61" s="4">
        <v>25.701000000000001</v>
      </c>
      <c r="B61" s="2" t="s">
        <v>19</v>
      </c>
      <c r="C61" s="6">
        <f t="shared" si="23"/>
        <v>0.84099999999999997</v>
      </c>
      <c r="D61" s="6">
        <f t="shared" si="4"/>
        <v>21.614540999999999</v>
      </c>
      <c r="E61" s="6" t="s">
        <v>15</v>
      </c>
      <c r="F61" s="6">
        <f t="shared" ref="F61:F67" si="27">82.2/100</f>
        <v>0.82200000000000006</v>
      </c>
      <c r="G61" s="6">
        <f t="shared" si="11"/>
        <v>17.767152702000001</v>
      </c>
      <c r="H61" s="6" t="s">
        <v>12</v>
      </c>
      <c r="I61" s="6">
        <f>17/100</f>
        <v>0.17</v>
      </c>
      <c r="J61" s="6">
        <f t="shared" ref="J61:J65" si="28">I61*G61</f>
        <v>3.0204159593400002</v>
      </c>
      <c r="K61" s="2" t="s">
        <v>33</v>
      </c>
      <c r="L61" s="2">
        <f>10.3/100</f>
        <v>0.10300000000000001</v>
      </c>
      <c r="M61" s="2">
        <f t="shared" ref="M61:M67" si="29">L61*G61</f>
        <v>1.8300167283060003</v>
      </c>
    </row>
    <row r="62" spans="1:13" x14ac:dyDescent="0.25">
      <c r="A62" s="4">
        <v>25.701000000000001</v>
      </c>
      <c r="B62" s="2" t="s">
        <v>19</v>
      </c>
      <c r="C62" s="6">
        <f t="shared" si="23"/>
        <v>0.84099999999999997</v>
      </c>
      <c r="D62" s="6">
        <f t="shared" si="4"/>
        <v>21.614540999999999</v>
      </c>
      <c r="E62" s="6" t="s">
        <v>15</v>
      </c>
      <c r="F62" s="6">
        <f t="shared" si="27"/>
        <v>0.82200000000000006</v>
      </c>
      <c r="G62" s="6">
        <f t="shared" si="11"/>
        <v>17.767152702000001</v>
      </c>
      <c r="H62" s="6" t="s">
        <v>7</v>
      </c>
      <c r="I62" s="6">
        <f>1.3/100</f>
        <v>1.3000000000000001E-2</v>
      </c>
      <c r="J62" s="6">
        <f t="shared" si="28"/>
        <v>0.23097298512600004</v>
      </c>
      <c r="K62" s="2" t="s">
        <v>34</v>
      </c>
      <c r="L62" s="2">
        <f>20.8/100</f>
        <v>0.20800000000000002</v>
      </c>
      <c r="M62" s="2">
        <f t="shared" si="29"/>
        <v>3.6955677620160006</v>
      </c>
    </row>
    <row r="63" spans="1:13" x14ac:dyDescent="0.25">
      <c r="A63" s="4">
        <v>25.701000000000001</v>
      </c>
      <c r="B63" s="2" t="s">
        <v>19</v>
      </c>
      <c r="C63" s="6">
        <f t="shared" si="23"/>
        <v>0.84099999999999997</v>
      </c>
      <c r="D63" s="6">
        <f t="shared" si="4"/>
        <v>21.614540999999999</v>
      </c>
      <c r="E63" s="6" t="s">
        <v>15</v>
      </c>
      <c r="F63" s="6">
        <f t="shared" si="27"/>
        <v>0.82200000000000006</v>
      </c>
      <c r="G63" s="6">
        <f t="shared" si="11"/>
        <v>17.767152702000001</v>
      </c>
      <c r="H63" s="6" t="s">
        <v>8</v>
      </c>
      <c r="I63" s="6">
        <f>42.9/100</f>
        <v>0.42899999999999999</v>
      </c>
      <c r="J63" s="6">
        <f t="shared" si="28"/>
        <v>7.6221085091580001</v>
      </c>
      <c r="K63" s="2" t="s">
        <v>35</v>
      </c>
      <c r="L63" s="2">
        <f>31.7/100</f>
        <v>0.317</v>
      </c>
      <c r="M63" s="2">
        <f t="shared" si="29"/>
        <v>5.6321874065340003</v>
      </c>
    </row>
    <row r="64" spans="1:13" x14ac:dyDescent="0.25">
      <c r="A64" s="4">
        <v>25.701000000000001</v>
      </c>
      <c r="B64" s="2" t="s">
        <v>19</v>
      </c>
      <c r="C64" s="6">
        <f t="shared" si="23"/>
        <v>0.84099999999999997</v>
      </c>
      <c r="D64" s="6">
        <f t="shared" si="4"/>
        <v>21.614540999999999</v>
      </c>
      <c r="E64" s="6" t="s">
        <v>15</v>
      </c>
      <c r="F64" s="6">
        <f t="shared" si="27"/>
        <v>0.82200000000000006</v>
      </c>
      <c r="G64" s="6">
        <f t="shared" si="11"/>
        <v>17.767152702000001</v>
      </c>
      <c r="H64" s="6" t="s">
        <v>10</v>
      </c>
      <c r="I64" s="6">
        <f>5.9/100</f>
        <v>5.9000000000000004E-2</v>
      </c>
      <c r="J64" s="6">
        <f t="shared" si="28"/>
        <v>1.0482620094180002</v>
      </c>
      <c r="K64" s="2" t="s">
        <v>36</v>
      </c>
      <c r="L64" s="2">
        <f>18.8/100</f>
        <v>0.188</v>
      </c>
      <c r="M64" s="2">
        <f t="shared" si="29"/>
        <v>3.3402247079760001</v>
      </c>
    </row>
    <row r="65" spans="1:13" x14ac:dyDescent="0.25">
      <c r="A65" s="4">
        <v>25.701000000000001</v>
      </c>
      <c r="B65" s="2" t="s">
        <v>19</v>
      </c>
      <c r="C65" s="6">
        <f t="shared" si="23"/>
        <v>0.84099999999999997</v>
      </c>
      <c r="D65" s="6">
        <f t="shared" si="4"/>
        <v>21.614540999999999</v>
      </c>
      <c r="E65" s="6" t="s">
        <v>15</v>
      </c>
      <c r="F65" s="6">
        <f t="shared" si="27"/>
        <v>0.82200000000000006</v>
      </c>
      <c r="G65" s="6">
        <f t="shared" si="11"/>
        <v>17.767152702000001</v>
      </c>
      <c r="H65" s="6" t="s">
        <v>9</v>
      </c>
      <c r="I65" s="6">
        <f>24.9/100</f>
        <v>0.249</v>
      </c>
      <c r="J65" s="6">
        <f t="shared" si="28"/>
        <v>4.4240210227980006</v>
      </c>
      <c r="K65" s="2" t="s">
        <v>37</v>
      </c>
      <c r="L65" s="2">
        <f>14.4/100</f>
        <v>0.14400000000000002</v>
      </c>
      <c r="M65" s="2">
        <f t="shared" si="29"/>
        <v>2.5584699890880005</v>
      </c>
    </row>
    <row r="66" spans="1:13" x14ac:dyDescent="0.25">
      <c r="A66" s="4">
        <v>25.701000000000001</v>
      </c>
      <c r="B66" s="2" t="s">
        <v>19</v>
      </c>
      <c r="C66" s="6">
        <f t="shared" si="23"/>
        <v>0.84099999999999997</v>
      </c>
      <c r="D66" s="6">
        <f t="shared" si="4"/>
        <v>21.614540999999999</v>
      </c>
      <c r="E66" s="6" t="s">
        <v>15</v>
      </c>
      <c r="F66" s="6">
        <f t="shared" si="27"/>
        <v>0.82200000000000006</v>
      </c>
      <c r="G66" s="6">
        <f t="shared" si="11"/>
        <v>17.767152702000001</v>
      </c>
      <c r="H66" s="6" t="s">
        <v>55</v>
      </c>
      <c r="I66" s="6">
        <f>1.8/100</f>
        <v>1.8000000000000002E-2</v>
      </c>
      <c r="J66" s="6"/>
      <c r="K66" s="2" t="s">
        <v>38</v>
      </c>
      <c r="L66" s="2">
        <f>1.5/100</f>
        <v>1.4999999999999999E-2</v>
      </c>
      <c r="M66" s="2">
        <f t="shared" si="29"/>
        <v>0.26650729053</v>
      </c>
    </row>
    <row r="67" spans="1:13" x14ac:dyDescent="0.25">
      <c r="A67" s="4">
        <v>25.701000000000001</v>
      </c>
      <c r="B67" s="2" t="s">
        <v>19</v>
      </c>
      <c r="C67" s="6">
        <f t="shared" si="23"/>
        <v>0.84099999999999997</v>
      </c>
      <c r="D67" s="6">
        <f t="shared" si="4"/>
        <v>21.614540999999999</v>
      </c>
      <c r="E67" s="6" t="s">
        <v>15</v>
      </c>
      <c r="F67" s="6">
        <f t="shared" si="27"/>
        <v>0.82200000000000006</v>
      </c>
      <c r="G67" s="6">
        <f t="shared" si="11"/>
        <v>17.767152702000001</v>
      </c>
      <c r="H67" s="6"/>
      <c r="I67" s="6"/>
      <c r="J67" s="6"/>
      <c r="K67" s="2" t="s">
        <v>39</v>
      </c>
      <c r="L67" s="2">
        <f>0.6/100</f>
        <v>6.0000000000000001E-3</v>
      </c>
      <c r="M67" s="2">
        <f t="shared" si="29"/>
        <v>0.10660291621200001</v>
      </c>
    </row>
    <row r="68" spans="1:13" x14ac:dyDescent="0.25">
      <c r="A68" s="4">
        <v>25.701000000000001</v>
      </c>
      <c r="B68" s="2" t="s">
        <v>19</v>
      </c>
      <c r="C68" s="6">
        <f t="shared" si="23"/>
        <v>0.84099999999999997</v>
      </c>
      <c r="D68" s="6">
        <f t="shared" si="4"/>
        <v>21.614540999999999</v>
      </c>
      <c r="E68" s="6" t="s">
        <v>53</v>
      </c>
      <c r="F68" s="6">
        <f>83.6/100</f>
        <v>0.83599999999999997</v>
      </c>
      <c r="G68" s="6">
        <f t="shared" si="11"/>
        <v>18.069756276</v>
      </c>
      <c r="H68" s="6" t="s">
        <v>11</v>
      </c>
      <c r="I68" s="6">
        <f>13.8/100</f>
        <v>0.13800000000000001</v>
      </c>
      <c r="J68" s="6">
        <f>I68*G68</f>
        <v>2.4936263660880003</v>
      </c>
      <c r="K68" s="2" t="s">
        <v>32</v>
      </c>
      <c r="L68" s="2">
        <f>4.5/100</f>
        <v>4.4999999999999998E-2</v>
      </c>
      <c r="M68" s="2">
        <f>L68*G68</f>
        <v>0.81313903241999996</v>
      </c>
    </row>
    <row r="69" spans="1:13" x14ac:dyDescent="0.25">
      <c r="A69" s="4">
        <v>25.701000000000001</v>
      </c>
      <c r="B69" s="2" t="s">
        <v>19</v>
      </c>
      <c r="C69" s="6">
        <f t="shared" si="23"/>
        <v>0.84099999999999997</v>
      </c>
      <c r="D69" s="6">
        <f t="shared" si="4"/>
        <v>21.614540999999999</v>
      </c>
      <c r="E69" s="6" t="s">
        <v>16</v>
      </c>
      <c r="F69" s="6">
        <f t="shared" ref="F69:F75" si="30">83.6/100</f>
        <v>0.83599999999999997</v>
      </c>
      <c r="G69" s="6">
        <f t="shared" si="11"/>
        <v>18.069756276</v>
      </c>
      <c r="H69" s="6" t="s">
        <v>12</v>
      </c>
      <c r="I69" s="6">
        <f>21.6/100</f>
        <v>0.21600000000000003</v>
      </c>
      <c r="J69" s="6">
        <f t="shared" ref="J69:J73" si="31">I69*G69</f>
        <v>3.9030673556160003</v>
      </c>
      <c r="K69" s="2" t="s">
        <v>33</v>
      </c>
      <c r="L69" s="2">
        <f>12.2/100</f>
        <v>0.122</v>
      </c>
      <c r="M69" s="2">
        <f t="shared" ref="M69:M75" si="32">L69*G69</f>
        <v>2.2045102656719999</v>
      </c>
    </row>
    <row r="70" spans="1:13" x14ac:dyDescent="0.25">
      <c r="A70" s="4">
        <v>25.701000000000001</v>
      </c>
      <c r="B70" s="2" t="s">
        <v>19</v>
      </c>
      <c r="C70" s="6">
        <f t="shared" si="23"/>
        <v>0.84099999999999997</v>
      </c>
      <c r="D70" s="6">
        <f t="shared" si="4"/>
        <v>21.614540999999999</v>
      </c>
      <c r="E70" s="6" t="s">
        <v>16</v>
      </c>
      <c r="F70" s="6">
        <f t="shared" si="30"/>
        <v>0.83599999999999997</v>
      </c>
      <c r="G70" s="6">
        <f t="shared" si="11"/>
        <v>18.069756276</v>
      </c>
      <c r="H70" s="6" t="s">
        <v>7</v>
      </c>
      <c r="I70" s="6">
        <f>0.9/100</f>
        <v>9.0000000000000011E-3</v>
      </c>
      <c r="J70" s="6">
        <f t="shared" si="31"/>
        <v>0.16262780648400002</v>
      </c>
      <c r="K70" s="2" t="s">
        <v>34</v>
      </c>
      <c r="L70" s="2">
        <f>15.7/100</f>
        <v>0.157</v>
      </c>
      <c r="M70" s="2">
        <f t="shared" si="32"/>
        <v>2.8369517353320002</v>
      </c>
    </row>
    <row r="71" spans="1:13" x14ac:dyDescent="0.25">
      <c r="A71" s="4">
        <v>25.701000000000001</v>
      </c>
      <c r="B71" s="2" t="s">
        <v>19</v>
      </c>
      <c r="C71" s="6">
        <f t="shared" si="23"/>
        <v>0.84099999999999997</v>
      </c>
      <c r="D71" s="6">
        <f t="shared" si="4"/>
        <v>21.614540999999999</v>
      </c>
      <c r="E71" s="6" t="s">
        <v>16</v>
      </c>
      <c r="F71" s="6">
        <f t="shared" si="30"/>
        <v>0.83599999999999997</v>
      </c>
      <c r="G71" s="6">
        <f t="shared" si="11"/>
        <v>18.069756276</v>
      </c>
      <c r="H71" s="6" t="s">
        <v>8</v>
      </c>
      <c r="I71" s="6">
        <f>36.9/100</f>
        <v>0.36899999999999999</v>
      </c>
      <c r="J71" s="6">
        <f t="shared" si="31"/>
        <v>6.6677400658439998</v>
      </c>
      <c r="K71" s="2" t="s">
        <v>35</v>
      </c>
      <c r="L71" s="2">
        <f>26.6/100</f>
        <v>0.26600000000000001</v>
      </c>
      <c r="M71" s="2">
        <f t="shared" si="32"/>
        <v>4.8065551694159998</v>
      </c>
    </row>
    <row r="72" spans="1:13" x14ac:dyDescent="0.25">
      <c r="A72" s="4">
        <v>25.701000000000001</v>
      </c>
      <c r="B72" s="2" t="s">
        <v>19</v>
      </c>
      <c r="C72" s="6">
        <f t="shared" si="23"/>
        <v>0.84099999999999997</v>
      </c>
      <c r="D72" s="6">
        <f t="shared" si="4"/>
        <v>21.614540999999999</v>
      </c>
      <c r="E72" s="6" t="s">
        <v>16</v>
      </c>
      <c r="F72" s="6">
        <f t="shared" si="30"/>
        <v>0.83599999999999997</v>
      </c>
      <c r="G72" s="6">
        <f t="shared" si="11"/>
        <v>18.069756276</v>
      </c>
      <c r="H72" s="6" t="s">
        <v>10</v>
      </c>
      <c r="I72" s="6">
        <f>4.9/100</f>
        <v>4.9000000000000002E-2</v>
      </c>
      <c r="J72" s="6">
        <f t="shared" si="31"/>
        <v>0.88541805752400005</v>
      </c>
      <c r="K72" s="2" t="s">
        <v>36</v>
      </c>
      <c r="L72" s="2">
        <f>20.8/100</f>
        <v>0.20800000000000002</v>
      </c>
      <c r="M72" s="2">
        <f t="shared" si="32"/>
        <v>3.7585093054080003</v>
      </c>
    </row>
    <row r="73" spans="1:13" x14ac:dyDescent="0.25">
      <c r="A73" s="4">
        <v>25.701000000000001</v>
      </c>
      <c r="B73" s="2" t="s">
        <v>19</v>
      </c>
      <c r="C73" s="6">
        <f t="shared" si="23"/>
        <v>0.84099999999999997</v>
      </c>
      <c r="D73" s="6">
        <f t="shared" si="4"/>
        <v>21.614540999999999</v>
      </c>
      <c r="E73" s="6" t="s">
        <v>16</v>
      </c>
      <c r="F73" s="6">
        <f t="shared" si="30"/>
        <v>0.83599999999999997</v>
      </c>
      <c r="G73" s="6">
        <f t="shared" si="11"/>
        <v>18.069756276</v>
      </c>
      <c r="H73" s="6" t="s">
        <v>9</v>
      </c>
      <c r="I73" s="6">
        <f>20/100</f>
        <v>0.2</v>
      </c>
      <c r="J73" s="6">
        <f t="shared" si="31"/>
        <v>3.6139512551999999</v>
      </c>
      <c r="K73" s="2" t="s">
        <v>37</v>
      </c>
      <c r="L73" s="2">
        <f>16.9/100</f>
        <v>0.16899999999999998</v>
      </c>
      <c r="M73" s="2">
        <f t="shared" si="32"/>
        <v>3.0537888106439994</v>
      </c>
    </row>
    <row r="74" spans="1:13" x14ac:dyDescent="0.25">
      <c r="A74" s="4">
        <v>25.701000000000001</v>
      </c>
      <c r="B74" s="2" t="s">
        <v>19</v>
      </c>
      <c r="C74" s="6">
        <f t="shared" si="23"/>
        <v>0.84099999999999997</v>
      </c>
      <c r="D74" s="6">
        <f t="shared" si="4"/>
        <v>21.614540999999999</v>
      </c>
      <c r="E74" s="6" t="s">
        <v>16</v>
      </c>
      <c r="F74" s="6">
        <f t="shared" si="30"/>
        <v>0.83599999999999997</v>
      </c>
      <c r="G74" s="6">
        <f t="shared" si="11"/>
        <v>18.069756276</v>
      </c>
      <c r="H74" s="6" t="s">
        <v>55</v>
      </c>
      <c r="I74" s="6">
        <f>1.9/100</f>
        <v>1.9E-2</v>
      </c>
      <c r="J74" s="6"/>
      <c r="K74" s="2" t="s">
        <v>38</v>
      </c>
      <c r="L74" s="2">
        <f>2/100</f>
        <v>0.02</v>
      </c>
      <c r="M74" s="2">
        <f t="shared" si="32"/>
        <v>0.36139512552000003</v>
      </c>
    </row>
    <row r="75" spans="1:13" x14ac:dyDescent="0.25">
      <c r="A75" s="4">
        <v>25.701000000000001</v>
      </c>
      <c r="B75" s="2" t="s">
        <v>19</v>
      </c>
      <c r="C75" s="6">
        <f t="shared" si="23"/>
        <v>0.84099999999999997</v>
      </c>
      <c r="D75" s="6">
        <f t="shared" si="4"/>
        <v>21.614540999999999</v>
      </c>
      <c r="E75" s="6" t="s">
        <v>16</v>
      </c>
      <c r="F75" s="6">
        <f t="shared" si="30"/>
        <v>0.83599999999999997</v>
      </c>
      <c r="G75" s="6">
        <f t="shared" si="11"/>
        <v>18.069756276</v>
      </c>
      <c r="H75" s="6"/>
      <c r="I75" s="6"/>
      <c r="J75" s="6"/>
      <c r="K75" s="2" t="s">
        <v>39</v>
      </c>
      <c r="L75" s="2">
        <f>1.2/100</f>
        <v>1.2E-2</v>
      </c>
      <c r="M75" s="2">
        <f t="shared" si="32"/>
        <v>0.216837075312</v>
      </c>
    </row>
    <row r="76" spans="1:13" x14ac:dyDescent="0.25">
      <c r="A76" s="4">
        <v>25.701000000000001</v>
      </c>
      <c r="B76" s="2" t="s">
        <v>19</v>
      </c>
      <c r="C76" s="6">
        <f t="shared" si="23"/>
        <v>0.84099999999999997</v>
      </c>
      <c r="D76" s="6">
        <f t="shared" si="4"/>
        <v>21.614540999999999</v>
      </c>
      <c r="E76" s="2" t="s">
        <v>51</v>
      </c>
      <c r="F76" s="6">
        <f>82.7/100</f>
        <v>0.82700000000000007</v>
      </c>
      <c r="G76" s="6">
        <f t="shared" si="11"/>
        <v>17.875225407000002</v>
      </c>
      <c r="H76" s="6" t="s">
        <v>11</v>
      </c>
      <c r="I76" s="6">
        <f>21.1/100</f>
        <v>0.21100000000000002</v>
      </c>
      <c r="J76" s="8">
        <f>I76*G76</f>
        <v>3.771672560877001</v>
      </c>
      <c r="K76" s="2" t="s">
        <v>32</v>
      </c>
      <c r="L76" s="2">
        <f>4.6/100</f>
        <v>4.5999999999999999E-2</v>
      </c>
      <c r="M76" s="2">
        <f>L76*G76</f>
        <v>0.82226036872200003</v>
      </c>
    </row>
    <row r="77" spans="1:13" x14ac:dyDescent="0.25">
      <c r="A77" s="4">
        <v>25.701000000000001</v>
      </c>
      <c r="B77" s="2" t="s">
        <v>19</v>
      </c>
      <c r="C77" s="6">
        <f t="shared" si="23"/>
        <v>0.84099999999999997</v>
      </c>
      <c r="D77" s="6">
        <f t="shared" si="4"/>
        <v>21.614540999999999</v>
      </c>
      <c r="E77" s="2" t="s">
        <v>13</v>
      </c>
      <c r="F77" s="6">
        <f t="shared" ref="F77:F83" si="33">82.7/100</f>
        <v>0.82700000000000007</v>
      </c>
      <c r="G77" s="6">
        <f t="shared" si="11"/>
        <v>17.875225407000002</v>
      </c>
      <c r="H77" s="6" t="s">
        <v>12</v>
      </c>
      <c r="I77" s="6">
        <f>23.5/100</f>
        <v>0.23499999999999999</v>
      </c>
      <c r="J77" s="8">
        <f t="shared" ref="J77:J81" si="34">I77*G77</f>
        <v>4.2006779706450006</v>
      </c>
      <c r="K77" s="2" t="s">
        <v>33</v>
      </c>
      <c r="L77" s="2">
        <f>11/100</f>
        <v>0.11</v>
      </c>
      <c r="M77" s="2">
        <f t="shared" ref="M77:M83" si="35">L77*G77</f>
        <v>1.9662747947700003</v>
      </c>
    </row>
    <row r="78" spans="1:13" x14ac:dyDescent="0.25">
      <c r="A78" s="4">
        <v>25.701000000000001</v>
      </c>
      <c r="B78" s="2" t="s">
        <v>19</v>
      </c>
      <c r="C78" s="6">
        <f t="shared" si="23"/>
        <v>0.84099999999999997</v>
      </c>
      <c r="D78" s="6">
        <f t="shared" si="4"/>
        <v>21.614540999999999</v>
      </c>
      <c r="E78" s="2" t="s">
        <v>13</v>
      </c>
      <c r="F78" s="6">
        <f t="shared" si="33"/>
        <v>0.82700000000000007</v>
      </c>
      <c r="G78" s="6">
        <f t="shared" si="11"/>
        <v>17.875225407000002</v>
      </c>
      <c r="H78" s="6" t="s">
        <v>7</v>
      </c>
      <c r="I78" s="6">
        <f>1.7/100</f>
        <v>1.7000000000000001E-2</v>
      </c>
      <c r="J78" s="8">
        <f t="shared" si="34"/>
        <v>0.30387883191900006</v>
      </c>
      <c r="K78" s="2" t="s">
        <v>34</v>
      </c>
      <c r="L78" s="2">
        <f>16.7/100</f>
        <v>0.16699999999999998</v>
      </c>
      <c r="M78" s="2">
        <f t="shared" si="35"/>
        <v>2.9851626429690001</v>
      </c>
    </row>
    <row r="79" spans="1:13" x14ac:dyDescent="0.25">
      <c r="A79" s="4">
        <v>25.701000000000001</v>
      </c>
      <c r="B79" s="2" t="s">
        <v>19</v>
      </c>
      <c r="C79" s="6">
        <f t="shared" si="23"/>
        <v>0.84099999999999997</v>
      </c>
      <c r="D79" s="6">
        <f t="shared" si="4"/>
        <v>21.614540999999999</v>
      </c>
      <c r="E79" s="2" t="s">
        <v>13</v>
      </c>
      <c r="F79" s="6">
        <f t="shared" si="33"/>
        <v>0.82700000000000007</v>
      </c>
      <c r="G79" s="6">
        <f t="shared" si="11"/>
        <v>17.875225407000002</v>
      </c>
      <c r="H79" s="6" t="s">
        <v>8</v>
      </c>
      <c r="I79" s="6">
        <f>37.2/100</f>
        <v>0.37200000000000005</v>
      </c>
      <c r="J79" s="8">
        <f t="shared" si="34"/>
        <v>6.6495838514040013</v>
      </c>
      <c r="K79" s="2" t="s">
        <v>35</v>
      </c>
      <c r="L79" s="2">
        <f>26.4/100</f>
        <v>0.26400000000000001</v>
      </c>
      <c r="M79" s="2">
        <f t="shared" si="35"/>
        <v>4.7190595074480006</v>
      </c>
    </row>
    <row r="80" spans="1:13" x14ac:dyDescent="0.25">
      <c r="A80" s="4">
        <v>25.701000000000001</v>
      </c>
      <c r="B80" s="2" t="s">
        <v>19</v>
      </c>
      <c r="C80" s="6">
        <f t="shared" si="23"/>
        <v>0.84099999999999997</v>
      </c>
      <c r="D80" s="6">
        <f t="shared" si="4"/>
        <v>21.614540999999999</v>
      </c>
      <c r="E80" s="2" t="s">
        <v>13</v>
      </c>
      <c r="F80" s="6">
        <f t="shared" si="33"/>
        <v>0.82700000000000007</v>
      </c>
      <c r="G80" s="6">
        <f t="shared" si="11"/>
        <v>17.875225407000002</v>
      </c>
      <c r="H80" s="6" t="s">
        <v>10</v>
      </c>
      <c r="I80" s="6">
        <f>2.8/100</f>
        <v>2.7999999999999997E-2</v>
      </c>
      <c r="J80" s="8">
        <f t="shared" si="34"/>
        <v>0.50050631139599999</v>
      </c>
      <c r="K80" s="2" t="s">
        <v>36</v>
      </c>
      <c r="L80" s="2">
        <f>20.8/100</f>
        <v>0.20800000000000002</v>
      </c>
      <c r="M80" s="2">
        <f t="shared" si="35"/>
        <v>3.7180468846560006</v>
      </c>
    </row>
    <row r="81" spans="1:13" x14ac:dyDescent="0.25">
      <c r="A81" s="4">
        <v>25.701000000000001</v>
      </c>
      <c r="B81" s="2" t="s">
        <v>19</v>
      </c>
      <c r="C81" s="6">
        <f t="shared" si="23"/>
        <v>0.84099999999999997</v>
      </c>
      <c r="D81" s="6">
        <f t="shared" si="4"/>
        <v>21.614540999999999</v>
      </c>
      <c r="E81" s="2" t="s">
        <v>13</v>
      </c>
      <c r="F81" s="6">
        <f t="shared" si="33"/>
        <v>0.82700000000000007</v>
      </c>
      <c r="G81" s="6">
        <f t="shared" si="11"/>
        <v>17.875225407000002</v>
      </c>
      <c r="H81" s="6" t="s">
        <v>9</v>
      </c>
      <c r="I81" s="6">
        <f>11.8/100</f>
        <v>0.11800000000000001</v>
      </c>
      <c r="J81" s="8">
        <f t="shared" si="34"/>
        <v>2.1092765980260002</v>
      </c>
      <c r="K81" s="2" t="s">
        <v>37</v>
      </c>
      <c r="L81" s="2">
        <f>16.2/100</f>
        <v>0.16200000000000001</v>
      </c>
      <c r="M81" s="2">
        <f t="shared" si="35"/>
        <v>2.8957865159340006</v>
      </c>
    </row>
    <row r="82" spans="1:13" x14ac:dyDescent="0.25">
      <c r="A82" s="4">
        <v>25.701000000000001</v>
      </c>
      <c r="B82" s="2" t="s">
        <v>19</v>
      </c>
      <c r="C82" s="6">
        <f t="shared" si="23"/>
        <v>0.84099999999999997</v>
      </c>
      <c r="D82" s="6">
        <f t="shared" si="4"/>
        <v>21.614540999999999</v>
      </c>
      <c r="E82" s="2" t="s">
        <v>13</v>
      </c>
      <c r="F82" s="6">
        <f t="shared" si="33"/>
        <v>0.82700000000000007</v>
      </c>
      <c r="G82" s="6">
        <f t="shared" si="11"/>
        <v>17.875225407000002</v>
      </c>
      <c r="H82" s="6" t="s">
        <v>55</v>
      </c>
      <c r="I82" s="6">
        <f>1.9/100</f>
        <v>1.9E-2</v>
      </c>
      <c r="J82" s="8"/>
      <c r="K82" s="2" t="s">
        <v>38</v>
      </c>
      <c r="L82" s="2">
        <f>2.7/100</f>
        <v>2.7000000000000003E-2</v>
      </c>
      <c r="M82" s="2">
        <f t="shared" si="35"/>
        <v>0.48263108598900012</v>
      </c>
    </row>
    <row r="83" spans="1:13" x14ac:dyDescent="0.25">
      <c r="A83" s="4">
        <v>25.701000000000001</v>
      </c>
      <c r="B83" s="2" t="s">
        <v>19</v>
      </c>
      <c r="C83" s="6">
        <f t="shared" si="23"/>
        <v>0.84099999999999997</v>
      </c>
      <c r="D83" s="6">
        <f t="shared" si="4"/>
        <v>21.614540999999999</v>
      </c>
      <c r="E83" s="2" t="s">
        <v>13</v>
      </c>
      <c r="F83" s="6">
        <f t="shared" si="33"/>
        <v>0.82700000000000007</v>
      </c>
      <c r="G83" s="6">
        <f t="shared" si="11"/>
        <v>17.875225407000002</v>
      </c>
      <c r="H83" s="6"/>
      <c r="I83" s="6"/>
      <c r="J83" s="8"/>
      <c r="K83" s="2" t="s">
        <v>39</v>
      </c>
      <c r="L83" s="2">
        <f>1.5/100</f>
        <v>1.4999999999999999E-2</v>
      </c>
      <c r="M83" s="2">
        <f t="shared" si="35"/>
        <v>0.26812838110500004</v>
      </c>
    </row>
    <row r="84" spans="1:13" x14ac:dyDescent="0.25">
      <c r="A84" s="4">
        <v>25.701000000000001</v>
      </c>
      <c r="B84" s="2" t="s">
        <v>19</v>
      </c>
      <c r="C84" s="6">
        <f t="shared" si="23"/>
        <v>0.84099999999999997</v>
      </c>
      <c r="D84" s="6">
        <f t="shared" si="4"/>
        <v>21.614540999999999</v>
      </c>
      <c r="E84" s="2" t="s">
        <v>50</v>
      </c>
      <c r="F84" s="6">
        <f>86.4/100</f>
        <v>0.8640000000000001</v>
      </c>
      <c r="G84" s="6">
        <f t="shared" si="11"/>
        <v>18.674963424000001</v>
      </c>
      <c r="H84" s="6" t="s">
        <v>11</v>
      </c>
      <c r="I84" s="6">
        <f>14.3/100</f>
        <v>0.14300000000000002</v>
      </c>
      <c r="J84" s="6">
        <f>I84*G84</f>
        <v>2.6705197696320004</v>
      </c>
      <c r="K84" s="2" t="s">
        <v>32</v>
      </c>
      <c r="L84" s="2">
        <f>1.5/100</f>
        <v>1.4999999999999999E-2</v>
      </c>
      <c r="M84" s="2">
        <f>L84*G84</f>
        <v>0.28012445136000003</v>
      </c>
    </row>
    <row r="85" spans="1:13" x14ac:dyDescent="0.25">
      <c r="A85" s="4">
        <v>25.701000000000001</v>
      </c>
      <c r="B85" s="2" t="s">
        <v>19</v>
      </c>
      <c r="C85" s="6">
        <f t="shared" si="23"/>
        <v>0.84099999999999997</v>
      </c>
      <c r="D85" s="6">
        <f t="shared" si="4"/>
        <v>21.614540999999999</v>
      </c>
      <c r="E85" s="2" t="s">
        <v>17</v>
      </c>
      <c r="F85" s="6">
        <f t="shared" ref="F85:F91" si="36">86.4/100</f>
        <v>0.8640000000000001</v>
      </c>
      <c r="G85" s="6">
        <f t="shared" si="11"/>
        <v>18.674963424000001</v>
      </c>
      <c r="H85" s="6" t="s">
        <v>12</v>
      </c>
      <c r="I85" s="6">
        <f>22.7/100</f>
        <v>0.22699999999999998</v>
      </c>
      <c r="J85" s="6">
        <f t="shared" ref="J85:J89" si="37">I85*G85</f>
        <v>4.2392166972479997</v>
      </c>
      <c r="K85" s="2" t="s">
        <v>33</v>
      </c>
      <c r="L85" s="2">
        <f>12.8/100</f>
        <v>0.128</v>
      </c>
      <c r="M85" s="2">
        <f t="shared" ref="M85:M87" si="38">L85*G85</f>
        <v>2.3903953182720001</v>
      </c>
    </row>
    <row r="86" spans="1:13" x14ac:dyDescent="0.25">
      <c r="A86" s="4">
        <v>25.701000000000001</v>
      </c>
      <c r="B86" s="2" t="s">
        <v>19</v>
      </c>
      <c r="C86" s="6">
        <f t="shared" si="23"/>
        <v>0.84099999999999997</v>
      </c>
      <c r="D86" s="6">
        <f t="shared" si="4"/>
        <v>21.614540999999999</v>
      </c>
      <c r="E86" s="2" t="s">
        <v>17</v>
      </c>
      <c r="F86" s="6">
        <f t="shared" si="36"/>
        <v>0.8640000000000001</v>
      </c>
      <c r="G86" s="6">
        <f t="shared" si="11"/>
        <v>18.674963424000001</v>
      </c>
      <c r="H86" s="6" t="s">
        <v>7</v>
      </c>
      <c r="I86" s="6">
        <f>0/100</f>
        <v>0</v>
      </c>
      <c r="J86" s="6">
        <f t="shared" si="37"/>
        <v>0</v>
      </c>
      <c r="K86" s="2" t="s">
        <v>34</v>
      </c>
      <c r="L86" s="2">
        <f>17.4/100</f>
        <v>0.17399999999999999</v>
      </c>
      <c r="M86" s="2">
        <f t="shared" si="38"/>
        <v>3.2494436357760001</v>
      </c>
    </row>
    <row r="87" spans="1:13" x14ac:dyDescent="0.25">
      <c r="A87" s="4">
        <v>25.701000000000001</v>
      </c>
      <c r="B87" s="2" t="s">
        <v>19</v>
      </c>
      <c r="C87" s="6">
        <f t="shared" si="23"/>
        <v>0.84099999999999997</v>
      </c>
      <c r="D87" s="6">
        <f t="shared" si="4"/>
        <v>21.614540999999999</v>
      </c>
      <c r="E87" s="2" t="s">
        <v>17</v>
      </c>
      <c r="F87" s="6">
        <f t="shared" si="36"/>
        <v>0.8640000000000001</v>
      </c>
      <c r="G87" s="6">
        <f t="shared" si="11"/>
        <v>18.674963424000001</v>
      </c>
      <c r="H87" s="6" t="s">
        <v>8</v>
      </c>
      <c r="I87" s="6">
        <f>50.3/100</f>
        <v>0.503</v>
      </c>
      <c r="J87" s="6">
        <f t="shared" si="37"/>
        <v>9.3935066022720015</v>
      </c>
      <c r="K87" s="2" t="s">
        <v>35</v>
      </c>
      <c r="L87" s="2">
        <f>29.6/100</f>
        <v>0.29600000000000004</v>
      </c>
      <c r="M87" s="2">
        <f t="shared" si="38"/>
        <v>5.5277891735040008</v>
      </c>
    </row>
    <row r="88" spans="1:13" x14ac:dyDescent="0.25">
      <c r="A88" s="4">
        <v>25.701000000000001</v>
      </c>
      <c r="B88" s="2" t="s">
        <v>19</v>
      </c>
      <c r="C88" s="6">
        <f t="shared" si="23"/>
        <v>0.84099999999999997</v>
      </c>
      <c r="D88" s="6">
        <f t="shared" si="4"/>
        <v>21.614540999999999</v>
      </c>
      <c r="E88" s="2" t="s">
        <v>17</v>
      </c>
      <c r="F88" s="6">
        <f t="shared" si="36"/>
        <v>0.8640000000000001</v>
      </c>
      <c r="G88" s="6">
        <f t="shared" si="11"/>
        <v>18.674963424000001</v>
      </c>
      <c r="H88" s="6" t="s">
        <v>10</v>
      </c>
      <c r="I88" s="6">
        <f>2.8/100</f>
        <v>2.7999999999999997E-2</v>
      </c>
      <c r="J88" s="6">
        <f t="shared" si="37"/>
        <v>0.52289897587199996</v>
      </c>
      <c r="K88" s="2" t="s">
        <v>36</v>
      </c>
      <c r="L88" s="2">
        <f>22.5/100</f>
        <v>0.22500000000000001</v>
      </c>
      <c r="M88" s="2">
        <f>L87*G88</f>
        <v>5.5277891735040008</v>
      </c>
    </row>
    <row r="89" spans="1:13" x14ac:dyDescent="0.25">
      <c r="A89" s="4">
        <v>25.701000000000001</v>
      </c>
      <c r="B89" s="2" t="s">
        <v>19</v>
      </c>
      <c r="C89" s="6">
        <f t="shared" si="23"/>
        <v>0.84099999999999997</v>
      </c>
      <c r="D89" s="6">
        <f t="shared" si="4"/>
        <v>21.614540999999999</v>
      </c>
      <c r="E89" s="2" t="s">
        <v>17</v>
      </c>
      <c r="F89" s="6">
        <f t="shared" si="36"/>
        <v>0.8640000000000001</v>
      </c>
      <c r="G89" s="6">
        <f t="shared" si="11"/>
        <v>18.674963424000001</v>
      </c>
      <c r="H89" s="6" t="s">
        <v>9</v>
      </c>
      <c r="I89" s="6">
        <f>6.4/100</f>
        <v>6.4000000000000001E-2</v>
      </c>
      <c r="J89" s="6">
        <f t="shared" si="37"/>
        <v>1.1951976591360001</v>
      </c>
      <c r="K89" s="2" t="s">
        <v>37</v>
      </c>
      <c r="L89" s="2">
        <f>13.6/100</f>
        <v>0.13600000000000001</v>
      </c>
      <c r="M89" s="2">
        <f>L88*G89</f>
        <v>4.2018667704000006</v>
      </c>
    </row>
    <row r="90" spans="1:13" x14ac:dyDescent="0.25">
      <c r="A90" s="4">
        <v>25.701000000000001</v>
      </c>
      <c r="B90" s="2" t="s">
        <v>19</v>
      </c>
      <c r="C90" s="6">
        <f t="shared" si="23"/>
        <v>0.84099999999999997</v>
      </c>
      <c r="D90" s="6">
        <f t="shared" si="4"/>
        <v>21.614540999999999</v>
      </c>
      <c r="E90" s="2" t="s">
        <v>17</v>
      </c>
      <c r="F90" s="6">
        <f t="shared" si="36"/>
        <v>0.8640000000000001</v>
      </c>
      <c r="G90" s="6">
        <f t="shared" si="11"/>
        <v>18.674963424000001</v>
      </c>
      <c r="H90" s="6" t="s">
        <v>55</v>
      </c>
      <c r="I90" s="6">
        <f>3.5/100</f>
        <v>3.5000000000000003E-2</v>
      </c>
      <c r="J90" s="6"/>
      <c r="K90" s="2" t="s">
        <v>38</v>
      </c>
      <c r="L90" s="2">
        <f>1.8/100</f>
        <v>1.8000000000000002E-2</v>
      </c>
      <c r="M90" s="2">
        <f>L89*G90</f>
        <v>2.5397950256640005</v>
      </c>
    </row>
    <row r="91" spans="1:13" x14ac:dyDescent="0.25">
      <c r="A91" s="4">
        <v>25.701000000000001</v>
      </c>
      <c r="B91" s="2" t="s">
        <v>19</v>
      </c>
      <c r="C91" s="6">
        <f t="shared" si="23"/>
        <v>0.84099999999999997</v>
      </c>
      <c r="D91" s="6">
        <f t="shared" si="4"/>
        <v>21.614540999999999</v>
      </c>
      <c r="E91" s="2" t="s">
        <v>17</v>
      </c>
      <c r="F91" s="6">
        <f t="shared" si="36"/>
        <v>0.8640000000000001</v>
      </c>
      <c r="G91" s="6">
        <f t="shared" si="11"/>
        <v>18.674963424000001</v>
      </c>
      <c r="H91" s="6"/>
      <c r="I91" s="6"/>
      <c r="J91" s="6"/>
      <c r="K91" s="2" t="s">
        <v>39</v>
      </c>
      <c r="L91" s="2">
        <f>0.8/100</f>
        <v>8.0000000000000002E-3</v>
      </c>
      <c r="M91" s="2">
        <f>L90*G91</f>
        <v>0.33614934163200005</v>
      </c>
    </row>
    <row r="92" spans="1:13" x14ac:dyDescent="0.25">
      <c r="A92" s="4">
        <v>25.701000000000001</v>
      </c>
      <c r="B92" s="2" t="s">
        <v>19</v>
      </c>
      <c r="C92" s="6">
        <f t="shared" si="23"/>
        <v>0.84099999999999997</v>
      </c>
      <c r="D92" s="6">
        <f t="shared" si="4"/>
        <v>21.614540999999999</v>
      </c>
      <c r="E92" s="2" t="s">
        <v>49</v>
      </c>
      <c r="F92" s="2">
        <f>87.7/100</f>
        <v>0.877</v>
      </c>
      <c r="G92" s="6">
        <f t="shared" si="11"/>
        <v>18.955952456999999</v>
      </c>
      <c r="H92" s="6" t="s">
        <v>11</v>
      </c>
      <c r="I92" s="6">
        <f>25.9/100</f>
        <v>0.25900000000000001</v>
      </c>
      <c r="J92" s="6">
        <f>I92*G92</f>
        <v>4.909591686363</v>
      </c>
      <c r="K92" s="2" t="s">
        <v>32</v>
      </c>
      <c r="L92" s="2">
        <f>7.6/100</f>
        <v>7.5999999999999998E-2</v>
      </c>
      <c r="M92" s="2">
        <f>L92*G92</f>
        <v>1.4406523867319998</v>
      </c>
    </row>
    <row r="93" spans="1:13" x14ac:dyDescent="0.25">
      <c r="A93" s="4">
        <v>25.701000000000001</v>
      </c>
      <c r="B93" s="2" t="s">
        <v>19</v>
      </c>
      <c r="C93" s="6">
        <f t="shared" si="23"/>
        <v>0.84099999999999997</v>
      </c>
      <c r="D93" s="6">
        <f t="shared" ref="D93:D99" si="39">C93*A93</f>
        <v>21.614540999999999</v>
      </c>
      <c r="E93" s="2" t="s">
        <v>18</v>
      </c>
      <c r="F93" s="2">
        <f t="shared" ref="F93:F99" si="40">87.7/100</f>
        <v>0.877</v>
      </c>
      <c r="G93" s="6">
        <f t="shared" si="11"/>
        <v>18.955952456999999</v>
      </c>
      <c r="H93" s="6" t="s">
        <v>12</v>
      </c>
      <c r="I93" s="6">
        <f>24.1/100</f>
        <v>0.24100000000000002</v>
      </c>
      <c r="J93" s="6">
        <f t="shared" ref="J93:J97" si="41">I93*G93</f>
        <v>4.5683845421370002</v>
      </c>
      <c r="K93" s="2" t="s">
        <v>33</v>
      </c>
      <c r="L93" s="2">
        <f>13.6/100</f>
        <v>0.13600000000000001</v>
      </c>
      <c r="M93" s="2">
        <f t="shared" ref="M93:M99" si="42">L93*G93</f>
        <v>2.5780095341520002</v>
      </c>
    </row>
    <row r="94" spans="1:13" x14ac:dyDescent="0.25">
      <c r="A94" s="4">
        <v>25.701000000000001</v>
      </c>
      <c r="B94" s="2" t="s">
        <v>19</v>
      </c>
      <c r="C94" s="6">
        <f t="shared" si="23"/>
        <v>0.84099999999999997</v>
      </c>
      <c r="D94" s="6">
        <f t="shared" si="39"/>
        <v>21.614540999999999</v>
      </c>
      <c r="E94" s="2" t="s">
        <v>18</v>
      </c>
      <c r="F94" s="2">
        <f t="shared" si="40"/>
        <v>0.877</v>
      </c>
      <c r="G94" s="6">
        <f t="shared" si="11"/>
        <v>18.955952456999999</v>
      </c>
      <c r="H94" s="6" t="s">
        <v>7</v>
      </c>
      <c r="I94" s="6">
        <f>1.8/100</f>
        <v>1.8000000000000002E-2</v>
      </c>
      <c r="J94" s="6">
        <f t="shared" si="41"/>
        <v>0.34120714422600001</v>
      </c>
      <c r="K94" s="2" t="s">
        <v>34</v>
      </c>
      <c r="L94" s="2">
        <f>16/100</f>
        <v>0.16</v>
      </c>
      <c r="M94" s="2">
        <f t="shared" si="42"/>
        <v>3.03295239312</v>
      </c>
    </row>
    <row r="95" spans="1:13" x14ac:dyDescent="0.25">
      <c r="A95" s="4">
        <v>25.701000000000001</v>
      </c>
      <c r="B95" s="2" t="s">
        <v>19</v>
      </c>
      <c r="C95" s="6">
        <f t="shared" si="23"/>
        <v>0.84099999999999997</v>
      </c>
      <c r="D95" s="6">
        <f t="shared" si="39"/>
        <v>21.614540999999999</v>
      </c>
      <c r="E95" s="2" t="s">
        <v>18</v>
      </c>
      <c r="F95" s="2">
        <f t="shared" si="40"/>
        <v>0.877</v>
      </c>
      <c r="G95" s="6">
        <f t="shared" si="11"/>
        <v>18.955952456999999</v>
      </c>
      <c r="H95" s="6" t="s">
        <v>8</v>
      </c>
      <c r="I95" s="6">
        <f>36.6/100</f>
        <v>0.36599999999999999</v>
      </c>
      <c r="J95" s="6">
        <f t="shared" si="41"/>
        <v>6.9378785992619996</v>
      </c>
      <c r="K95" s="2" t="s">
        <v>35</v>
      </c>
      <c r="L95" s="2">
        <f>24/100</f>
        <v>0.24</v>
      </c>
      <c r="M95" s="2">
        <f t="shared" si="42"/>
        <v>4.5494285896799997</v>
      </c>
    </row>
    <row r="96" spans="1:13" x14ac:dyDescent="0.25">
      <c r="A96" s="4">
        <v>25.701000000000001</v>
      </c>
      <c r="B96" s="2" t="s">
        <v>19</v>
      </c>
      <c r="C96" s="6">
        <f t="shared" si="23"/>
        <v>0.84099999999999997</v>
      </c>
      <c r="D96" s="6">
        <f t="shared" si="39"/>
        <v>21.614540999999999</v>
      </c>
      <c r="E96" s="2" t="s">
        <v>18</v>
      </c>
      <c r="F96" s="2">
        <f t="shared" si="40"/>
        <v>0.877</v>
      </c>
      <c r="G96" s="6">
        <f t="shared" si="11"/>
        <v>18.955952456999999</v>
      </c>
      <c r="H96" s="6" t="s">
        <v>10</v>
      </c>
      <c r="I96" s="6">
        <f>2.7/100</f>
        <v>2.7000000000000003E-2</v>
      </c>
      <c r="J96" s="6">
        <f t="shared" si="41"/>
        <v>0.51181071633899999</v>
      </c>
      <c r="K96" s="2" t="s">
        <v>36</v>
      </c>
      <c r="L96" s="2">
        <f>18.6/100</f>
        <v>0.18600000000000003</v>
      </c>
      <c r="M96" s="2">
        <f t="shared" si="42"/>
        <v>3.5258071570020002</v>
      </c>
    </row>
    <row r="97" spans="1:13" x14ac:dyDescent="0.25">
      <c r="A97" s="4">
        <v>25.701000000000001</v>
      </c>
      <c r="B97" s="2" t="s">
        <v>19</v>
      </c>
      <c r="C97" s="6">
        <f t="shared" si="23"/>
        <v>0.84099999999999997</v>
      </c>
      <c r="D97" s="6">
        <f t="shared" si="39"/>
        <v>21.614540999999999</v>
      </c>
      <c r="E97" s="2" t="s">
        <v>18</v>
      </c>
      <c r="F97" s="2">
        <f t="shared" si="40"/>
        <v>0.877</v>
      </c>
      <c r="G97" s="6">
        <f t="shared" si="11"/>
        <v>18.955952456999999</v>
      </c>
      <c r="H97" s="6" t="s">
        <v>9</v>
      </c>
      <c r="I97" s="6">
        <f>7.8/100</f>
        <v>7.8E-2</v>
      </c>
      <c r="J97" s="6">
        <f t="shared" si="41"/>
        <v>1.4785642916459998</v>
      </c>
      <c r="K97" s="2" t="s">
        <v>37</v>
      </c>
      <c r="L97" s="2">
        <f>14.6/100</f>
        <v>0.14599999999999999</v>
      </c>
      <c r="M97" s="2">
        <f t="shared" si="42"/>
        <v>2.7675690587219997</v>
      </c>
    </row>
    <row r="98" spans="1:13" x14ac:dyDescent="0.25">
      <c r="A98" s="4">
        <v>25.701000000000001</v>
      </c>
      <c r="B98" s="2" t="s">
        <v>19</v>
      </c>
      <c r="C98" s="6">
        <f t="shared" si="23"/>
        <v>0.84099999999999997</v>
      </c>
      <c r="D98" s="6">
        <f t="shared" si="39"/>
        <v>21.614540999999999</v>
      </c>
      <c r="E98" s="2" t="s">
        <v>18</v>
      </c>
      <c r="F98" s="2">
        <f t="shared" si="40"/>
        <v>0.877</v>
      </c>
      <c r="G98" s="6">
        <f t="shared" si="11"/>
        <v>18.955952456999999</v>
      </c>
      <c r="H98" s="6" t="s">
        <v>55</v>
      </c>
      <c r="I98" s="2">
        <f>1.1/100</f>
        <v>1.1000000000000001E-2</v>
      </c>
      <c r="J98" s="2"/>
      <c r="K98" s="2" t="s">
        <v>38</v>
      </c>
      <c r="L98" s="2">
        <f>3/100</f>
        <v>0.03</v>
      </c>
      <c r="M98" s="2">
        <f t="shared" si="42"/>
        <v>0.56867857370999997</v>
      </c>
    </row>
    <row r="99" spans="1:13" x14ac:dyDescent="0.25">
      <c r="A99" s="4">
        <v>25.701000000000001</v>
      </c>
      <c r="B99" s="2" t="s">
        <v>19</v>
      </c>
      <c r="C99" s="6">
        <f t="shared" si="23"/>
        <v>0.84099999999999997</v>
      </c>
      <c r="D99" s="6">
        <f t="shared" si="39"/>
        <v>21.614540999999999</v>
      </c>
      <c r="E99" s="2" t="s">
        <v>18</v>
      </c>
      <c r="F99" s="2">
        <f t="shared" si="40"/>
        <v>0.877</v>
      </c>
      <c r="G99" s="6">
        <f t="shared" ref="G99" si="43">F99*D99</f>
        <v>18.955952456999999</v>
      </c>
      <c r="H99" s="2"/>
      <c r="I99" s="2"/>
      <c r="J99" s="2"/>
      <c r="K99" s="2" t="s">
        <v>39</v>
      </c>
      <c r="L99" s="2">
        <f>2.6/100</f>
        <v>2.6000000000000002E-2</v>
      </c>
      <c r="M99" s="2">
        <f t="shared" si="42"/>
        <v>0.492854763882</v>
      </c>
    </row>
  </sheetData>
  <mergeCells count="1">
    <mergeCell ref="E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M99"/>
  <sheetViews>
    <sheetView topLeftCell="A2" workbookViewId="0">
      <selection activeCell="A4" sqref="A4:M99"/>
    </sheetView>
  </sheetViews>
  <sheetFormatPr defaultRowHeight="13.2" x14ac:dyDescent="0.25"/>
  <cols>
    <col min="5" max="5" width="22.44140625" customWidth="1"/>
  </cols>
  <sheetData>
    <row r="2" spans="1:13" x14ac:dyDescent="0.25">
      <c r="A2" s="3"/>
      <c r="B2" s="3"/>
      <c r="C2" s="3"/>
      <c r="D2" s="3"/>
      <c r="E2" s="21" t="s">
        <v>84</v>
      </c>
      <c r="F2" s="21"/>
      <c r="G2" s="21"/>
      <c r="H2" s="21"/>
      <c r="I2" s="21"/>
      <c r="J2" s="21"/>
      <c r="K2" s="3"/>
      <c r="L2" s="3"/>
      <c r="M2" s="3"/>
    </row>
    <row r="3" spans="1:13" ht="198" x14ac:dyDescent="0.25">
      <c r="A3" s="1" t="s">
        <v>30</v>
      </c>
      <c r="B3" s="2" t="s">
        <v>1</v>
      </c>
      <c r="C3" s="1" t="s">
        <v>22</v>
      </c>
      <c r="D3" s="1" t="s">
        <v>23</v>
      </c>
      <c r="E3" s="2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2" t="s">
        <v>31</v>
      </c>
      <c r="L3" s="1" t="s">
        <v>40</v>
      </c>
      <c r="M3" s="1" t="s">
        <v>41</v>
      </c>
    </row>
    <row r="4" spans="1:13" ht="26.4" x14ac:dyDescent="0.25">
      <c r="A4" s="4">
        <v>25.975000000000001</v>
      </c>
      <c r="B4" s="4" t="s">
        <v>2</v>
      </c>
      <c r="C4" s="5">
        <f>15.1/100</f>
        <v>0.151</v>
      </c>
      <c r="D4" s="6">
        <f>C4*A4</f>
        <v>3.9222250000000001</v>
      </c>
      <c r="E4" s="6" t="s">
        <v>14</v>
      </c>
      <c r="F4" s="5">
        <f>17.9/100</f>
        <v>0.17899999999999999</v>
      </c>
      <c r="G4" s="5">
        <f>D4*F4</f>
        <v>0.70207827499999997</v>
      </c>
      <c r="H4" s="6" t="s">
        <v>11</v>
      </c>
      <c r="I4" s="6">
        <f>10.1/100</f>
        <v>0.10099999999999999</v>
      </c>
      <c r="J4" s="7">
        <f>I4*G4</f>
        <v>7.090990577499999E-2</v>
      </c>
      <c r="K4" s="2" t="s">
        <v>32</v>
      </c>
      <c r="L4" s="2">
        <f>2.9/100</f>
        <v>2.8999999999999998E-2</v>
      </c>
      <c r="M4" s="2">
        <f>L4*G4</f>
        <v>2.0360269974999998E-2</v>
      </c>
    </row>
    <row r="5" spans="1:13" x14ac:dyDescent="0.25">
      <c r="A5" s="4">
        <v>25.975000000000001</v>
      </c>
      <c r="B5" s="4" t="s">
        <v>2</v>
      </c>
      <c r="C5" s="5">
        <f t="shared" ref="C5:C51" si="0">15.1/100</f>
        <v>0.151</v>
      </c>
      <c r="D5" s="6">
        <f>C5*A5</f>
        <v>3.9222250000000001</v>
      </c>
      <c r="E5" s="6" t="s">
        <v>43</v>
      </c>
      <c r="F5" s="5">
        <f t="shared" ref="F5:F11" si="1">17.9/100</f>
        <v>0.17899999999999999</v>
      </c>
      <c r="G5" s="5">
        <f>D5*F5</f>
        <v>0.70207827499999997</v>
      </c>
      <c r="H5" s="6" t="s">
        <v>12</v>
      </c>
      <c r="I5" s="6">
        <f>6.6/100</f>
        <v>6.6000000000000003E-2</v>
      </c>
      <c r="J5" s="8">
        <f t="shared" ref="J5:J10" si="2">G5*I5</f>
        <v>4.6337166149999998E-2</v>
      </c>
      <c r="K5" s="2" t="s">
        <v>33</v>
      </c>
      <c r="L5" s="2">
        <f>7.1/100</f>
        <v>7.0999999999999994E-2</v>
      </c>
      <c r="M5" s="2">
        <f t="shared" ref="M5:M11" si="3">L5*G5</f>
        <v>4.9847557524999996E-2</v>
      </c>
    </row>
    <row r="6" spans="1:13" x14ac:dyDescent="0.25">
      <c r="A6" s="4">
        <v>25.975000000000001</v>
      </c>
      <c r="B6" s="4" t="s">
        <v>2</v>
      </c>
      <c r="C6" s="5">
        <f t="shared" si="0"/>
        <v>0.151</v>
      </c>
      <c r="D6" s="6">
        <f t="shared" ref="D6:D92" si="4">C6*A6</f>
        <v>3.9222250000000001</v>
      </c>
      <c r="E6" s="6" t="s">
        <v>14</v>
      </c>
      <c r="F6" s="5">
        <f t="shared" si="1"/>
        <v>0.17899999999999999</v>
      </c>
      <c r="G6" s="5">
        <f t="shared" ref="G6:G11" si="5">D6*F6</f>
        <v>0.70207827499999997</v>
      </c>
      <c r="H6" s="6" t="s">
        <v>7</v>
      </c>
      <c r="I6" s="14">
        <f>0.4/100</f>
        <v>4.0000000000000001E-3</v>
      </c>
      <c r="J6" s="8">
        <f t="shared" si="2"/>
        <v>2.8083130999999998E-3</v>
      </c>
      <c r="K6" s="2" t="s">
        <v>34</v>
      </c>
      <c r="L6" s="2">
        <f>16.4/100</f>
        <v>0.16399999999999998</v>
      </c>
      <c r="M6" s="2">
        <f t="shared" si="3"/>
        <v>0.11514083709999998</v>
      </c>
    </row>
    <row r="7" spans="1:13" x14ac:dyDescent="0.25">
      <c r="A7" s="4">
        <v>25.975000000000001</v>
      </c>
      <c r="B7" s="4" t="s">
        <v>2</v>
      </c>
      <c r="C7" s="5">
        <f t="shared" si="0"/>
        <v>0.151</v>
      </c>
      <c r="D7" s="6">
        <f t="shared" si="4"/>
        <v>3.9222250000000001</v>
      </c>
      <c r="E7" s="6" t="s">
        <v>14</v>
      </c>
      <c r="F7" s="5">
        <f t="shared" si="1"/>
        <v>0.17899999999999999</v>
      </c>
      <c r="G7" s="5">
        <f t="shared" si="5"/>
        <v>0.70207827499999997</v>
      </c>
      <c r="H7" s="6" t="s">
        <v>8</v>
      </c>
      <c r="I7" s="6">
        <f>32.6/100</f>
        <v>0.32600000000000001</v>
      </c>
      <c r="J7" s="8">
        <f t="shared" si="2"/>
        <v>0.22887751765</v>
      </c>
      <c r="K7" s="2" t="s">
        <v>35</v>
      </c>
      <c r="L7" s="2">
        <f>23.3/100</f>
        <v>0.23300000000000001</v>
      </c>
      <c r="M7" s="2">
        <f t="shared" si="3"/>
        <v>0.163584238075</v>
      </c>
    </row>
    <row r="8" spans="1:13" x14ac:dyDescent="0.25">
      <c r="A8" s="4">
        <v>25.975000000000001</v>
      </c>
      <c r="B8" s="4" t="s">
        <v>2</v>
      </c>
      <c r="C8" s="5">
        <f t="shared" si="0"/>
        <v>0.151</v>
      </c>
      <c r="D8" s="6">
        <f t="shared" si="4"/>
        <v>3.9222250000000001</v>
      </c>
      <c r="E8" s="6" t="s">
        <v>14</v>
      </c>
      <c r="F8" s="5">
        <f t="shared" si="1"/>
        <v>0.17899999999999999</v>
      </c>
      <c r="G8" s="5">
        <f t="shared" si="5"/>
        <v>0.70207827499999997</v>
      </c>
      <c r="H8" s="6" t="s">
        <v>10</v>
      </c>
      <c r="I8" s="6">
        <f>7.7/100</f>
        <v>7.6999999999999999E-2</v>
      </c>
      <c r="J8" s="8">
        <f t="shared" si="2"/>
        <v>5.4060027174999997E-2</v>
      </c>
      <c r="K8" s="2" t="s">
        <v>36</v>
      </c>
      <c r="L8" s="2">
        <f>22.6/100</f>
        <v>0.22600000000000001</v>
      </c>
      <c r="M8" s="2">
        <f t="shared" si="3"/>
        <v>0.15866969014999999</v>
      </c>
    </row>
    <row r="9" spans="1:13" x14ac:dyDescent="0.25">
      <c r="A9" s="4">
        <v>25.975000000000001</v>
      </c>
      <c r="B9" s="4" t="s">
        <v>2</v>
      </c>
      <c r="C9" s="5">
        <f t="shared" si="0"/>
        <v>0.151</v>
      </c>
      <c r="D9" s="6">
        <f>C9*A9</f>
        <v>3.9222250000000001</v>
      </c>
      <c r="E9" s="6" t="s">
        <v>14</v>
      </c>
      <c r="F9" s="5">
        <f t="shared" si="1"/>
        <v>0.17899999999999999</v>
      </c>
      <c r="G9" s="5">
        <f t="shared" si="5"/>
        <v>0.70207827499999997</v>
      </c>
      <c r="H9" s="6" t="s">
        <v>9</v>
      </c>
      <c r="I9" s="6">
        <f>41.9/100</f>
        <v>0.41899999999999998</v>
      </c>
      <c r="J9" s="8">
        <f t="shared" si="2"/>
        <v>0.294170797225</v>
      </c>
      <c r="K9" s="2" t="s">
        <v>37</v>
      </c>
      <c r="L9" s="2">
        <f>24.8/100</f>
        <v>0.248</v>
      </c>
      <c r="M9" s="2">
        <f t="shared" si="3"/>
        <v>0.17411541219999999</v>
      </c>
    </row>
    <row r="10" spans="1:13" x14ac:dyDescent="0.25">
      <c r="A10" s="4">
        <v>25.975000000000001</v>
      </c>
      <c r="B10" s="4" t="s">
        <v>2</v>
      </c>
      <c r="C10" s="5">
        <f t="shared" si="0"/>
        <v>0.151</v>
      </c>
      <c r="D10" s="6">
        <f t="shared" si="4"/>
        <v>3.9222250000000001</v>
      </c>
      <c r="E10" s="6" t="s">
        <v>14</v>
      </c>
      <c r="F10" s="5">
        <f t="shared" si="1"/>
        <v>0.17899999999999999</v>
      </c>
      <c r="G10" s="5">
        <f t="shared" si="5"/>
        <v>0.70207827499999997</v>
      </c>
      <c r="H10" s="6" t="s">
        <v>55</v>
      </c>
      <c r="I10" s="6">
        <f>0.6/100</f>
        <v>6.0000000000000001E-3</v>
      </c>
      <c r="J10" s="8">
        <f t="shared" si="2"/>
        <v>4.2124696499999999E-3</v>
      </c>
      <c r="K10" s="2" t="s">
        <v>38</v>
      </c>
      <c r="L10" s="2">
        <f>2/100</f>
        <v>0.02</v>
      </c>
      <c r="M10" s="2">
        <f t="shared" si="3"/>
        <v>1.40415655E-2</v>
      </c>
    </row>
    <row r="11" spans="1:13" x14ac:dyDescent="0.25">
      <c r="A11" s="4">
        <v>25.975000000000001</v>
      </c>
      <c r="B11" s="4" t="s">
        <v>2</v>
      </c>
      <c r="C11" s="5">
        <f t="shared" si="0"/>
        <v>0.151</v>
      </c>
      <c r="D11" s="6">
        <f t="shared" si="4"/>
        <v>3.9222250000000001</v>
      </c>
      <c r="E11" s="6" t="s">
        <v>14</v>
      </c>
      <c r="F11" s="5">
        <f t="shared" si="1"/>
        <v>0.17899999999999999</v>
      </c>
      <c r="G11" s="5">
        <f t="shared" si="5"/>
        <v>0.70207827499999997</v>
      </c>
      <c r="H11" s="6"/>
      <c r="I11" s="6"/>
      <c r="J11" s="8"/>
      <c r="K11" s="2" t="s">
        <v>39</v>
      </c>
      <c r="L11" s="2">
        <f>0.9/100</f>
        <v>9.0000000000000011E-3</v>
      </c>
      <c r="M11" s="2">
        <f t="shared" si="3"/>
        <v>6.3187044750000008E-3</v>
      </c>
    </row>
    <row r="12" spans="1:13" x14ac:dyDescent="0.25">
      <c r="A12" s="4">
        <v>25.975000000000001</v>
      </c>
      <c r="B12" s="4" t="s">
        <v>2</v>
      </c>
      <c r="C12" s="5">
        <f t="shared" si="0"/>
        <v>0.151</v>
      </c>
      <c r="D12" s="6">
        <f t="shared" si="4"/>
        <v>3.9222250000000001</v>
      </c>
      <c r="E12" s="6" t="s">
        <v>44</v>
      </c>
      <c r="F12" s="8">
        <f>13.1/100</f>
        <v>0.13100000000000001</v>
      </c>
      <c r="G12" s="6">
        <f>F12*D12</f>
        <v>0.51381147500000002</v>
      </c>
      <c r="H12" s="6" t="s">
        <v>11</v>
      </c>
      <c r="I12" s="6">
        <f>2.2/100</f>
        <v>2.2000000000000002E-2</v>
      </c>
      <c r="J12" s="8">
        <f>I12*G12</f>
        <v>1.1303852450000002E-2</v>
      </c>
      <c r="K12" s="2" t="s">
        <v>32</v>
      </c>
      <c r="L12" s="2">
        <f>0/100</f>
        <v>0</v>
      </c>
      <c r="M12" s="2">
        <f>L12*G12</f>
        <v>0</v>
      </c>
    </row>
    <row r="13" spans="1:13" x14ac:dyDescent="0.25">
      <c r="A13" s="4">
        <v>25.975000000000001</v>
      </c>
      <c r="B13" s="4" t="s">
        <v>2</v>
      </c>
      <c r="C13" s="5">
        <f t="shared" si="0"/>
        <v>0.151</v>
      </c>
      <c r="D13" s="6">
        <f t="shared" si="4"/>
        <v>3.9222250000000001</v>
      </c>
      <c r="E13" s="6" t="s">
        <v>15</v>
      </c>
      <c r="F13" s="8">
        <f t="shared" ref="F13:F19" si="6">13.1/100</f>
        <v>0.13100000000000001</v>
      </c>
      <c r="G13" s="6">
        <f t="shared" ref="G13:G19" si="7">F13*D13</f>
        <v>0.51381147500000002</v>
      </c>
      <c r="H13" s="6" t="s">
        <v>12</v>
      </c>
      <c r="I13" s="6">
        <f>6.5/100</f>
        <v>6.5000000000000002E-2</v>
      </c>
      <c r="J13" s="8">
        <f t="shared" ref="J13:J17" si="8">I13*G13</f>
        <v>3.3397745875000003E-2</v>
      </c>
      <c r="K13" s="2" t="s">
        <v>33</v>
      </c>
      <c r="L13" s="2">
        <f>1/100</f>
        <v>0.01</v>
      </c>
      <c r="M13" s="2">
        <f t="shared" ref="M13:M19" si="9">L13*G13</f>
        <v>5.1381147500000005E-3</v>
      </c>
    </row>
    <row r="14" spans="1:13" x14ac:dyDescent="0.25">
      <c r="A14" s="4">
        <v>25.975000000000001</v>
      </c>
      <c r="B14" s="4" t="s">
        <v>2</v>
      </c>
      <c r="C14" s="5">
        <f t="shared" si="0"/>
        <v>0.151</v>
      </c>
      <c r="D14" s="6">
        <f t="shared" si="4"/>
        <v>3.9222250000000001</v>
      </c>
      <c r="E14" s="6" t="s">
        <v>15</v>
      </c>
      <c r="F14" s="8">
        <f t="shared" si="6"/>
        <v>0.13100000000000001</v>
      </c>
      <c r="G14" s="6">
        <f t="shared" si="7"/>
        <v>0.51381147500000002</v>
      </c>
      <c r="H14" s="6" t="s">
        <v>7</v>
      </c>
      <c r="I14" s="6">
        <f>0/100</f>
        <v>0</v>
      </c>
      <c r="J14" s="8">
        <f t="shared" si="8"/>
        <v>0</v>
      </c>
      <c r="K14" s="2" t="s">
        <v>34</v>
      </c>
      <c r="L14" s="2">
        <f>7.4/100</f>
        <v>7.400000000000001E-2</v>
      </c>
      <c r="M14" s="2">
        <f t="shared" si="9"/>
        <v>3.8022049150000008E-2</v>
      </c>
    </row>
    <row r="15" spans="1:13" x14ac:dyDescent="0.25">
      <c r="A15" s="4">
        <v>25.975000000000001</v>
      </c>
      <c r="B15" s="4" t="s">
        <v>2</v>
      </c>
      <c r="C15" s="5">
        <f t="shared" si="0"/>
        <v>0.151</v>
      </c>
      <c r="D15" s="6">
        <f t="shared" si="4"/>
        <v>3.9222250000000001</v>
      </c>
      <c r="E15" s="6" t="s">
        <v>15</v>
      </c>
      <c r="F15" s="8">
        <f t="shared" si="6"/>
        <v>0.13100000000000001</v>
      </c>
      <c r="G15" s="6">
        <f t="shared" si="7"/>
        <v>0.51381147500000002</v>
      </c>
      <c r="H15" s="6" t="s">
        <v>8</v>
      </c>
      <c r="I15" s="6">
        <f>37/100</f>
        <v>0.37</v>
      </c>
      <c r="J15" s="8">
        <f>I15*G15</f>
        <v>0.19011024575000002</v>
      </c>
      <c r="K15" s="2" t="s">
        <v>35</v>
      </c>
      <c r="L15" s="2">
        <f>45.8/100</f>
        <v>0.45799999999999996</v>
      </c>
      <c r="M15" s="2">
        <f t="shared" si="9"/>
        <v>0.23532565554999998</v>
      </c>
    </row>
    <row r="16" spans="1:13" x14ac:dyDescent="0.25">
      <c r="A16" s="4">
        <v>25.975000000000001</v>
      </c>
      <c r="B16" s="4" t="s">
        <v>2</v>
      </c>
      <c r="C16" s="5">
        <f t="shared" si="0"/>
        <v>0.151</v>
      </c>
      <c r="D16" s="6">
        <f t="shared" si="4"/>
        <v>3.9222250000000001</v>
      </c>
      <c r="E16" s="6" t="s">
        <v>15</v>
      </c>
      <c r="F16" s="8">
        <f t="shared" si="6"/>
        <v>0.13100000000000001</v>
      </c>
      <c r="G16" s="6">
        <f t="shared" si="7"/>
        <v>0.51381147500000002</v>
      </c>
      <c r="H16" s="6" t="s">
        <v>10</v>
      </c>
      <c r="I16" s="6">
        <f>3.2/100</f>
        <v>3.2000000000000001E-2</v>
      </c>
      <c r="J16" s="8">
        <f t="shared" si="8"/>
        <v>1.6441967200000001E-2</v>
      </c>
      <c r="K16" s="2" t="s">
        <v>36</v>
      </c>
      <c r="L16" s="2">
        <f>29.8/100</f>
        <v>0.29799999999999999</v>
      </c>
      <c r="M16" s="2">
        <f t="shared" si="9"/>
        <v>0.15311581955</v>
      </c>
    </row>
    <row r="17" spans="1:13" x14ac:dyDescent="0.25">
      <c r="A17" s="4">
        <v>25.975000000000001</v>
      </c>
      <c r="B17" s="4" t="s">
        <v>2</v>
      </c>
      <c r="C17" s="5">
        <f t="shared" si="0"/>
        <v>0.151</v>
      </c>
      <c r="D17" s="6">
        <f t="shared" si="4"/>
        <v>3.9222250000000001</v>
      </c>
      <c r="E17" s="6" t="s">
        <v>15</v>
      </c>
      <c r="F17" s="8">
        <f t="shared" si="6"/>
        <v>0.13100000000000001</v>
      </c>
      <c r="G17" s="6">
        <f t="shared" si="7"/>
        <v>0.51381147500000002</v>
      </c>
      <c r="H17" s="6" t="s">
        <v>9</v>
      </c>
      <c r="I17" s="6">
        <f>51.1/100</f>
        <v>0.51100000000000001</v>
      </c>
      <c r="J17" s="8">
        <f t="shared" si="8"/>
        <v>0.262557663725</v>
      </c>
      <c r="K17" s="2" t="s">
        <v>37</v>
      </c>
      <c r="L17" s="2">
        <f>16/100</f>
        <v>0.16</v>
      </c>
      <c r="M17" s="2">
        <f t="shared" si="9"/>
        <v>8.2209836000000008E-2</v>
      </c>
    </row>
    <row r="18" spans="1:13" x14ac:dyDescent="0.25">
      <c r="A18" s="4">
        <v>25.975000000000001</v>
      </c>
      <c r="B18" s="4" t="s">
        <v>2</v>
      </c>
      <c r="C18" s="5">
        <f t="shared" si="0"/>
        <v>0.151</v>
      </c>
      <c r="D18" s="6">
        <f t="shared" si="4"/>
        <v>3.9222250000000001</v>
      </c>
      <c r="E18" s="6" t="s">
        <v>15</v>
      </c>
      <c r="F18" s="8">
        <f t="shared" si="6"/>
        <v>0.13100000000000001</v>
      </c>
      <c r="G18" s="6">
        <f t="shared" si="7"/>
        <v>0.51381147500000002</v>
      </c>
      <c r="H18" s="6" t="s">
        <v>55</v>
      </c>
      <c r="I18" s="6">
        <f>0/100</f>
        <v>0</v>
      </c>
      <c r="J18" s="8">
        <f>I18*G18</f>
        <v>0</v>
      </c>
      <c r="K18" s="2" t="s">
        <v>38</v>
      </c>
      <c r="L18" s="2">
        <f>0/100</f>
        <v>0</v>
      </c>
      <c r="M18" s="2">
        <f>L18*G18</f>
        <v>0</v>
      </c>
    </row>
    <row r="19" spans="1:13" x14ac:dyDescent="0.25">
      <c r="A19" s="4">
        <v>25.975000000000001</v>
      </c>
      <c r="B19" s="4" t="s">
        <v>2</v>
      </c>
      <c r="C19" s="5">
        <f t="shared" si="0"/>
        <v>0.151</v>
      </c>
      <c r="D19" s="6">
        <f t="shared" si="4"/>
        <v>3.9222250000000001</v>
      </c>
      <c r="E19" s="6" t="s">
        <v>15</v>
      </c>
      <c r="F19" s="8">
        <f t="shared" si="6"/>
        <v>0.13100000000000001</v>
      </c>
      <c r="G19" s="6">
        <f t="shared" si="7"/>
        <v>0.51381147500000002</v>
      </c>
      <c r="H19" s="6"/>
      <c r="I19" s="6" t="s">
        <v>56</v>
      </c>
      <c r="J19" s="8"/>
      <c r="K19" s="2" t="s">
        <v>39</v>
      </c>
      <c r="L19" s="2">
        <f>0/100</f>
        <v>0</v>
      </c>
      <c r="M19" s="2">
        <f t="shared" si="9"/>
        <v>0</v>
      </c>
    </row>
    <row r="20" spans="1:13" x14ac:dyDescent="0.25">
      <c r="A20" s="4">
        <v>25.975000000000001</v>
      </c>
      <c r="B20" s="4" t="s">
        <v>2</v>
      </c>
      <c r="C20" s="5">
        <f t="shared" si="0"/>
        <v>0.151</v>
      </c>
      <c r="D20" s="6">
        <f t="shared" si="4"/>
        <v>3.9222250000000001</v>
      </c>
      <c r="E20" s="6" t="s">
        <v>45</v>
      </c>
      <c r="F20" s="6">
        <f>15.6/100</f>
        <v>0.156</v>
      </c>
      <c r="G20" s="6">
        <f>F20*D20</f>
        <v>0.6118671</v>
      </c>
      <c r="H20" s="6" t="s">
        <v>11</v>
      </c>
      <c r="I20" s="6">
        <f>9.8/100</f>
        <v>9.8000000000000004E-2</v>
      </c>
      <c r="J20" s="6">
        <f>I20*G20</f>
        <v>5.9962975800000005E-2</v>
      </c>
      <c r="K20" s="2" t="s">
        <v>32</v>
      </c>
      <c r="L20" s="2">
        <f>2.2/100</f>
        <v>2.2000000000000002E-2</v>
      </c>
      <c r="M20" s="2">
        <f>L20*G20</f>
        <v>1.3461076200000002E-2</v>
      </c>
    </row>
    <row r="21" spans="1:13" x14ac:dyDescent="0.25">
      <c r="A21" s="4">
        <v>25.975000000000001</v>
      </c>
      <c r="B21" s="4" t="s">
        <v>2</v>
      </c>
      <c r="C21" s="5">
        <f t="shared" si="0"/>
        <v>0.151</v>
      </c>
      <c r="D21" s="6">
        <f t="shared" si="4"/>
        <v>3.9222250000000001</v>
      </c>
      <c r="E21" s="6" t="s">
        <v>16</v>
      </c>
      <c r="F21" s="6">
        <f t="shared" ref="F21:F27" si="10">15.6/100</f>
        <v>0.156</v>
      </c>
      <c r="G21" s="6">
        <f t="shared" ref="G21:G98" si="11">F21*D21</f>
        <v>0.6118671</v>
      </c>
      <c r="H21" s="6" t="s">
        <v>12</v>
      </c>
      <c r="I21" s="6">
        <f>5.7/100</f>
        <v>5.7000000000000002E-2</v>
      </c>
      <c r="J21" s="6">
        <f t="shared" ref="J21:J26" si="12">I21*G21</f>
        <v>3.4876424699999999E-2</v>
      </c>
      <c r="K21" s="2" t="s">
        <v>33</v>
      </c>
      <c r="L21" s="2">
        <f>14.4/100</f>
        <v>0.14400000000000002</v>
      </c>
      <c r="M21" s="2">
        <f t="shared" ref="M21:M27" si="13">L21*G21</f>
        <v>8.8108862400000015E-2</v>
      </c>
    </row>
    <row r="22" spans="1:13" x14ac:dyDescent="0.25">
      <c r="A22" s="4">
        <v>25.975000000000001</v>
      </c>
      <c r="B22" s="4" t="s">
        <v>2</v>
      </c>
      <c r="C22" s="5">
        <f t="shared" si="0"/>
        <v>0.151</v>
      </c>
      <c r="D22" s="6">
        <f t="shared" si="4"/>
        <v>3.9222250000000001</v>
      </c>
      <c r="E22" s="6" t="s">
        <v>16</v>
      </c>
      <c r="F22" s="6">
        <f t="shared" si="10"/>
        <v>0.156</v>
      </c>
      <c r="G22" s="6">
        <f t="shared" si="11"/>
        <v>0.6118671</v>
      </c>
      <c r="H22" s="6" t="s">
        <v>7</v>
      </c>
      <c r="I22" s="6">
        <f>0/100</f>
        <v>0</v>
      </c>
      <c r="J22" s="6">
        <f t="shared" si="12"/>
        <v>0</v>
      </c>
      <c r="K22" s="2" t="s">
        <v>34</v>
      </c>
      <c r="L22" s="2">
        <f>14.7/100</f>
        <v>0.14699999999999999</v>
      </c>
      <c r="M22" s="2">
        <f t="shared" si="13"/>
        <v>8.9944463699999991E-2</v>
      </c>
    </row>
    <row r="23" spans="1:13" x14ac:dyDescent="0.25">
      <c r="A23" s="4">
        <v>25.975000000000001</v>
      </c>
      <c r="B23" s="4" t="s">
        <v>2</v>
      </c>
      <c r="C23" s="5">
        <f t="shared" si="0"/>
        <v>0.151</v>
      </c>
      <c r="D23" s="6">
        <f t="shared" si="4"/>
        <v>3.9222250000000001</v>
      </c>
      <c r="E23" s="6" t="s">
        <v>16</v>
      </c>
      <c r="F23" s="6">
        <f t="shared" si="10"/>
        <v>0.156</v>
      </c>
      <c r="G23" s="6">
        <f t="shared" si="11"/>
        <v>0.6118671</v>
      </c>
      <c r="H23" s="6" t="s">
        <v>8</v>
      </c>
      <c r="I23" s="6">
        <f>27.5/100</f>
        <v>0.27500000000000002</v>
      </c>
      <c r="J23" s="6">
        <f t="shared" si="12"/>
        <v>0.16826345250000002</v>
      </c>
      <c r="K23" s="2" t="s">
        <v>35</v>
      </c>
      <c r="L23" s="2">
        <f>25/100</f>
        <v>0.25</v>
      </c>
      <c r="M23" s="2">
        <f t="shared" si="13"/>
        <v>0.152966775</v>
      </c>
    </row>
    <row r="24" spans="1:13" x14ac:dyDescent="0.25">
      <c r="A24" s="4">
        <v>25.975000000000001</v>
      </c>
      <c r="B24" s="4" t="s">
        <v>2</v>
      </c>
      <c r="C24" s="5">
        <f t="shared" si="0"/>
        <v>0.151</v>
      </c>
      <c r="D24" s="6">
        <f t="shared" si="4"/>
        <v>3.9222250000000001</v>
      </c>
      <c r="E24" s="6" t="s">
        <v>16</v>
      </c>
      <c r="F24" s="6">
        <f t="shared" si="10"/>
        <v>0.156</v>
      </c>
      <c r="G24" s="6">
        <f t="shared" si="11"/>
        <v>0.6118671</v>
      </c>
      <c r="H24" s="6" t="s">
        <v>10</v>
      </c>
      <c r="I24" s="6">
        <f>6.7/100</f>
        <v>6.7000000000000004E-2</v>
      </c>
      <c r="J24" s="6">
        <f t="shared" si="12"/>
        <v>4.0995095700000005E-2</v>
      </c>
      <c r="K24" s="2" t="s">
        <v>36</v>
      </c>
      <c r="L24" s="2">
        <f>20.4/100</f>
        <v>0.20399999999999999</v>
      </c>
      <c r="M24" s="2">
        <f t="shared" si="13"/>
        <v>0.1248208884</v>
      </c>
    </row>
    <row r="25" spans="1:13" x14ac:dyDescent="0.25">
      <c r="A25" s="4">
        <v>25.975000000000001</v>
      </c>
      <c r="B25" s="4" t="s">
        <v>2</v>
      </c>
      <c r="C25" s="5">
        <f t="shared" si="0"/>
        <v>0.151</v>
      </c>
      <c r="D25" s="6">
        <f t="shared" si="4"/>
        <v>3.9222250000000001</v>
      </c>
      <c r="E25" s="6" t="s">
        <v>16</v>
      </c>
      <c r="F25" s="6">
        <f t="shared" si="10"/>
        <v>0.156</v>
      </c>
      <c r="G25" s="6">
        <f t="shared" si="11"/>
        <v>0.6118671</v>
      </c>
      <c r="H25" s="6" t="s">
        <v>9</v>
      </c>
      <c r="I25" s="6">
        <f>49.4/100</f>
        <v>0.49399999999999999</v>
      </c>
      <c r="J25" s="6">
        <f t="shared" si="12"/>
        <v>0.30226234740000002</v>
      </c>
      <c r="K25" s="2" t="s">
        <v>37</v>
      </c>
      <c r="L25" s="2">
        <f>21.6/100</f>
        <v>0.21600000000000003</v>
      </c>
      <c r="M25" s="2">
        <f t="shared" si="13"/>
        <v>0.13216329360000001</v>
      </c>
    </row>
    <row r="26" spans="1:13" x14ac:dyDescent="0.25">
      <c r="A26" s="4">
        <v>25.975000000000001</v>
      </c>
      <c r="B26" s="4" t="s">
        <v>2</v>
      </c>
      <c r="C26" s="5">
        <f t="shared" si="0"/>
        <v>0.151</v>
      </c>
      <c r="D26" s="6">
        <f t="shared" si="4"/>
        <v>3.9222250000000001</v>
      </c>
      <c r="E26" s="6" t="s">
        <v>16</v>
      </c>
      <c r="F26" s="6">
        <f t="shared" si="10"/>
        <v>0.156</v>
      </c>
      <c r="G26" s="6">
        <f t="shared" si="11"/>
        <v>0.6118671</v>
      </c>
      <c r="H26" s="6" t="s">
        <v>55</v>
      </c>
      <c r="I26" s="6">
        <f>0.8/100</f>
        <v>8.0000000000000002E-3</v>
      </c>
      <c r="J26" s="6">
        <f t="shared" si="12"/>
        <v>4.8949368000000002E-3</v>
      </c>
      <c r="K26" s="2" t="s">
        <v>38</v>
      </c>
      <c r="L26" s="2">
        <f>0.9/100</f>
        <v>9.0000000000000011E-3</v>
      </c>
      <c r="M26" s="2">
        <f t="shared" si="13"/>
        <v>5.506803900000001E-3</v>
      </c>
    </row>
    <row r="27" spans="1:13" x14ac:dyDescent="0.25">
      <c r="A27" s="4">
        <v>25.975000000000001</v>
      </c>
      <c r="B27" s="4" t="s">
        <v>2</v>
      </c>
      <c r="C27" s="5">
        <f t="shared" si="0"/>
        <v>0.151</v>
      </c>
      <c r="D27" s="6">
        <f t="shared" si="4"/>
        <v>3.9222250000000001</v>
      </c>
      <c r="E27" s="6" t="s">
        <v>16</v>
      </c>
      <c r="F27" s="6">
        <f t="shared" si="10"/>
        <v>0.156</v>
      </c>
      <c r="G27" s="6">
        <f t="shared" si="11"/>
        <v>0.6118671</v>
      </c>
      <c r="H27" s="6"/>
      <c r="I27" s="6"/>
      <c r="J27" s="6"/>
      <c r="K27" s="2" t="s">
        <v>39</v>
      </c>
      <c r="L27" s="2">
        <f>0.9/100</f>
        <v>9.0000000000000011E-3</v>
      </c>
      <c r="M27" s="2">
        <f t="shared" si="13"/>
        <v>5.506803900000001E-3</v>
      </c>
    </row>
    <row r="28" spans="1:13" x14ac:dyDescent="0.25">
      <c r="A28" s="4">
        <v>25.975000000000001</v>
      </c>
      <c r="B28" s="4" t="s">
        <v>2</v>
      </c>
      <c r="C28" s="5">
        <f t="shared" si="0"/>
        <v>0.151</v>
      </c>
      <c r="D28" s="6">
        <f t="shared" si="4"/>
        <v>3.9222250000000001</v>
      </c>
      <c r="E28" s="6" t="s">
        <v>46</v>
      </c>
      <c r="F28" s="8">
        <f>16.1/100</f>
        <v>0.161</v>
      </c>
      <c r="G28" s="6">
        <f t="shared" si="11"/>
        <v>0.63147822500000006</v>
      </c>
      <c r="H28" s="6" t="s">
        <v>11</v>
      </c>
      <c r="I28" s="8">
        <f>26.5/100</f>
        <v>0.26500000000000001</v>
      </c>
      <c r="J28" s="8">
        <f>I28*G28</f>
        <v>0.16734172962500002</v>
      </c>
      <c r="K28" s="2" t="s">
        <v>32</v>
      </c>
      <c r="L28" s="2">
        <f>2/100</f>
        <v>0.02</v>
      </c>
      <c r="M28" s="2">
        <f>L28*G28</f>
        <v>1.2629564500000001E-2</v>
      </c>
    </row>
    <row r="29" spans="1:13" x14ac:dyDescent="0.25">
      <c r="A29" s="4">
        <v>25.975000000000001</v>
      </c>
      <c r="B29" s="4" t="s">
        <v>2</v>
      </c>
      <c r="C29" s="5">
        <f t="shared" si="0"/>
        <v>0.151</v>
      </c>
      <c r="D29" s="6">
        <f t="shared" si="4"/>
        <v>3.9222250000000001</v>
      </c>
      <c r="E29" s="6" t="s">
        <v>13</v>
      </c>
      <c r="F29" s="8">
        <f t="shared" ref="F29:F35" si="14">16.1/100</f>
        <v>0.161</v>
      </c>
      <c r="G29" s="6">
        <f t="shared" si="11"/>
        <v>0.63147822500000006</v>
      </c>
      <c r="H29" s="6" t="s">
        <v>12</v>
      </c>
      <c r="I29" s="8">
        <f>13/100</f>
        <v>0.13</v>
      </c>
      <c r="J29" s="8">
        <f t="shared" ref="J29:J33" si="15">I29*G29</f>
        <v>8.2092169250000013E-2</v>
      </c>
      <c r="K29" s="2" t="s">
        <v>33</v>
      </c>
      <c r="L29" s="2">
        <f>8.1/100</f>
        <v>8.1000000000000003E-2</v>
      </c>
      <c r="M29" s="2">
        <f t="shared" ref="M29:M31" si="16">L29*G29</f>
        <v>5.1149736225000006E-2</v>
      </c>
    </row>
    <row r="30" spans="1:13" x14ac:dyDescent="0.25">
      <c r="A30" s="4">
        <v>25.975000000000001</v>
      </c>
      <c r="B30" s="4" t="s">
        <v>2</v>
      </c>
      <c r="C30" s="5">
        <f t="shared" si="0"/>
        <v>0.151</v>
      </c>
      <c r="D30" s="6">
        <f t="shared" si="4"/>
        <v>3.9222250000000001</v>
      </c>
      <c r="E30" s="6" t="s">
        <v>13</v>
      </c>
      <c r="F30" s="8">
        <f t="shared" si="14"/>
        <v>0.161</v>
      </c>
      <c r="G30" s="6">
        <f t="shared" si="11"/>
        <v>0.63147822500000006</v>
      </c>
      <c r="H30" s="6" t="s">
        <v>7</v>
      </c>
      <c r="I30" s="8">
        <f>1.2/100</f>
        <v>1.2E-2</v>
      </c>
      <c r="J30" s="8">
        <f t="shared" si="15"/>
        <v>7.5777387000000012E-3</v>
      </c>
      <c r="K30" s="2" t="s">
        <v>34</v>
      </c>
      <c r="L30" s="2">
        <f>13.3/100</f>
        <v>0.13300000000000001</v>
      </c>
      <c r="M30" s="2">
        <f t="shared" si="16"/>
        <v>8.3986603925000014E-2</v>
      </c>
    </row>
    <row r="31" spans="1:13" x14ac:dyDescent="0.25">
      <c r="A31" s="4">
        <v>25.975000000000001</v>
      </c>
      <c r="B31" s="4" t="s">
        <v>2</v>
      </c>
      <c r="C31" s="5">
        <f t="shared" si="0"/>
        <v>0.151</v>
      </c>
      <c r="D31" s="6">
        <f t="shared" si="4"/>
        <v>3.9222250000000001</v>
      </c>
      <c r="E31" s="6" t="s">
        <v>13</v>
      </c>
      <c r="F31" s="8">
        <f t="shared" si="14"/>
        <v>0.161</v>
      </c>
      <c r="G31" s="6">
        <f t="shared" si="11"/>
        <v>0.63147822500000006</v>
      </c>
      <c r="H31" s="6" t="s">
        <v>8</v>
      </c>
      <c r="I31" s="8">
        <f>32.2/100</f>
        <v>0.32200000000000001</v>
      </c>
      <c r="J31" s="8">
        <f t="shared" si="15"/>
        <v>0.20333598845000003</v>
      </c>
      <c r="K31" s="2" t="s">
        <v>35</v>
      </c>
      <c r="L31" s="2">
        <f>27.3/100</f>
        <v>0.27300000000000002</v>
      </c>
      <c r="M31" s="2">
        <f t="shared" si="16"/>
        <v>0.17239355542500004</v>
      </c>
    </row>
    <row r="32" spans="1:13" x14ac:dyDescent="0.25">
      <c r="A32" s="4">
        <v>25.975000000000001</v>
      </c>
      <c r="B32" s="4" t="s">
        <v>2</v>
      </c>
      <c r="C32" s="5">
        <f t="shared" si="0"/>
        <v>0.151</v>
      </c>
      <c r="D32" s="6">
        <f t="shared" si="4"/>
        <v>3.9222250000000001</v>
      </c>
      <c r="E32" s="6" t="s">
        <v>13</v>
      </c>
      <c r="F32" s="8">
        <f t="shared" si="14"/>
        <v>0.161</v>
      </c>
      <c r="G32" s="6">
        <f t="shared" si="11"/>
        <v>0.63147822500000006</v>
      </c>
      <c r="H32" s="6" t="s">
        <v>10</v>
      </c>
      <c r="I32" s="8">
        <f>5.9/100</f>
        <v>5.9000000000000004E-2</v>
      </c>
      <c r="J32" s="8">
        <f t="shared" si="15"/>
        <v>3.7257215275000005E-2</v>
      </c>
      <c r="K32" s="2" t="s">
        <v>36</v>
      </c>
      <c r="L32" s="2">
        <f>26.1/100</f>
        <v>0.26100000000000001</v>
      </c>
      <c r="M32" s="2" t="e">
        <f>#REF!*G32</f>
        <v>#REF!</v>
      </c>
    </row>
    <row r="33" spans="1:13" x14ac:dyDescent="0.25">
      <c r="A33" s="4">
        <v>25.975000000000001</v>
      </c>
      <c r="B33" s="4" t="s">
        <v>2</v>
      </c>
      <c r="C33" s="5">
        <f t="shared" si="0"/>
        <v>0.151</v>
      </c>
      <c r="D33" s="6">
        <f t="shared" si="4"/>
        <v>3.9222250000000001</v>
      </c>
      <c r="E33" s="6" t="s">
        <v>13</v>
      </c>
      <c r="F33" s="8">
        <f t="shared" si="14"/>
        <v>0.161</v>
      </c>
      <c r="G33" s="6">
        <f t="shared" si="11"/>
        <v>0.63147822500000006</v>
      </c>
      <c r="H33" s="6" t="s">
        <v>9</v>
      </c>
      <c r="I33" s="8">
        <f>20.1/100</f>
        <v>0.20100000000000001</v>
      </c>
      <c r="J33" s="8">
        <f t="shared" si="15"/>
        <v>0.12692712322500002</v>
      </c>
      <c r="K33" s="2" t="s">
        <v>37</v>
      </c>
      <c r="L33" s="2">
        <f>20.7/100</f>
        <v>0.20699999999999999</v>
      </c>
      <c r="M33" s="2">
        <f>L32*G33</f>
        <v>0.16481581672500001</v>
      </c>
    </row>
    <row r="34" spans="1:13" x14ac:dyDescent="0.25">
      <c r="A34" s="4">
        <v>25.975000000000001</v>
      </c>
      <c r="B34" s="4" t="s">
        <v>2</v>
      </c>
      <c r="C34" s="5">
        <f t="shared" si="0"/>
        <v>0.151</v>
      </c>
      <c r="D34" s="6">
        <f t="shared" si="4"/>
        <v>3.9222250000000001</v>
      </c>
      <c r="E34" s="6" t="s">
        <v>13</v>
      </c>
      <c r="F34" s="8">
        <f t="shared" si="14"/>
        <v>0.161</v>
      </c>
      <c r="G34" s="6">
        <f t="shared" si="11"/>
        <v>0.63147822500000006</v>
      </c>
      <c r="H34" s="6" t="s">
        <v>55</v>
      </c>
      <c r="I34" s="8">
        <f>1/100</f>
        <v>0.01</v>
      </c>
      <c r="J34" s="8"/>
      <c r="K34" s="2" t="s">
        <v>38</v>
      </c>
      <c r="L34" s="2">
        <f>1.5/100</f>
        <v>1.4999999999999999E-2</v>
      </c>
      <c r="M34" s="2">
        <f>L33*G34</f>
        <v>0.130715992575</v>
      </c>
    </row>
    <row r="35" spans="1:13" x14ac:dyDescent="0.25">
      <c r="A35" s="4">
        <v>25.975000000000001</v>
      </c>
      <c r="B35" s="4" t="s">
        <v>2</v>
      </c>
      <c r="C35" s="5">
        <f t="shared" si="0"/>
        <v>0.151</v>
      </c>
      <c r="D35" s="6">
        <f t="shared" si="4"/>
        <v>3.9222250000000001</v>
      </c>
      <c r="E35" s="6" t="s">
        <v>13</v>
      </c>
      <c r="F35" s="8">
        <f t="shared" si="14"/>
        <v>0.161</v>
      </c>
      <c r="G35" s="6">
        <f t="shared" si="11"/>
        <v>0.63147822500000006</v>
      </c>
      <c r="H35" s="6"/>
      <c r="I35" s="8"/>
      <c r="J35" s="8"/>
      <c r="K35" s="2" t="s">
        <v>39</v>
      </c>
      <c r="L35" s="2">
        <f>1.1/100</f>
        <v>1.1000000000000001E-2</v>
      </c>
      <c r="M35" s="2">
        <f>L34*G35</f>
        <v>9.4721733750000002E-3</v>
      </c>
    </row>
    <row r="36" spans="1:13" x14ac:dyDescent="0.25">
      <c r="A36" s="4">
        <v>25.975000000000001</v>
      </c>
      <c r="B36" s="4" t="s">
        <v>2</v>
      </c>
      <c r="C36" s="5">
        <f t="shared" si="0"/>
        <v>0.151</v>
      </c>
      <c r="D36" s="6">
        <f t="shared" si="4"/>
        <v>3.9222250000000001</v>
      </c>
      <c r="E36" s="8" t="s">
        <v>47</v>
      </c>
      <c r="F36" s="6">
        <f>10.3/100</f>
        <v>0.10300000000000001</v>
      </c>
      <c r="G36" s="6">
        <f t="shared" si="11"/>
        <v>0.40398917500000003</v>
      </c>
      <c r="H36" s="6" t="s">
        <v>11</v>
      </c>
      <c r="I36" s="6">
        <f>0/100</f>
        <v>0</v>
      </c>
      <c r="J36" s="6">
        <f>I36*G36</f>
        <v>0</v>
      </c>
      <c r="K36" s="2" t="s">
        <v>32</v>
      </c>
      <c r="L36" s="2">
        <f>0/100</f>
        <v>0</v>
      </c>
      <c r="M36" s="2">
        <f>L36*G36</f>
        <v>0</v>
      </c>
    </row>
    <row r="37" spans="1:13" x14ac:dyDescent="0.25">
      <c r="A37" s="4">
        <v>25.975000000000001</v>
      </c>
      <c r="B37" s="4" t="s">
        <v>2</v>
      </c>
      <c r="C37" s="5">
        <f t="shared" si="0"/>
        <v>0.151</v>
      </c>
      <c r="D37" s="6">
        <f t="shared" si="4"/>
        <v>3.9222250000000001</v>
      </c>
      <c r="E37" s="8" t="s">
        <v>17</v>
      </c>
      <c r="F37" s="6">
        <f t="shared" ref="F37:F43" si="17">10.3/100</f>
        <v>0.10300000000000001</v>
      </c>
      <c r="G37" s="6">
        <f t="shared" si="11"/>
        <v>0.40398917500000003</v>
      </c>
      <c r="H37" s="6" t="s">
        <v>12</v>
      </c>
      <c r="I37" s="6">
        <f>12.5/100</f>
        <v>0.125</v>
      </c>
      <c r="J37" s="6">
        <f t="shared" ref="J37:J41" si="18">I37*G37</f>
        <v>5.0498646875000004E-2</v>
      </c>
      <c r="K37" s="2" t="s">
        <v>33</v>
      </c>
      <c r="L37" s="2">
        <f>0/100</f>
        <v>0</v>
      </c>
      <c r="M37" s="2">
        <f t="shared" ref="M37:M43" si="19">L37*G37</f>
        <v>0</v>
      </c>
    </row>
    <row r="38" spans="1:13" x14ac:dyDescent="0.25">
      <c r="A38" s="4">
        <v>25.975000000000001</v>
      </c>
      <c r="B38" s="4" t="s">
        <v>2</v>
      </c>
      <c r="C38" s="5">
        <f t="shared" si="0"/>
        <v>0.151</v>
      </c>
      <c r="D38" s="6">
        <f t="shared" si="4"/>
        <v>3.9222250000000001</v>
      </c>
      <c r="E38" s="8" t="s">
        <v>17</v>
      </c>
      <c r="F38" s="6">
        <f t="shared" si="17"/>
        <v>0.10300000000000001</v>
      </c>
      <c r="G38" s="6">
        <f t="shared" si="11"/>
        <v>0.40398917500000003</v>
      </c>
      <c r="H38" s="6" t="s">
        <v>7</v>
      </c>
      <c r="I38" s="6">
        <f>0/100</f>
        <v>0</v>
      </c>
      <c r="J38" s="6">
        <f t="shared" si="18"/>
        <v>0</v>
      </c>
      <c r="K38" s="2" t="s">
        <v>34</v>
      </c>
      <c r="L38" s="2">
        <f>13.6/100</f>
        <v>0.13600000000000001</v>
      </c>
      <c r="M38" s="2">
        <f t="shared" si="19"/>
        <v>5.4942527800000009E-2</v>
      </c>
    </row>
    <row r="39" spans="1:13" x14ac:dyDescent="0.25">
      <c r="A39" s="4">
        <v>25.975000000000001</v>
      </c>
      <c r="B39" s="4" t="s">
        <v>2</v>
      </c>
      <c r="C39" s="5">
        <f t="shared" si="0"/>
        <v>0.151</v>
      </c>
      <c r="D39" s="6">
        <f t="shared" si="4"/>
        <v>3.9222250000000001</v>
      </c>
      <c r="E39" s="8" t="s">
        <v>17</v>
      </c>
      <c r="F39" s="6">
        <f t="shared" si="17"/>
        <v>0.10300000000000001</v>
      </c>
      <c r="G39" s="6">
        <f t="shared" si="11"/>
        <v>0.40398917500000003</v>
      </c>
      <c r="H39" s="6" t="s">
        <v>8</v>
      </c>
      <c r="I39" s="6">
        <f>44.2/100</f>
        <v>0.442</v>
      </c>
      <c r="J39" s="6">
        <f t="shared" si="18"/>
        <v>0.17856321535000003</v>
      </c>
      <c r="K39" s="2" t="s">
        <v>35</v>
      </c>
      <c r="L39" s="2">
        <f>15.2/100</f>
        <v>0.152</v>
      </c>
      <c r="M39" s="2">
        <f t="shared" si="19"/>
        <v>6.1406354600000004E-2</v>
      </c>
    </row>
    <row r="40" spans="1:13" x14ac:dyDescent="0.25">
      <c r="A40" s="4">
        <v>25.975000000000001</v>
      </c>
      <c r="B40" s="4" t="s">
        <v>2</v>
      </c>
      <c r="C40" s="5">
        <f t="shared" si="0"/>
        <v>0.151</v>
      </c>
      <c r="D40" s="6">
        <f t="shared" si="4"/>
        <v>3.9222250000000001</v>
      </c>
      <c r="E40" s="8" t="s">
        <v>17</v>
      </c>
      <c r="F40" s="6">
        <f t="shared" si="17"/>
        <v>0.10300000000000001</v>
      </c>
      <c r="G40" s="6">
        <f t="shared" si="11"/>
        <v>0.40398917500000003</v>
      </c>
      <c r="H40" s="6" t="s">
        <v>10</v>
      </c>
      <c r="I40" s="6">
        <f>4.4/100</f>
        <v>4.4000000000000004E-2</v>
      </c>
      <c r="J40" s="6">
        <f t="shared" si="18"/>
        <v>1.7775523700000004E-2</v>
      </c>
      <c r="K40" s="2" t="s">
        <v>36</v>
      </c>
      <c r="L40" s="2">
        <f>41.7/100</f>
        <v>0.41700000000000004</v>
      </c>
      <c r="M40" s="2">
        <f t="shared" si="19"/>
        <v>0.16846348597500002</v>
      </c>
    </row>
    <row r="41" spans="1:13" x14ac:dyDescent="0.25">
      <c r="A41" s="4">
        <v>25.975000000000001</v>
      </c>
      <c r="B41" s="4" t="s">
        <v>2</v>
      </c>
      <c r="C41" s="5">
        <f t="shared" si="0"/>
        <v>0.151</v>
      </c>
      <c r="D41" s="6">
        <f t="shared" si="4"/>
        <v>3.9222250000000001</v>
      </c>
      <c r="E41" s="8" t="s">
        <v>17</v>
      </c>
      <c r="F41" s="6">
        <f t="shared" si="17"/>
        <v>0.10300000000000001</v>
      </c>
      <c r="G41" s="6">
        <f t="shared" si="11"/>
        <v>0.40398917500000003</v>
      </c>
      <c r="H41" s="6" t="s">
        <v>9</v>
      </c>
      <c r="I41" s="6">
        <f>38.9/100</f>
        <v>0.38900000000000001</v>
      </c>
      <c r="J41" s="6">
        <f t="shared" si="18"/>
        <v>0.15715178907500002</v>
      </c>
      <c r="K41" s="2" t="s">
        <v>37</v>
      </c>
      <c r="L41" s="2">
        <f>11.5/100</f>
        <v>0.115</v>
      </c>
      <c r="M41" s="2">
        <f t="shared" si="19"/>
        <v>4.6458755125000008E-2</v>
      </c>
    </row>
    <row r="42" spans="1:13" x14ac:dyDescent="0.25">
      <c r="A42" s="4">
        <v>25.975000000000001</v>
      </c>
      <c r="B42" s="4" t="s">
        <v>2</v>
      </c>
      <c r="C42" s="5">
        <f t="shared" si="0"/>
        <v>0.151</v>
      </c>
      <c r="D42" s="6">
        <f t="shared" si="4"/>
        <v>3.9222250000000001</v>
      </c>
      <c r="E42" s="8" t="s">
        <v>17</v>
      </c>
      <c r="F42" s="6">
        <f t="shared" si="17"/>
        <v>0.10300000000000001</v>
      </c>
      <c r="G42" s="6">
        <f t="shared" si="11"/>
        <v>0.40398917500000003</v>
      </c>
      <c r="H42" s="6" t="s">
        <v>55</v>
      </c>
      <c r="I42" s="6">
        <v>0</v>
      </c>
      <c r="J42" s="6"/>
      <c r="K42" s="2" t="s">
        <v>38</v>
      </c>
      <c r="L42" s="2">
        <f>0/100</f>
        <v>0</v>
      </c>
      <c r="M42" s="2">
        <f t="shared" si="19"/>
        <v>0</v>
      </c>
    </row>
    <row r="43" spans="1:13" x14ac:dyDescent="0.25">
      <c r="A43" s="4">
        <v>25.975000000000001</v>
      </c>
      <c r="B43" s="4" t="s">
        <v>2</v>
      </c>
      <c r="C43" s="5">
        <f t="shared" si="0"/>
        <v>0.151</v>
      </c>
      <c r="D43" s="6">
        <f t="shared" si="4"/>
        <v>3.9222250000000001</v>
      </c>
      <c r="E43" s="8" t="s">
        <v>17</v>
      </c>
      <c r="F43" s="6">
        <f t="shared" si="17"/>
        <v>0.10300000000000001</v>
      </c>
      <c r="G43" s="6">
        <f t="shared" si="11"/>
        <v>0.40398917500000003</v>
      </c>
      <c r="H43" s="6"/>
      <c r="I43" s="6"/>
      <c r="J43" s="6"/>
      <c r="K43" s="2" t="s">
        <v>39</v>
      </c>
      <c r="L43" s="2">
        <f>0/100</f>
        <v>0</v>
      </c>
      <c r="M43" s="2">
        <f t="shared" si="19"/>
        <v>0</v>
      </c>
    </row>
    <row r="44" spans="1:13" x14ac:dyDescent="0.25">
      <c r="A44" s="4">
        <v>25.975000000000001</v>
      </c>
      <c r="B44" s="4" t="s">
        <v>2</v>
      </c>
      <c r="C44" s="5">
        <f t="shared" si="0"/>
        <v>0.151</v>
      </c>
      <c r="D44" s="6">
        <f t="shared" si="4"/>
        <v>3.9222250000000001</v>
      </c>
      <c r="E44" s="2" t="s">
        <v>18</v>
      </c>
      <c r="F44" s="6">
        <f>10.7/100</f>
        <v>0.107</v>
      </c>
      <c r="G44" s="6">
        <f t="shared" si="11"/>
        <v>0.41967807499999998</v>
      </c>
      <c r="H44" s="6" t="s">
        <v>11</v>
      </c>
      <c r="I44" s="8">
        <f>51.9/100</f>
        <v>0.51900000000000002</v>
      </c>
      <c r="J44" s="6">
        <f>I44*G44</f>
        <v>0.21781292092499999</v>
      </c>
      <c r="K44" s="2" t="s">
        <v>32</v>
      </c>
      <c r="L44" s="2">
        <f>5.6/100</f>
        <v>5.5999999999999994E-2</v>
      </c>
      <c r="M44" s="2">
        <f>L44*G44</f>
        <v>2.3501972199999995E-2</v>
      </c>
    </row>
    <row r="45" spans="1:13" x14ac:dyDescent="0.25">
      <c r="A45" s="4">
        <v>25.975000000000001</v>
      </c>
      <c r="B45" s="4" t="s">
        <v>2</v>
      </c>
      <c r="C45" s="5">
        <f t="shared" si="0"/>
        <v>0.151</v>
      </c>
      <c r="D45" s="6">
        <f t="shared" si="4"/>
        <v>3.9222250000000001</v>
      </c>
      <c r="E45" s="2" t="s">
        <v>18</v>
      </c>
      <c r="F45" s="6">
        <f t="shared" ref="F45:F51" si="20">10.7/100</f>
        <v>0.107</v>
      </c>
      <c r="G45" s="6">
        <f t="shared" si="11"/>
        <v>0.41967807499999998</v>
      </c>
      <c r="H45" s="6" t="s">
        <v>12</v>
      </c>
      <c r="I45" s="8">
        <f>9.4/100</f>
        <v>9.4E-2</v>
      </c>
      <c r="J45" s="6">
        <f t="shared" ref="J45:J50" si="21">I45*G45</f>
        <v>3.9449739050000002E-2</v>
      </c>
      <c r="K45" s="2" t="s">
        <v>33</v>
      </c>
      <c r="L45" s="2">
        <f>12.1/100</f>
        <v>0.121</v>
      </c>
      <c r="M45" s="2">
        <f t="shared" ref="M45:M51" si="22">L45*G45</f>
        <v>5.0781047074999995E-2</v>
      </c>
    </row>
    <row r="46" spans="1:13" x14ac:dyDescent="0.25">
      <c r="A46" s="4">
        <v>25.975000000000001</v>
      </c>
      <c r="B46" s="4" t="s">
        <v>2</v>
      </c>
      <c r="C46" s="5">
        <f t="shared" si="0"/>
        <v>0.151</v>
      </c>
      <c r="D46" s="6">
        <f t="shared" si="4"/>
        <v>3.9222250000000001</v>
      </c>
      <c r="E46" s="2" t="s">
        <v>18</v>
      </c>
      <c r="F46" s="6">
        <f t="shared" si="20"/>
        <v>0.107</v>
      </c>
      <c r="G46" s="6">
        <f t="shared" si="11"/>
        <v>0.41967807499999998</v>
      </c>
      <c r="H46" s="6" t="s">
        <v>7</v>
      </c>
      <c r="I46" s="8">
        <f>0.6/100</f>
        <v>6.0000000000000001E-3</v>
      </c>
      <c r="J46" s="6">
        <f t="shared" si="21"/>
        <v>2.51806845E-3</v>
      </c>
      <c r="K46" s="2" t="s">
        <v>34</v>
      </c>
      <c r="L46" s="2">
        <f>10.2/100</f>
        <v>0.10199999999999999</v>
      </c>
      <c r="M46" s="2">
        <f t="shared" si="22"/>
        <v>4.2807163649999994E-2</v>
      </c>
    </row>
    <row r="47" spans="1:13" x14ac:dyDescent="0.25">
      <c r="A47" s="4">
        <v>25.975000000000001</v>
      </c>
      <c r="B47" s="4" t="s">
        <v>2</v>
      </c>
      <c r="C47" s="5">
        <f t="shared" si="0"/>
        <v>0.151</v>
      </c>
      <c r="D47" s="6">
        <f t="shared" si="4"/>
        <v>3.9222250000000001</v>
      </c>
      <c r="E47" s="2" t="s">
        <v>18</v>
      </c>
      <c r="F47" s="6">
        <f t="shared" si="20"/>
        <v>0.107</v>
      </c>
      <c r="G47" s="6">
        <f t="shared" si="11"/>
        <v>0.41967807499999998</v>
      </c>
      <c r="H47" s="6" t="s">
        <v>8</v>
      </c>
      <c r="I47" s="8">
        <f>17.5/100</f>
        <v>0.17499999999999999</v>
      </c>
      <c r="J47" s="6">
        <f>I50*G47</f>
        <v>8.3935615000000003E-4</v>
      </c>
      <c r="K47" s="2" t="s">
        <v>35</v>
      </c>
      <c r="L47" s="2">
        <f>27.7/100</f>
        <v>0.27699999999999997</v>
      </c>
      <c r="M47" s="2">
        <f t="shared" si="22"/>
        <v>0.11625082677499998</v>
      </c>
    </row>
    <row r="48" spans="1:13" x14ac:dyDescent="0.25">
      <c r="A48" s="4">
        <v>25.975000000000001</v>
      </c>
      <c r="B48" s="4" t="s">
        <v>2</v>
      </c>
      <c r="C48" s="5">
        <f t="shared" si="0"/>
        <v>0.151</v>
      </c>
      <c r="D48" s="6">
        <f t="shared" si="4"/>
        <v>3.9222250000000001</v>
      </c>
      <c r="E48" s="2" t="s">
        <v>18</v>
      </c>
      <c r="F48" s="6">
        <f t="shared" si="20"/>
        <v>0.107</v>
      </c>
      <c r="G48" s="6">
        <f t="shared" si="11"/>
        <v>0.41967807499999998</v>
      </c>
      <c r="H48" s="6" t="s">
        <v>10</v>
      </c>
      <c r="I48" s="8">
        <f>2.6/100</f>
        <v>2.6000000000000002E-2</v>
      </c>
      <c r="J48" s="6">
        <f>I47*G48</f>
        <v>7.3443663124999989E-2</v>
      </c>
      <c r="K48" s="2" t="s">
        <v>36</v>
      </c>
      <c r="L48" s="2">
        <f>22/100</f>
        <v>0.22</v>
      </c>
      <c r="M48" s="2">
        <f t="shared" si="22"/>
        <v>9.2329176499999999E-2</v>
      </c>
    </row>
    <row r="49" spans="1:13" x14ac:dyDescent="0.25">
      <c r="A49" s="4">
        <v>25.975000000000001</v>
      </c>
      <c r="B49" s="4" t="s">
        <v>2</v>
      </c>
      <c r="C49" s="5">
        <f t="shared" si="0"/>
        <v>0.151</v>
      </c>
      <c r="D49" s="6">
        <f t="shared" si="4"/>
        <v>3.9222250000000001</v>
      </c>
      <c r="E49" s="2" t="s">
        <v>48</v>
      </c>
      <c r="F49" s="6">
        <f t="shared" si="20"/>
        <v>0.107</v>
      </c>
      <c r="G49" s="6">
        <f t="shared" si="11"/>
        <v>0.41967807499999998</v>
      </c>
      <c r="H49" s="6" t="s">
        <v>9</v>
      </c>
      <c r="I49" s="8">
        <f>18.1/100</f>
        <v>0.18100000000000002</v>
      </c>
      <c r="J49" s="6">
        <f t="shared" si="21"/>
        <v>7.596173157500001E-2</v>
      </c>
      <c r="K49" s="2" t="s">
        <v>37</v>
      </c>
      <c r="L49" s="2">
        <f>17/100</f>
        <v>0.17</v>
      </c>
      <c r="M49" s="2">
        <f t="shared" si="22"/>
        <v>7.1345272750000008E-2</v>
      </c>
    </row>
    <row r="50" spans="1:13" x14ac:dyDescent="0.25">
      <c r="A50" s="4">
        <v>25.975000000000001</v>
      </c>
      <c r="B50" s="4" t="s">
        <v>2</v>
      </c>
      <c r="C50" s="5">
        <f t="shared" si="0"/>
        <v>0.151</v>
      </c>
      <c r="D50" s="6">
        <f t="shared" si="4"/>
        <v>3.9222250000000001</v>
      </c>
      <c r="E50" s="2" t="s">
        <v>18</v>
      </c>
      <c r="F50" s="6">
        <f t="shared" si="20"/>
        <v>0.107</v>
      </c>
      <c r="G50" s="6">
        <f t="shared" si="11"/>
        <v>0.41967807499999998</v>
      </c>
      <c r="H50" s="6" t="s">
        <v>55</v>
      </c>
      <c r="I50" s="8">
        <f>0.2/100</f>
        <v>2E-3</v>
      </c>
      <c r="J50" s="6">
        <f t="shared" si="21"/>
        <v>8.3935615000000003E-4</v>
      </c>
      <c r="K50" s="2" t="s">
        <v>38</v>
      </c>
      <c r="L50" s="2">
        <f>3.4/100</f>
        <v>3.4000000000000002E-2</v>
      </c>
      <c r="M50" s="2">
        <f t="shared" si="22"/>
        <v>1.426905455E-2</v>
      </c>
    </row>
    <row r="51" spans="1:13" x14ac:dyDescent="0.25">
      <c r="A51" s="4">
        <v>25.975000000000001</v>
      </c>
      <c r="B51" s="4" t="s">
        <v>2</v>
      </c>
      <c r="C51" s="5">
        <f t="shared" si="0"/>
        <v>0.151</v>
      </c>
      <c r="D51" s="6">
        <f t="shared" si="4"/>
        <v>3.9222250000000001</v>
      </c>
      <c r="E51" s="2" t="s">
        <v>18</v>
      </c>
      <c r="F51" s="6">
        <f t="shared" si="20"/>
        <v>0.107</v>
      </c>
      <c r="G51" s="6">
        <f t="shared" si="11"/>
        <v>0.41967807499999998</v>
      </c>
      <c r="H51" s="6"/>
      <c r="I51" s="6"/>
      <c r="J51" s="6"/>
      <c r="K51" s="2" t="s">
        <v>39</v>
      </c>
      <c r="L51" s="2">
        <f>2/100</f>
        <v>0.02</v>
      </c>
      <c r="M51" s="2">
        <f t="shared" si="22"/>
        <v>8.3935615000000005E-3</v>
      </c>
    </row>
    <row r="52" spans="1:13" x14ac:dyDescent="0.25">
      <c r="A52" s="4">
        <v>25.975000000000001</v>
      </c>
      <c r="B52" s="2" t="s">
        <v>19</v>
      </c>
      <c r="C52" s="6">
        <f>84.9/100</f>
        <v>0.84900000000000009</v>
      </c>
      <c r="D52" s="6">
        <f t="shared" si="4"/>
        <v>22.052775000000004</v>
      </c>
      <c r="E52" s="6" t="s">
        <v>54</v>
      </c>
      <c r="F52" s="6">
        <f>82.1/100</f>
        <v>0.82099999999999995</v>
      </c>
      <c r="G52" s="6">
        <f t="shared" si="11"/>
        <v>18.105328275000002</v>
      </c>
      <c r="H52" s="6" t="s">
        <v>11</v>
      </c>
      <c r="I52" s="6">
        <f>13.6/100</f>
        <v>0.13600000000000001</v>
      </c>
      <c r="J52" s="6">
        <f>I52*G52</f>
        <v>2.4623246454000003</v>
      </c>
      <c r="K52" s="2" t="s">
        <v>32</v>
      </c>
      <c r="L52" s="2">
        <f>3.6/100</f>
        <v>3.6000000000000004E-2</v>
      </c>
      <c r="M52" s="2">
        <f>L52*G52</f>
        <v>0.65179181790000018</v>
      </c>
    </row>
    <row r="53" spans="1:13" x14ac:dyDescent="0.25">
      <c r="A53" s="4">
        <v>25.975000000000001</v>
      </c>
      <c r="B53" s="2" t="s">
        <v>19</v>
      </c>
      <c r="C53" s="6">
        <f t="shared" ref="C53:C99" si="23">84.9/100</f>
        <v>0.84900000000000009</v>
      </c>
      <c r="D53" s="6">
        <f t="shared" si="4"/>
        <v>22.052775000000004</v>
      </c>
      <c r="E53" s="6" t="s">
        <v>14</v>
      </c>
      <c r="F53" s="6">
        <f t="shared" ref="F53:F59" si="24">82.1/100</f>
        <v>0.82099999999999995</v>
      </c>
      <c r="G53" s="6">
        <f t="shared" si="11"/>
        <v>18.105328275000002</v>
      </c>
      <c r="H53" s="6" t="s">
        <v>12</v>
      </c>
      <c r="I53" s="6">
        <f>20.7/100</f>
        <v>0.20699999999999999</v>
      </c>
      <c r="J53" s="6">
        <f t="shared" ref="J53:J56" si="25">I53*G53</f>
        <v>3.7478029529250003</v>
      </c>
      <c r="K53" s="2" t="s">
        <v>33</v>
      </c>
      <c r="L53" s="2">
        <f>9.9/100</f>
        <v>9.9000000000000005E-2</v>
      </c>
      <c r="M53" s="2">
        <f t="shared" ref="M53:M59" si="26">L53*G53</f>
        <v>1.7924274992250002</v>
      </c>
    </row>
    <row r="54" spans="1:13" x14ac:dyDescent="0.25">
      <c r="A54" s="4">
        <v>25.975000000000001</v>
      </c>
      <c r="B54" s="2" t="s">
        <v>19</v>
      </c>
      <c r="C54" s="6">
        <f t="shared" si="23"/>
        <v>0.84900000000000009</v>
      </c>
      <c r="D54" s="6">
        <f t="shared" si="4"/>
        <v>22.052775000000004</v>
      </c>
      <c r="E54" s="6" t="s">
        <v>14</v>
      </c>
      <c r="F54" s="6">
        <f t="shared" si="24"/>
        <v>0.82099999999999995</v>
      </c>
      <c r="G54" s="6">
        <f t="shared" si="11"/>
        <v>18.105328275000002</v>
      </c>
      <c r="H54" s="6" t="s">
        <v>7</v>
      </c>
      <c r="I54" s="14">
        <f>1.5/100</f>
        <v>1.4999999999999999E-2</v>
      </c>
      <c r="J54" s="6">
        <f t="shared" si="25"/>
        <v>0.27157992412500004</v>
      </c>
      <c r="K54" s="2" t="s">
        <v>34</v>
      </c>
      <c r="L54" s="2">
        <f>16.9/100</f>
        <v>0.16899999999999998</v>
      </c>
      <c r="M54" s="2">
        <f t="shared" si="26"/>
        <v>3.0598004784750001</v>
      </c>
    </row>
    <row r="55" spans="1:13" x14ac:dyDescent="0.25">
      <c r="A55" s="4">
        <v>25.975000000000001</v>
      </c>
      <c r="B55" s="2" t="s">
        <v>19</v>
      </c>
      <c r="C55" s="6">
        <f t="shared" si="23"/>
        <v>0.84900000000000009</v>
      </c>
      <c r="D55" s="6">
        <f t="shared" si="4"/>
        <v>22.052775000000004</v>
      </c>
      <c r="E55" s="6" t="s">
        <v>14</v>
      </c>
      <c r="F55" s="6">
        <f t="shared" si="24"/>
        <v>0.82099999999999995</v>
      </c>
      <c r="G55" s="6">
        <f t="shared" si="11"/>
        <v>18.105328275000002</v>
      </c>
      <c r="H55" s="6" t="s">
        <v>8</v>
      </c>
      <c r="I55" s="6">
        <f>33.8/100</f>
        <v>0.33799999999999997</v>
      </c>
      <c r="J55" s="6">
        <f t="shared" si="25"/>
        <v>6.1196009569500003</v>
      </c>
      <c r="K55" s="2" t="s">
        <v>35</v>
      </c>
      <c r="L55" s="2">
        <f>26.7/100</f>
        <v>0.26700000000000002</v>
      </c>
      <c r="M55" s="2">
        <f t="shared" si="26"/>
        <v>4.8341226494250007</v>
      </c>
    </row>
    <row r="56" spans="1:13" x14ac:dyDescent="0.25">
      <c r="A56" s="4">
        <v>25.975000000000001</v>
      </c>
      <c r="B56" s="2" t="s">
        <v>19</v>
      </c>
      <c r="C56" s="6">
        <f t="shared" si="23"/>
        <v>0.84900000000000009</v>
      </c>
      <c r="D56" s="6">
        <f t="shared" si="4"/>
        <v>22.052775000000004</v>
      </c>
      <c r="E56" s="6" t="s">
        <v>14</v>
      </c>
      <c r="F56" s="6">
        <f t="shared" si="24"/>
        <v>0.82099999999999995</v>
      </c>
      <c r="G56" s="6">
        <f t="shared" si="11"/>
        <v>18.105328275000002</v>
      </c>
      <c r="H56" s="6" t="s">
        <v>10</v>
      </c>
      <c r="I56" s="6">
        <f>4.6/100</f>
        <v>4.5999999999999999E-2</v>
      </c>
      <c r="J56" s="6">
        <f t="shared" si="25"/>
        <v>0.83284510065000006</v>
      </c>
      <c r="K56" s="2" t="s">
        <v>36</v>
      </c>
      <c r="L56" s="2">
        <f>22.1/100</f>
        <v>0.221</v>
      </c>
      <c r="M56" s="2">
        <f t="shared" si="26"/>
        <v>4.0012775487750005</v>
      </c>
    </row>
    <row r="57" spans="1:13" x14ac:dyDescent="0.25">
      <c r="A57" s="4">
        <v>25.975000000000001</v>
      </c>
      <c r="B57" s="2" t="s">
        <v>19</v>
      </c>
      <c r="C57" s="6">
        <f t="shared" si="23"/>
        <v>0.84900000000000009</v>
      </c>
      <c r="D57" s="6">
        <f t="shared" si="4"/>
        <v>22.052775000000004</v>
      </c>
      <c r="E57" s="6" t="s">
        <v>14</v>
      </c>
      <c r="F57" s="6">
        <f t="shared" si="24"/>
        <v>0.82099999999999995</v>
      </c>
      <c r="G57" s="6">
        <f t="shared" si="11"/>
        <v>18.105328275000002</v>
      </c>
      <c r="H57" s="6" t="s">
        <v>9</v>
      </c>
      <c r="I57" s="6">
        <f>23.2/100</f>
        <v>0.23199999999999998</v>
      </c>
      <c r="J57" s="6">
        <f>I58*G57</f>
        <v>0.47073853515000008</v>
      </c>
      <c r="K57" s="2" t="s">
        <v>37</v>
      </c>
      <c r="L57" s="2">
        <f>17/100</f>
        <v>0.17</v>
      </c>
      <c r="M57" s="2">
        <f t="shared" si="26"/>
        <v>3.0779058067500005</v>
      </c>
    </row>
    <row r="58" spans="1:13" x14ac:dyDescent="0.25">
      <c r="A58" s="4">
        <v>25.975000000000001</v>
      </c>
      <c r="B58" s="2" t="s">
        <v>19</v>
      </c>
      <c r="C58" s="6">
        <f t="shared" si="23"/>
        <v>0.84900000000000009</v>
      </c>
      <c r="D58" s="6">
        <f t="shared" si="4"/>
        <v>22.052775000000004</v>
      </c>
      <c r="E58" s="6" t="s">
        <v>14</v>
      </c>
      <c r="F58" s="6">
        <f t="shared" si="24"/>
        <v>0.82099999999999995</v>
      </c>
      <c r="G58" s="6">
        <f t="shared" si="11"/>
        <v>18.105328275000002</v>
      </c>
      <c r="H58" s="6" t="s">
        <v>55</v>
      </c>
      <c r="I58" s="6">
        <f>2.6/100</f>
        <v>2.6000000000000002E-2</v>
      </c>
      <c r="J58" s="6"/>
      <c r="K58" s="2" t="s">
        <v>38</v>
      </c>
      <c r="L58" s="2">
        <f>2.6/100</f>
        <v>2.6000000000000002E-2</v>
      </c>
      <c r="M58" s="2">
        <f t="shared" si="26"/>
        <v>0.47073853515000008</v>
      </c>
    </row>
    <row r="59" spans="1:13" x14ac:dyDescent="0.25">
      <c r="A59" s="4">
        <v>25.975000000000001</v>
      </c>
      <c r="B59" s="2" t="s">
        <v>19</v>
      </c>
      <c r="C59" s="6">
        <f t="shared" si="23"/>
        <v>0.84900000000000009</v>
      </c>
      <c r="D59" s="6">
        <f t="shared" si="4"/>
        <v>22.052775000000004</v>
      </c>
      <c r="E59" s="6" t="s">
        <v>14</v>
      </c>
      <c r="F59" s="6">
        <f t="shared" si="24"/>
        <v>0.82099999999999995</v>
      </c>
      <c r="G59" s="6">
        <f t="shared" si="11"/>
        <v>18.105328275000002</v>
      </c>
      <c r="H59" s="6"/>
      <c r="I59" s="6"/>
      <c r="J59" s="6"/>
      <c r="K59" s="2" t="s">
        <v>39</v>
      </c>
      <c r="L59" s="2">
        <f>1.1/100</f>
        <v>1.1000000000000001E-2</v>
      </c>
      <c r="M59" s="2">
        <f t="shared" si="26"/>
        <v>0.19915861102500004</v>
      </c>
    </row>
    <row r="60" spans="1:13" x14ac:dyDescent="0.25">
      <c r="A60" s="4">
        <v>25.975000000000001</v>
      </c>
      <c r="B60" s="2" t="s">
        <v>19</v>
      </c>
      <c r="C60" s="6">
        <f t="shared" si="23"/>
        <v>0.84900000000000009</v>
      </c>
      <c r="D60" s="6">
        <f t="shared" si="4"/>
        <v>22.052775000000004</v>
      </c>
      <c r="E60" s="6" t="s">
        <v>52</v>
      </c>
      <c r="F60" s="6">
        <f>86.9/100</f>
        <v>0.86900000000000011</v>
      </c>
      <c r="G60" s="6">
        <f t="shared" si="11"/>
        <v>19.163861475000004</v>
      </c>
      <c r="H60" s="6" t="s">
        <v>11</v>
      </c>
      <c r="I60" s="6">
        <f>10.3/100</f>
        <v>0.10300000000000001</v>
      </c>
      <c r="J60" s="6">
        <f>I60*G60</f>
        <v>1.9738777319250007</v>
      </c>
      <c r="K60" s="2" t="s">
        <v>32</v>
      </c>
      <c r="L60" s="2">
        <f>1.3/100</f>
        <v>1.3000000000000001E-2</v>
      </c>
      <c r="M60" s="2">
        <f>L60*G60</f>
        <v>0.24913019917500007</v>
      </c>
    </row>
    <row r="61" spans="1:13" x14ac:dyDescent="0.25">
      <c r="A61" s="4">
        <v>25.975000000000001</v>
      </c>
      <c r="B61" s="2" t="s">
        <v>19</v>
      </c>
      <c r="C61" s="6">
        <f t="shared" si="23"/>
        <v>0.84900000000000009</v>
      </c>
      <c r="D61" s="6">
        <f t="shared" si="4"/>
        <v>22.052775000000004</v>
      </c>
      <c r="E61" s="6" t="s">
        <v>15</v>
      </c>
      <c r="F61" s="6">
        <f t="shared" ref="F61:F67" si="27">86.9/100</f>
        <v>0.86900000000000011</v>
      </c>
      <c r="G61" s="6">
        <f t="shared" si="11"/>
        <v>19.163861475000004</v>
      </c>
      <c r="H61" s="6" t="s">
        <v>12</v>
      </c>
      <c r="I61" s="6">
        <f>18.3/100</f>
        <v>0.183</v>
      </c>
      <c r="J61" s="6">
        <f t="shared" ref="J61:J65" si="28">I61*G61</f>
        <v>3.5069866499250009</v>
      </c>
      <c r="K61" s="2" t="s">
        <v>33</v>
      </c>
      <c r="L61" s="2">
        <f>9.4/100</f>
        <v>9.4E-2</v>
      </c>
      <c r="M61" s="2">
        <f t="shared" ref="M61:M67" si="29">L61*G61</f>
        <v>1.8014029786500003</v>
      </c>
    </row>
    <row r="62" spans="1:13" x14ac:dyDescent="0.25">
      <c r="A62" s="4">
        <v>25.975000000000001</v>
      </c>
      <c r="B62" s="2" t="s">
        <v>19</v>
      </c>
      <c r="C62" s="6">
        <f t="shared" si="23"/>
        <v>0.84900000000000009</v>
      </c>
      <c r="D62" s="6">
        <f t="shared" si="4"/>
        <v>22.052775000000004</v>
      </c>
      <c r="E62" s="6" t="s">
        <v>15</v>
      </c>
      <c r="F62" s="6">
        <f t="shared" si="27"/>
        <v>0.86900000000000011</v>
      </c>
      <c r="G62" s="6">
        <f t="shared" si="11"/>
        <v>19.163861475000004</v>
      </c>
      <c r="H62" s="6" t="s">
        <v>7</v>
      </c>
      <c r="I62" s="6">
        <f>0.6/100</f>
        <v>6.0000000000000001E-3</v>
      </c>
      <c r="J62" s="6">
        <f t="shared" si="28"/>
        <v>0.11498316885000003</v>
      </c>
      <c r="K62" s="2" t="s">
        <v>34</v>
      </c>
      <c r="L62" s="2">
        <f>20.7/100</f>
        <v>0.20699999999999999</v>
      </c>
      <c r="M62" s="2">
        <f t="shared" si="29"/>
        <v>3.9669193253250006</v>
      </c>
    </row>
    <row r="63" spans="1:13" x14ac:dyDescent="0.25">
      <c r="A63" s="4">
        <v>25.975000000000001</v>
      </c>
      <c r="B63" s="2" t="s">
        <v>19</v>
      </c>
      <c r="C63" s="6">
        <f t="shared" si="23"/>
        <v>0.84900000000000009</v>
      </c>
      <c r="D63" s="6">
        <f t="shared" si="4"/>
        <v>22.052775000000004</v>
      </c>
      <c r="E63" s="6" t="s">
        <v>15</v>
      </c>
      <c r="F63" s="6">
        <f t="shared" si="27"/>
        <v>0.86900000000000011</v>
      </c>
      <c r="G63" s="6">
        <f t="shared" si="11"/>
        <v>19.163861475000004</v>
      </c>
      <c r="H63" s="6" t="s">
        <v>8</v>
      </c>
      <c r="I63" s="6">
        <f>39.2/100</f>
        <v>0.39200000000000002</v>
      </c>
      <c r="J63" s="6">
        <f t="shared" si="28"/>
        <v>7.512233698200002</v>
      </c>
      <c r="K63" s="2" t="s">
        <v>35</v>
      </c>
      <c r="L63" s="2">
        <f>31.7/100</f>
        <v>0.317</v>
      </c>
      <c r="M63" s="2">
        <f t="shared" si="29"/>
        <v>6.0749440875750018</v>
      </c>
    </row>
    <row r="64" spans="1:13" x14ac:dyDescent="0.25">
      <c r="A64" s="4">
        <v>25.975000000000001</v>
      </c>
      <c r="B64" s="2" t="s">
        <v>19</v>
      </c>
      <c r="C64" s="6">
        <f t="shared" si="23"/>
        <v>0.84900000000000009</v>
      </c>
      <c r="D64" s="6">
        <f t="shared" si="4"/>
        <v>22.052775000000004</v>
      </c>
      <c r="E64" s="6" t="s">
        <v>15</v>
      </c>
      <c r="F64" s="6">
        <f t="shared" si="27"/>
        <v>0.86900000000000011</v>
      </c>
      <c r="G64" s="6">
        <f t="shared" si="11"/>
        <v>19.163861475000004</v>
      </c>
      <c r="H64" s="6" t="s">
        <v>10</v>
      </c>
      <c r="I64" s="6">
        <f>8/100</f>
        <v>0.08</v>
      </c>
      <c r="J64" s="6">
        <f t="shared" si="28"/>
        <v>1.5331089180000004</v>
      </c>
      <c r="K64" s="2" t="s">
        <v>36</v>
      </c>
      <c r="L64" s="2">
        <f>24.1/100</f>
        <v>0.24100000000000002</v>
      </c>
      <c r="M64" s="2">
        <f t="shared" si="29"/>
        <v>4.6184906154750012</v>
      </c>
    </row>
    <row r="65" spans="1:13" x14ac:dyDescent="0.25">
      <c r="A65" s="4">
        <v>25.975000000000001</v>
      </c>
      <c r="B65" s="2" t="s">
        <v>19</v>
      </c>
      <c r="C65" s="6">
        <f t="shared" si="23"/>
        <v>0.84900000000000009</v>
      </c>
      <c r="D65" s="6">
        <f t="shared" si="4"/>
        <v>22.052775000000004</v>
      </c>
      <c r="E65" s="6" t="s">
        <v>15</v>
      </c>
      <c r="F65" s="6">
        <f t="shared" si="27"/>
        <v>0.86900000000000011</v>
      </c>
      <c r="G65" s="6">
        <f t="shared" si="11"/>
        <v>19.163861475000004</v>
      </c>
      <c r="H65" s="6" t="s">
        <v>9</v>
      </c>
      <c r="I65" s="6">
        <f>20.4/100</f>
        <v>0.20399999999999999</v>
      </c>
      <c r="J65" s="6">
        <f t="shared" si="28"/>
        <v>3.9094277409000004</v>
      </c>
      <c r="K65" s="2" t="s">
        <v>37</v>
      </c>
      <c r="L65" s="2">
        <f>11.5/100</f>
        <v>0.115</v>
      </c>
      <c r="M65" s="2">
        <f t="shared" si="29"/>
        <v>2.2038440696250006</v>
      </c>
    </row>
    <row r="66" spans="1:13" x14ac:dyDescent="0.25">
      <c r="A66" s="4">
        <v>25.975000000000001</v>
      </c>
      <c r="B66" s="2" t="s">
        <v>19</v>
      </c>
      <c r="C66" s="6">
        <f t="shared" si="23"/>
        <v>0.84900000000000009</v>
      </c>
      <c r="D66" s="6">
        <f t="shared" si="4"/>
        <v>22.052775000000004</v>
      </c>
      <c r="E66" s="6" t="s">
        <v>15</v>
      </c>
      <c r="F66" s="6">
        <f t="shared" si="27"/>
        <v>0.86900000000000011</v>
      </c>
      <c r="G66" s="6">
        <f t="shared" si="11"/>
        <v>19.163861475000004</v>
      </c>
      <c r="H66" s="6" t="s">
        <v>55</v>
      </c>
      <c r="I66" s="6">
        <f>3.2/100</f>
        <v>3.2000000000000001E-2</v>
      </c>
      <c r="J66" s="6"/>
      <c r="K66" s="2" t="s">
        <v>38</v>
      </c>
      <c r="L66" s="2">
        <f>1.1/100</f>
        <v>1.1000000000000001E-2</v>
      </c>
      <c r="M66" s="2">
        <f t="shared" si="29"/>
        <v>0.21080247622500006</v>
      </c>
    </row>
    <row r="67" spans="1:13" x14ac:dyDescent="0.25">
      <c r="A67" s="4">
        <v>25.975000000000001</v>
      </c>
      <c r="B67" s="2" t="s">
        <v>19</v>
      </c>
      <c r="C67" s="6">
        <f t="shared" si="23"/>
        <v>0.84900000000000009</v>
      </c>
      <c r="D67" s="6">
        <f t="shared" si="4"/>
        <v>22.052775000000004</v>
      </c>
      <c r="E67" s="6" t="s">
        <v>15</v>
      </c>
      <c r="F67" s="6">
        <f t="shared" si="27"/>
        <v>0.86900000000000011</v>
      </c>
      <c r="G67" s="6">
        <f t="shared" si="11"/>
        <v>19.163861475000004</v>
      </c>
      <c r="H67" s="6"/>
      <c r="I67" s="6"/>
      <c r="J67" s="6"/>
      <c r="K67" s="2" t="s">
        <v>39</v>
      </c>
      <c r="L67" s="2">
        <f>0.2/100</f>
        <v>2E-3</v>
      </c>
      <c r="M67" s="2">
        <f t="shared" si="29"/>
        <v>3.8327722950000011E-2</v>
      </c>
    </row>
    <row r="68" spans="1:13" x14ac:dyDescent="0.25">
      <c r="A68" s="4">
        <v>25.975000000000001</v>
      </c>
      <c r="B68" s="2" t="s">
        <v>19</v>
      </c>
      <c r="C68" s="6">
        <f t="shared" si="23"/>
        <v>0.84900000000000009</v>
      </c>
      <c r="D68" s="6">
        <f t="shared" si="4"/>
        <v>22.052775000000004</v>
      </c>
      <c r="E68" s="6" t="s">
        <v>53</v>
      </c>
      <c r="F68" s="6">
        <f>84.4/100</f>
        <v>0.84400000000000008</v>
      </c>
      <c r="G68" s="6">
        <f t="shared" si="11"/>
        <v>18.612542100000006</v>
      </c>
      <c r="H68" s="6" t="s">
        <v>11</v>
      </c>
      <c r="I68" s="6">
        <f>16.3/100</f>
        <v>0.16300000000000001</v>
      </c>
      <c r="J68" s="6">
        <f>I68*G68</f>
        <v>3.0338443623000009</v>
      </c>
      <c r="K68" s="2" t="s">
        <v>32</v>
      </c>
      <c r="L68" s="2">
        <f>5.3/100</f>
        <v>5.2999999999999999E-2</v>
      </c>
      <c r="M68" s="2">
        <f>L68*G68</f>
        <v>0.98646473130000034</v>
      </c>
    </row>
    <row r="69" spans="1:13" x14ac:dyDescent="0.25">
      <c r="A69" s="4">
        <v>25.975000000000001</v>
      </c>
      <c r="B69" s="2" t="s">
        <v>19</v>
      </c>
      <c r="C69" s="6">
        <f t="shared" si="23"/>
        <v>0.84900000000000009</v>
      </c>
      <c r="D69" s="6">
        <f t="shared" si="4"/>
        <v>22.052775000000004</v>
      </c>
      <c r="E69" s="6" t="s">
        <v>16</v>
      </c>
      <c r="F69" s="6">
        <f t="shared" ref="F69:F75" si="30">84.4/100</f>
        <v>0.84400000000000008</v>
      </c>
      <c r="G69" s="6">
        <f t="shared" si="11"/>
        <v>18.612542100000006</v>
      </c>
      <c r="H69" s="6" t="s">
        <v>12</v>
      </c>
      <c r="I69" s="6">
        <f>20.5/100</f>
        <v>0.20499999999999999</v>
      </c>
      <c r="J69" s="6">
        <f t="shared" ref="J69:J73" si="31">I69*G69</f>
        <v>3.8155711305000009</v>
      </c>
      <c r="K69" s="2" t="s">
        <v>33</v>
      </c>
      <c r="L69" s="2">
        <f>11.3/100</f>
        <v>0.113</v>
      </c>
      <c r="M69" s="2">
        <f t="shared" ref="M69:M75" si="32">L69*G69</f>
        <v>2.1032172573000008</v>
      </c>
    </row>
    <row r="70" spans="1:13" x14ac:dyDescent="0.25">
      <c r="A70" s="4">
        <v>25.975000000000001</v>
      </c>
      <c r="B70" s="2" t="s">
        <v>19</v>
      </c>
      <c r="C70" s="6">
        <f t="shared" si="23"/>
        <v>0.84900000000000009</v>
      </c>
      <c r="D70" s="6">
        <f t="shared" si="4"/>
        <v>22.052775000000004</v>
      </c>
      <c r="E70" s="6" t="s">
        <v>16</v>
      </c>
      <c r="F70" s="6">
        <f t="shared" si="30"/>
        <v>0.84400000000000008</v>
      </c>
      <c r="G70" s="6">
        <f t="shared" si="11"/>
        <v>18.612542100000006</v>
      </c>
      <c r="H70" s="6" t="s">
        <v>7</v>
      </c>
      <c r="I70" s="6">
        <f>1.3/100</f>
        <v>1.3000000000000001E-2</v>
      </c>
      <c r="J70" s="6">
        <f t="shared" si="31"/>
        <v>0.24196304730000009</v>
      </c>
      <c r="K70" s="2" t="s">
        <v>34</v>
      </c>
      <c r="L70" s="2">
        <f>15.5/100</f>
        <v>0.155</v>
      </c>
      <c r="M70" s="2">
        <f t="shared" si="32"/>
        <v>2.8849440255000007</v>
      </c>
    </row>
    <row r="71" spans="1:13" x14ac:dyDescent="0.25">
      <c r="A71" s="4">
        <v>25.975000000000001</v>
      </c>
      <c r="B71" s="2" t="s">
        <v>19</v>
      </c>
      <c r="C71" s="6">
        <f t="shared" si="23"/>
        <v>0.84900000000000009</v>
      </c>
      <c r="D71" s="6">
        <f t="shared" si="4"/>
        <v>22.052775000000004</v>
      </c>
      <c r="E71" s="6" t="s">
        <v>16</v>
      </c>
      <c r="F71" s="6">
        <f t="shared" si="30"/>
        <v>0.84400000000000008</v>
      </c>
      <c r="G71" s="6">
        <f t="shared" si="11"/>
        <v>18.612542100000006</v>
      </c>
      <c r="H71" s="6" t="s">
        <v>8</v>
      </c>
      <c r="I71" s="6">
        <f>37.1/100</f>
        <v>0.371</v>
      </c>
      <c r="J71" s="6">
        <f t="shared" si="31"/>
        <v>6.9052531191000019</v>
      </c>
      <c r="K71" s="2" t="s">
        <v>35</v>
      </c>
      <c r="L71" s="2">
        <f>26.2/100</f>
        <v>0.26200000000000001</v>
      </c>
      <c r="M71" s="2">
        <f t="shared" si="32"/>
        <v>4.8764860302000015</v>
      </c>
    </row>
    <row r="72" spans="1:13" x14ac:dyDescent="0.25">
      <c r="A72" s="4">
        <v>25.975000000000001</v>
      </c>
      <c r="B72" s="2" t="s">
        <v>19</v>
      </c>
      <c r="C72" s="6">
        <f t="shared" si="23"/>
        <v>0.84900000000000009</v>
      </c>
      <c r="D72" s="6">
        <f t="shared" si="4"/>
        <v>22.052775000000004</v>
      </c>
      <c r="E72" s="6" t="s">
        <v>16</v>
      </c>
      <c r="F72" s="6">
        <f t="shared" si="30"/>
        <v>0.84400000000000008</v>
      </c>
      <c r="G72" s="6">
        <f t="shared" si="11"/>
        <v>18.612542100000006</v>
      </c>
      <c r="H72" s="6" t="s">
        <v>10</v>
      </c>
      <c r="I72" s="6">
        <f>4.7/100</f>
        <v>4.7E-2</v>
      </c>
      <c r="J72" s="6">
        <f t="shared" si="31"/>
        <v>0.87478947870000023</v>
      </c>
      <c r="K72" s="2" t="s">
        <v>36</v>
      </c>
      <c r="L72" s="2">
        <f>20.8/100</f>
        <v>0.20800000000000002</v>
      </c>
      <c r="M72" s="2">
        <f t="shared" si="32"/>
        <v>3.8714087568000015</v>
      </c>
    </row>
    <row r="73" spans="1:13" x14ac:dyDescent="0.25">
      <c r="A73" s="4">
        <v>25.975000000000001</v>
      </c>
      <c r="B73" s="2" t="s">
        <v>19</v>
      </c>
      <c r="C73" s="6">
        <f t="shared" si="23"/>
        <v>0.84900000000000009</v>
      </c>
      <c r="D73" s="6">
        <f t="shared" si="4"/>
        <v>22.052775000000004</v>
      </c>
      <c r="E73" s="6" t="s">
        <v>16</v>
      </c>
      <c r="F73" s="6">
        <f t="shared" si="30"/>
        <v>0.84400000000000008</v>
      </c>
      <c r="G73" s="6">
        <f t="shared" si="11"/>
        <v>18.612542100000006</v>
      </c>
      <c r="H73" s="6" t="s">
        <v>9</v>
      </c>
      <c r="I73" s="6">
        <f>18.4/100</f>
        <v>0.184</v>
      </c>
      <c r="J73" s="6">
        <f t="shared" si="31"/>
        <v>3.4247077464000011</v>
      </c>
      <c r="K73" s="2" t="s">
        <v>37</v>
      </c>
      <c r="L73" s="2">
        <f>17.6/100</f>
        <v>0.17600000000000002</v>
      </c>
      <c r="M73" s="2">
        <f t="shared" si="32"/>
        <v>3.2758074096000014</v>
      </c>
    </row>
    <row r="74" spans="1:13" x14ac:dyDescent="0.25">
      <c r="A74" s="4">
        <v>25.975000000000001</v>
      </c>
      <c r="B74" s="2" t="s">
        <v>19</v>
      </c>
      <c r="C74" s="6">
        <f t="shared" si="23"/>
        <v>0.84900000000000009</v>
      </c>
      <c r="D74" s="6">
        <f t="shared" si="4"/>
        <v>22.052775000000004</v>
      </c>
      <c r="E74" s="6" t="s">
        <v>16</v>
      </c>
      <c r="F74" s="6">
        <f t="shared" si="30"/>
        <v>0.84400000000000008</v>
      </c>
      <c r="G74" s="6">
        <f t="shared" si="11"/>
        <v>18.612542100000006</v>
      </c>
      <c r="H74" s="6" t="s">
        <v>55</v>
      </c>
      <c r="I74" s="6">
        <f>1.7/100</f>
        <v>1.7000000000000001E-2</v>
      </c>
      <c r="J74" s="6"/>
      <c r="K74" s="2" t="s">
        <v>38</v>
      </c>
      <c r="L74" s="2">
        <f>2.3/100</f>
        <v>2.3E-2</v>
      </c>
      <c r="M74" s="2">
        <f t="shared" si="32"/>
        <v>0.42808846830000014</v>
      </c>
    </row>
    <row r="75" spans="1:13" x14ac:dyDescent="0.25">
      <c r="A75" s="4">
        <v>25.975000000000001</v>
      </c>
      <c r="B75" s="2" t="s">
        <v>19</v>
      </c>
      <c r="C75" s="6">
        <f t="shared" si="23"/>
        <v>0.84900000000000009</v>
      </c>
      <c r="D75" s="6">
        <f t="shared" si="4"/>
        <v>22.052775000000004</v>
      </c>
      <c r="E75" s="6" t="s">
        <v>16</v>
      </c>
      <c r="F75" s="6">
        <f t="shared" si="30"/>
        <v>0.84400000000000008</v>
      </c>
      <c r="G75" s="6">
        <f t="shared" si="11"/>
        <v>18.612542100000006</v>
      </c>
      <c r="H75" s="6"/>
      <c r="I75" s="6"/>
      <c r="J75" s="6"/>
      <c r="K75" s="2" t="s">
        <v>39</v>
      </c>
      <c r="L75" s="2">
        <f>1/100</f>
        <v>0.01</v>
      </c>
      <c r="M75" s="2">
        <f t="shared" si="32"/>
        <v>0.18612542100000007</v>
      </c>
    </row>
    <row r="76" spans="1:13" x14ac:dyDescent="0.25">
      <c r="A76" s="4">
        <v>25.975000000000001</v>
      </c>
      <c r="B76" s="2" t="s">
        <v>19</v>
      </c>
      <c r="C76" s="6">
        <f t="shared" si="23"/>
        <v>0.84900000000000009</v>
      </c>
      <c r="D76" s="6">
        <f t="shared" si="4"/>
        <v>22.052775000000004</v>
      </c>
      <c r="E76" s="2" t="s">
        <v>51</v>
      </c>
      <c r="F76" s="6">
        <f>82.1/100</f>
        <v>0.82099999999999995</v>
      </c>
      <c r="G76" s="6">
        <f t="shared" si="11"/>
        <v>18.105328275000002</v>
      </c>
      <c r="H76" s="6" t="s">
        <v>11</v>
      </c>
      <c r="I76" s="6">
        <f>20.1/100</f>
        <v>0.20100000000000001</v>
      </c>
      <c r="J76" s="8">
        <f>I76*G76</f>
        <v>3.6391709832750005</v>
      </c>
      <c r="K76" s="2" t="s">
        <v>32</v>
      </c>
      <c r="L76" s="2">
        <f>4.7/100</f>
        <v>4.7E-2</v>
      </c>
      <c r="M76" s="2">
        <f>L76*G76</f>
        <v>0.85095042892500006</v>
      </c>
    </row>
    <row r="77" spans="1:13" x14ac:dyDescent="0.25">
      <c r="A77" s="4">
        <v>25.975000000000001</v>
      </c>
      <c r="B77" s="2" t="s">
        <v>19</v>
      </c>
      <c r="C77" s="6">
        <f t="shared" si="23"/>
        <v>0.84900000000000009</v>
      </c>
      <c r="D77" s="6">
        <f t="shared" si="4"/>
        <v>22.052775000000004</v>
      </c>
      <c r="E77" s="2" t="s">
        <v>13</v>
      </c>
      <c r="F77" s="6">
        <f t="shared" ref="F77:F83" si="33">82.1/100</f>
        <v>0.82099999999999995</v>
      </c>
      <c r="G77" s="6">
        <f t="shared" si="11"/>
        <v>18.105328275000002</v>
      </c>
      <c r="H77" s="6" t="s">
        <v>12</v>
      </c>
      <c r="I77" s="6">
        <f>23/100</f>
        <v>0.23</v>
      </c>
      <c r="J77" s="8">
        <f t="shared" ref="J77:J81" si="34">I77*G77</f>
        <v>4.1642255032500008</v>
      </c>
      <c r="K77" s="2" t="s">
        <v>33</v>
      </c>
      <c r="L77" s="2">
        <f>11.3/100</f>
        <v>0.113</v>
      </c>
      <c r="M77" s="2">
        <f t="shared" ref="M77:M83" si="35">L77*G77</f>
        <v>2.0459020950750002</v>
      </c>
    </row>
    <row r="78" spans="1:13" x14ac:dyDescent="0.25">
      <c r="A78" s="4">
        <v>25.975000000000001</v>
      </c>
      <c r="B78" s="2" t="s">
        <v>19</v>
      </c>
      <c r="C78" s="6">
        <f t="shared" si="23"/>
        <v>0.84900000000000009</v>
      </c>
      <c r="D78" s="6">
        <f t="shared" si="4"/>
        <v>22.052775000000004</v>
      </c>
      <c r="E78" s="2" t="s">
        <v>13</v>
      </c>
      <c r="F78" s="6">
        <f t="shared" si="33"/>
        <v>0.82099999999999995</v>
      </c>
      <c r="G78" s="6">
        <f t="shared" si="11"/>
        <v>18.105328275000002</v>
      </c>
      <c r="H78" s="6" t="s">
        <v>7</v>
      </c>
      <c r="I78" s="6">
        <f>2.2/100</f>
        <v>2.2000000000000002E-2</v>
      </c>
      <c r="J78" s="8">
        <f t="shared" si="34"/>
        <v>0.39831722205000009</v>
      </c>
      <c r="K78" s="2" t="s">
        <v>34</v>
      </c>
      <c r="L78" s="2">
        <f>16.5/100</f>
        <v>0.16500000000000001</v>
      </c>
      <c r="M78" s="2">
        <f t="shared" si="35"/>
        <v>2.9873791653750006</v>
      </c>
    </row>
    <row r="79" spans="1:13" x14ac:dyDescent="0.25">
      <c r="A79" s="4">
        <v>25.975000000000001</v>
      </c>
      <c r="B79" s="2" t="s">
        <v>19</v>
      </c>
      <c r="C79" s="6">
        <f t="shared" si="23"/>
        <v>0.84900000000000009</v>
      </c>
      <c r="D79" s="6">
        <f t="shared" si="4"/>
        <v>22.052775000000004</v>
      </c>
      <c r="E79" s="2" t="s">
        <v>13</v>
      </c>
      <c r="F79" s="6">
        <f t="shared" si="33"/>
        <v>0.82099999999999995</v>
      </c>
      <c r="G79" s="6">
        <f t="shared" si="11"/>
        <v>18.105328275000002</v>
      </c>
      <c r="H79" s="6" t="s">
        <v>8</v>
      </c>
      <c r="I79" s="6">
        <f>36.8/100</f>
        <v>0.36799999999999999</v>
      </c>
      <c r="J79" s="8">
        <f t="shared" si="34"/>
        <v>6.6627608052000005</v>
      </c>
      <c r="K79" s="2" t="s">
        <v>35</v>
      </c>
      <c r="L79" s="2">
        <f>26.5/100</f>
        <v>0.26500000000000001</v>
      </c>
      <c r="M79" s="2">
        <f t="shared" si="35"/>
        <v>4.7979119928750009</v>
      </c>
    </row>
    <row r="80" spans="1:13" x14ac:dyDescent="0.25">
      <c r="A80" s="4">
        <v>25.975000000000001</v>
      </c>
      <c r="B80" s="2" t="s">
        <v>19</v>
      </c>
      <c r="C80" s="6">
        <f t="shared" si="23"/>
        <v>0.84900000000000009</v>
      </c>
      <c r="D80" s="6">
        <f t="shared" si="4"/>
        <v>22.052775000000004</v>
      </c>
      <c r="E80" s="2" t="s">
        <v>13</v>
      </c>
      <c r="F80" s="6">
        <f t="shared" si="33"/>
        <v>0.82099999999999995</v>
      </c>
      <c r="G80" s="6">
        <f t="shared" si="11"/>
        <v>18.105328275000002</v>
      </c>
      <c r="H80" s="6" t="s">
        <v>10</v>
      </c>
      <c r="I80" s="6">
        <f>3.1/100</f>
        <v>3.1E-2</v>
      </c>
      <c r="J80" s="8">
        <f t="shared" si="34"/>
        <v>0.56126517652500008</v>
      </c>
      <c r="K80" s="2" t="s">
        <v>36</v>
      </c>
      <c r="L80" s="2">
        <f>20.3/100</f>
        <v>0.20300000000000001</v>
      </c>
      <c r="M80" s="2">
        <f t="shared" si="35"/>
        <v>3.6753816398250008</v>
      </c>
    </row>
    <row r="81" spans="1:13" x14ac:dyDescent="0.25">
      <c r="A81" s="4">
        <v>25.975000000000001</v>
      </c>
      <c r="B81" s="2" t="s">
        <v>19</v>
      </c>
      <c r="C81" s="6">
        <f t="shared" si="23"/>
        <v>0.84900000000000009</v>
      </c>
      <c r="D81" s="6">
        <f t="shared" si="4"/>
        <v>22.052775000000004</v>
      </c>
      <c r="E81" s="2" t="s">
        <v>13</v>
      </c>
      <c r="F81" s="6">
        <f t="shared" si="33"/>
        <v>0.82099999999999995</v>
      </c>
      <c r="G81" s="6">
        <f t="shared" si="11"/>
        <v>18.105328275000002</v>
      </c>
      <c r="H81" s="6" t="s">
        <v>9</v>
      </c>
      <c r="I81" s="6">
        <f>13.1/100</f>
        <v>0.13100000000000001</v>
      </c>
      <c r="J81" s="8">
        <f t="shared" si="34"/>
        <v>2.3717980040250004</v>
      </c>
      <c r="K81" s="2" t="s">
        <v>37</v>
      </c>
      <c r="L81" s="2">
        <f>16.2/100</f>
        <v>0.16200000000000001</v>
      </c>
      <c r="M81" s="2">
        <f t="shared" si="35"/>
        <v>2.9330631805500005</v>
      </c>
    </row>
    <row r="82" spans="1:13" x14ac:dyDescent="0.25">
      <c r="A82" s="4">
        <v>25.975000000000001</v>
      </c>
      <c r="B82" s="2" t="s">
        <v>19</v>
      </c>
      <c r="C82" s="6">
        <f t="shared" si="23"/>
        <v>0.84900000000000009</v>
      </c>
      <c r="D82" s="6">
        <f t="shared" si="4"/>
        <v>22.052775000000004</v>
      </c>
      <c r="E82" s="2" t="s">
        <v>13</v>
      </c>
      <c r="F82" s="6">
        <f t="shared" si="33"/>
        <v>0.82099999999999995</v>
      </c>
      <c r="G82" s="6">
        <f t="shared" si="11"/>
        <v>18.105328275000002</v>
      </c>
      <c r="H82" s="6" t="s">
        <v>55</v>
      </c>
      <c r="I82" s="6">
        <f>1.9/100</f>
        <v>1.9E-2</v>
      </c>
      <c r="J82" s="8"/>
      <c r="K82" s="2" t="s">
        <v>38</v>
      </c>
      <c r="L82" s="2">
        <f>2.9/100</f>
        <v>2.8999999999999998E-2</v>
      </c>
      <c r="M82" s="2">
        <f t="shared" si="35"/>
        <v>0.52505451997499997</v>
      </c>
    </row>
    <row r="83" spans="1:13" x14ac:dyDescent="0.25">
      <c r="A83" s="4">
        <v>25.975000000000001</v>
      </c>
      <c r="B83" s="2" t="s">
        <v>19</v>
      </c>
      <c r="C83" s="6">
        <f t="shared" si="23"/>
        <v>0.84900000000000009</v>
      </c>
      <c r="D83" s="6">
        <f t="shared" si="4"/>
        <v>22.052775000000004</v>
      </c>
      <c r="E83" s="2" t="s">
        <v>13</v>
      </c>
      <c r="F83" s="6">
        <f t="shared" si="33"/>
        <v>0.82099999999999995</v>
      </c>
      <c r="G83" s="6">
        <f t="shared" si="11"/>
        <v>18.105328275000002</v>
      </c>
      <c r="H83" s="6"/>
      <c r="I83" s="6"/>
      <c r="J83" s="8"/>
      <c r="K83" s="2" t="s">
        <v>39</v>
      </c>
      <c r="L83" s="2">
        <f>1.7/100</f>
        <v>1.7000000000000001E-2</v>
      </c>
      <c r="M83" s="2">
        <f t="shared" si="35"/>
        <v>0.30779058067500004</v>
      </c>
    </row>
    <row r="84" spans="1:13" x14ac:dyDescent="0.25">
      <c r="A84" s="4">
        <v>25.975000000000001</v>
      </c>
      <c r="B84" s="2" t="s">
        <v>19</v>
      </c>
      <c r="C84" s="6">
        <f t="shared" si="23"/>
        <v>0.84900000000000009</v>
      </c>
      <c r="D84" s="6">
        <f t="shared" si="4"/>
        <v>22.052775000000004</v>
      </c>
      <c r="E84" s="2" t="s">
        <v>50</v>
      </c>
      <c r="F84" s="6">
        <f>89.7/100</f>
        <v>0.89700000000000002</v>
      </c>
      <c r="G84" s="6">
        <f t="shared" si="11"/>
        <v>19.781339175000003</v>
      </c>
      <c r="H84" s="6" t="s">
        <v>11</v>
      </c>
      <c r="I84" s="6">
        <f>14.9/100</f>
        <v>0.14899999999999999</v>
      </c>
      <c r="J84" s="6">
        <f>I84*G84</f>
        <v>2.9474195370750005</v>
      </c>
      <c r="K84" s="2" t="s">
        <v>32</v>
      </c>
      <c r="L84" s="2">
        <f>6.8/100</f>
        <v>6.8000000000000005E-2</v>
      </c>
      <c r="M84" s="2">
        <f>L84*G84</f>
        <v>1.3451310639000003</v>
      </c>
    </row>
    <row r="85" spans="1:13" x14ac:dyDescent="0.25">
      <c r="A85" s="4">
        <v>25.975000000000001</v>
      </c>
      <c r="B85" s="2" t="s">
        <v>19</v>
      </c>
      <c r="C85" s="6">
        <f t="shared" si="23"/>
        <v>0.84900000000000009</v>
      </c>
      <c r="D85" s="6">
        <f t="shared" si="4"/>
        <v>22.052775000000004</v>
      </c>
      <c r="E85" s="2" t="s">
        <v>17</v>
      </c>
      <c r="F85" s="6">
        <f t="shared" ref="F85:F91" si="36">89.7/100</f>
        <v>0.89700000000000002</v>
      </c>
      <c r="G85" s="6">
        <f t="shared" si="11"/>
        <v>19.781339175000003</v>
      </c>
      <c r="H85" s="6" t="s">
        <v>12</v>
      </c>
      <c r="I85" s="6">
        <f>24.9/100</f>
        <v>0.249</v>
      </c>
      <c r="J85" s="6">
        <f t="shared" ref="J85:J89" si="37">I85*G85</f>
        <v>4.9255534545750006</v>
      </c>
      <c r="K85" s="2" t="s">
        <v>33</v>
      </c>
      <c r="L85" s="2">
        <f>12.8/100</f>
        <v>0.128</v>
      </c>
      <c r="M85" s="2">
        <f t="shared" ref="M85:M87" si="38">L85*G85</f>
        <v>2.5320114144000003</v>
      </c>
    </row>
    <row r="86" spans="1:13" x14ac:dyDescent="0.25">
      <c r="A86" s="4">
        <v>25.975000000000001</v>
      </c>
      <c r="B86" s="2" t="s">
        <v>19</v>
      </c>
      <c r="C86" s="6">
        <f t="shared" si="23"/>
        <v>0.84900000000000009</v>
      </c>
      <c r="D86" s="6">
        <f t="shared" si="4"/>
        <v>22.052775000000004</v>
      </c>
      <c r="E86" s="2" t="s">
        <v>17</v>
      </c>
      <c r="F86" s="6">
        <f t="shared" si="36"/>
        <v>0.89700000000000002</v>
      </c>
      <c r="G86" s="6">
        <f t="shared" si="11"/>
        <v>19.781339175000003</v>
      </c>
      <c r="H86" s="6" t="s">
        <v>7</v>
      </c>
      <c r="I86" s="6">
        <f>1.2/100</f>
        <v>1.2E-2</v>
      </c>
      <c r="J86" s="6">
        <f t="shared" si="37"/>
        <v>0.23737607010000003</v>
      </c>
      <c r="K86" s="2" t="s">
        <v>34</v>
      </c>
      <c r="L86" s="2">
        <f>19.1/100</f>
        <v>0.191</v>
      </c>
      <c r="M86" s="2">
        <f t="shared" si="38"/>
        <v>3.7782357824250008</v>
      </c>
    </row>
    <row r="87" spans="1:13" x14ac:dyDescent="0.25">
      <c r="A87" s="4">
        <v>25.975000000000001</v>
      </c>
      <c r="B87" s="2" t="s">
        <v>19</v>
      </c>
      <c r="C87" s="6">
        <f t="shared" si="23"/>
        <v>0.84900000000000009</v>
      </c>
      <c r="D87" s="6">
        <f t="shared" si="4"/>
        <v>22.052775000000004</v>
      </c>
      <c r="E87" s="2" t="s">
        <v>17</v>
      </c>
      <c r="F87" s="6">
        <f t="shared" si="36"/>
        <v>0.89700000000000002</v>
      </c>
      <c r="G87" s="6">
        <f t="shared" si="11"/>
        <v>19.781339175000003</v>
      </c>
      <c r="H87" s="6" t="s">
        <v>8</v>
      </c>
      <c r="I87" s="6">
        <f>36.7/100</f>
        <v>0.36700000000000005</v>
      </c>
      <c r="J87" s="6">
        <f t="shared" si="37"/>
        <v>7.2597514772250022</v>
      </c>
      <c r="K87" s="2" t="s">
        <v>35</v>
      </c>
      <c r="L87" s="2">
        <f>26.4/100</f>
        <v>0.26400000000000001</v>
      </c>
      <c r="M87" s="2">
        <f t="shared" si="38"/>
        <v>5.2222735422000008</v>
      </c>
    </row>
    <row r="88" spans="1:13" x14ac:dyDescent="0.25">
      <c r="A88" s="4">
        <v>25.975000000000001</v>
      </c>
      <c r="B88" s="2" t="s">
        <v>19</v>
      </c>
      <c r="C88" s="6">
        <f t="shared" si="23"/>
        <v>0.84900000000000009</v>
      </c>
      <c r="D88" s="6">
        <f t="shared" si="4"/>
        <v>22.052775000000004</v>
      </c>
      <c r="E88" s="2" t="s">
        <v>17</v>
      </c>
      <c r="F88" s="6">
        <f t="shared" si="36"/>
        <v>0.89700000000000002</v>
      </c>
      <c r="G88" s="6">
        <f t="shared" si="11"/>
        <v>19.781339175000003</v>
      </c>
      <c r="H88" s="6" t="s">
        <v>10</v>
      </c>
      <c r="I88" s="6">
        <f>5.3/100</f>
        <v>5.2999999999999999E-2</v>
      </c>
      <c r="J88" s="6">
        <f t="shared" si="37"/>
        <v>1.048410976275</v>
      </c>
      <c r="K88" s="2" t="s">
        <v>36</v>
      </c>
      <c r="L88" s="2">
        <f>20.3/100</f>
        <v>0.20300000000000001</v>
      </c>
      <c r="M88" s="2">
        <f>L87*G88</f>
        <v>5.2222735422000008</v>
      </c>
    </row>
    <row r="89" spans="1:13" x14ac:dyDescent="0.25">
      <c r="A89" s="4">
        <v>25.975000000000001</v>
      </c>
      <c r="B89" s="2" t="s">
        <v>19</v>
      </c>
      <c r="C89" s="6">
        <f t="shared" si="23"/>
        <v>0.84900000000000009</v>
      </c>
      <c r="D89" s="6">
        <f t="shared" si="4"/>
        <v>22.052775000000004</v>
      </c>
      <c r="E89" s="2" t="s">
        <v>17</v>
      </c>
      <c r="F89" s="6">
        <f t="shared" si="36"/>
        <v>0.89700000000000002</v>
      </c>
      <c r="G89" s="6">
        <f t="shared" si="11"/>
        <v>19.781339175000003</v>
      </c>
      <c r="H89" s="6" t="s">
        <v>9</v>
      </c>
      <c r="I89" s="6">
        <f>16.7/100</f>
        <v>0.16699999999999998</v>
      </c>
      <c r="J89" s="6">
        <f t="shared" si="37"/>
        <v>3.3034836422250002</v>
      </c>
      <c r="K89" s="2" t="s">
        <v>37</v>
      </c>
      <c r="L89" s="2">
        <f>12.8/100</f>
        <v>0.128</v>
      </c>
      <c r="M89" s="2">
        <f>L88*G89</f>
        <v>4.0156118525250006</v>
      </c>
    </row>
    <row r="90" spans="1:13" x14ac:dyDescent="0.25">
      <c r="A90" s="4">
        <v>25.975000000000001</v>
      </c>
      <c r="B90" s="2" t="s">
        <v>19</v>
      </c>
      <c r="C90" s="6">
        <f t="shared" si="23"/>
        <v>0.84900000000000009</v>
      </c>
      <c r="D90" s="6">
        <f t="shared" si="4"/>
        <v>22.052775000000004</v>
      </c>
      <c r="E90" s="2" t="s">
        <v>17</v>
      </c>
      <c r="F90" s="6">
        <f t="shared" si="36"/>
        <v>0.89700000000000002</v>
      </c>
      <c r="G90" s="6">
        <f t="shared" si="11"/>
        <v>19.781339175000003</v>
      </c>
      <c r="H90" s="6" t="s">
        <v>55</v>
      </c>
      <c r="I90" s="6">
        <f>0.4/100</f>
        <v>4.0000000000000001E-3</v>
      </c>
      <c r="J90" s="6"/>
      <c r="K90" s="2" t="s">
        <v>38</v>
      </c>
      <c r="L90" s="2">
        <f>1.6/100</f>
        <v>1.6E-2</v>
      </c>
      <c r="M90" s="2">
        <f>L89*G90</f>
        <v>2.5320114144000003</v>
      </c>
    </row>
    <row r="91" spans="1:13" x14ac:dyDescent="0.25">
      <c r="A91" s="4">
        <v>25.975000000000001</v>
      </c>
      <c r="B91" s="2" t="s">
        <v>19</v>
      </c>
      <c r="C91" s="6">
        <f t="shared" si="23"/>
        <v>0.84900000000000009</v>
      </c>
      <c r="D91" s="6">
        <f t="shared" si="4"/>
        <v>22.052775000000004</v>
      </c>
      <c r="E91" s="2" t="s">
        <v>17</v>
      </c>
      <c r="F91" s="6">
        <f t="shared" si="36"/>
        <v>0.89700000000000002</v>
      </c>
      <c r="G91" s="6">
        <f t="shared" si="11"/>
        <v>19.781339175000003</v>
      </c>
      <c r="H91" s="6"/>
      <c r="I91" s="6"/>
      <c r="J91" s="6"/>
      <c r="K91" s="2" t="s">
        <v>39</v>
      </c>
      <c r="L91" s="2">
        <f>0.2/100</f>
        <v>2E-3</v>
      </c>
      <c r="M91" s="2">
        <f>L90*G91</f>
        <v>0.31650142680000004</v>
      </c>
    </row>
    <row r="92" spans="1:13" x14ac:dyDescent="0.25">
      <c r="A92" s="4">
        <v>25.975000000000001</v>
      </c>
      <c r="B92" s="2" t="s">
        <v>19</v>
      </c>
      <c r="C92" s="6">
        <f t="shared" si="23"/>
        <v>0.84900000000000009</v>
      </c>
      <c r="D92" s="6">
        <f t="shared" si="4"/>
        <v>22.052775000000004</v>
      </c>
      <c r="E92" s="2" t="s">
        <v>49</v>
      </c>
      <c r="F92" s="2">
        <f>89.3/100</f>
        <v>0.89300000000000002</v>
      </c>
      <c r="G92" s="6">
        <f t="shared" si="11"/>
        <v>19.693128075000004</v>
      </c>
      <c r="H92" s="6" t="s">
        <v>11</v>
      </c>
      <c r="I92" s="6">
        <f>26.4/100</f>
        <v>0.26400000000000001</v>
      </c>
      <c r="J92" s="6">
        <f>I92*G92</f>
        <v>5.198985811800001</v>
      </c>
      <c r="K92" s="2" t="s">
        <v>32</v>
      </c>
      <c r="L92" s="2">
        <f>7.7/100</f>
        <v>7.6999999999999999E-2</v>
      </c>
      <c r="M92" s="2">
        <f>L92*G92</f>
        <v>1.5163708617750002</v>
      </c>
    </row>
    <row r="93" spans="1:13" x14ac:dyDescent="0.25">
      <c r="A93" s="4">
        <v>25.975000000000001</v>
      </c>
      <c r="B93" s="2" t="s">
        <v>19</v>
      </c>
      <c r="C93" s="6">
        <f t="shared" si="23"/>
        <v>0.84900000000000009</v>
      </c>
      <c r="D93" s="6">
        <f t="shared" ref="D93:D99" si="39">C93*A93</f>
        <v>22.052775000000004</v>
      </c>
      <c r="E93" s="2" t="s">
        <v>18</v>
      </c>
      <c r="F93" s="2">
        <f t="shared" ref="F93:F99" si="40">89.3/100</f>
        <v>0.89300000000000002</v>
      </c>
      <c r="G93" s="6">
        <f t="shared" si="11"/>
        <v>19.693128075000004</v>
      </c>
      <c r="H93" s="6" t="s">
        <v>12</v>
      </c>
      <c r="I93" s="6">
        <f>21.7/100</f>
        <v>0.217</v>
      </c>
      <c r="J93" s="6">
        <f t="shared" ref="J93:J97" si="41">I93*G93</f>
        <v>4.273408792275001</v>
      </c>
      <c r="K93" s="2" t="s">
        <v>33</v>
      </c>
      <c r="L93" s="2">
        <f>12.9/100</f>
        <v>0.129</v>
      </c>
      <c r="M93" s="2">
        <f t="shared" ref="M93:M99" si="42">L93*G93</f>
        <v>2.5404135216750006</v>
      </c>
    </row>
    <row r="94" spans="1:13" x14ac:dyDescent="0.25">
      <c r="A94" s="4">
        <v>25.975000000000001</v>
      </c>
      <c r="B94" s="2" t="s">
        <v>19</v>
      </c>
      <c r="C94" s="6">
        <f t="shared" si="23"/>
        <v>0.84900000000000009</v>
      </c>
      <c r="D94" s="6">
        <f t="shared" si="39"/>
        <v>22.052775000000004</v>
      </c>
      <c r="E94" s="2" t="s">
        <v>18</v>
      </c>
      <c r="F94" s="2">
        <f t="shared" si="40"/>
        <v>0.89300000000000002</v>
      </c>
      <c r="G94" s="6">
        <f t="shared" si="11"/>
        <v>19.693128075000004</v>
      </c>
      <c r="H94" s="6" t="s">
        <v>7</v>
      </c>
      <c r="I94" s="6">
        <f>2.4/100</f>
        <v>2.4E-2</v>
      </c>
      <c r="J94" s="6">
        <f t="shared" si="41"/>
        <v>0.47263507380000008</v>
      </c>
      <c r="K94" s="2" t="s">
        <v>34</v>
      </c>
      <c r="L94" s="2">
        <f>16.4/100</f>
        <v>0.16399999999999998</v>
      </c>
      <c r="M94" s="2">
        <f t="shared" si="42"/>
        <v>3.2296730043000004</v>
      </c>
    </row>
    <row r="95" spans="1:13" x14ac:dyDescent="0.25">
      <c r="A95" s="4">
        <v>25.975000000000001</v>
      </c>
      <c r="B95" s="2" t="s">
        <v>19</v>
      </c>
      <c r="C95" s="6">
        <f t="shared" si="23"/>
        <v>0.84900000000000009</v>
      </c>
      <c r="D95" s="6">
        <f t="shared" si="39"/>
        <v>22.052775000000004</v>
      </c>
      <c r="E95" s="2" t="s">
        <v>18</v>
      </c>
      <c r="F95" s="2">
        <f t="shared" si="40"/>
        <v>0.89300000000000002</v>
      </c>
      <c r="G95" s="6">
        <f t="shared" si="11"/>
        <v>19.693128075000004</v>
      </c>
      <c r="H95" s="6" t="s">
        <v>8</v>
      </c>
      <c r="I95" s="6">
        <f>36.1/100</f>
        <v>0.36099999999999999</v>
      </c>
      <c r="J95" s="6">
        <f t="shared" si="41"/>
        <v>7.1092192350750016</v>
      </c>
      <c r="K95" s="2" t="s">
        <v>35</v>
      </c>
      <c r="L95" s="2">
        <f>24.4/100</f>
        <v>0.24399999999999999</v>
      </c>
      <c r="M95" s="2">
        <f t="shared" si="42"/>
        <v>4.8051232503000012</v>
      </c>
    </row>
    <row r="96" spans="1:13" x14ac:dyDescent="0.25">
      <c r="A96" s="4">
        <v>25.975000000000001</v>
      </c>
      <c r="B96" s="2" t="s">
        <v>19</v>
      </c>
      <c r="C96" s="6">
        <f t="shared" si="23"/>
        <v>0.84900000000000009</v>
      </c>
      <c r="D96" s="6">
        <f t="shared" si="39"/>
        <v>22.052775000000004</v>
      </c>
      <c r="E96" s="2" t="s">
        <v>18</v>
      </c>
      <c r="F96" s="2">
        <f t="shared" si="40"/>
        <v>0.89300000000000002</v>
      </c>
      <c r="G96" s="6">
        <f t="shared" si="11"/>
        <v>19.693128075000004</v>
      </c>
      <c r="H96" s="6" t="s">
        <v>10</v>
      </c>
      <c r="I96" s="6">
        <f>2.6/100</f>
        <v>2.6000000000000002E-2</v>
      </c>
      <c r="J96" s="6">
        <f t="shared" si="41"/>
        <v>0.51202132995000016</v>
      </c>
      <c r="K96" s="2" t="s">
        <v>36</v>
      </c>
      <c r="L96" s="2">
        <f>19.3/100</f>
        <v>0.193</v>
      </c>
      <c r="M96" s="2">
        <f t="shared" si="42"/>
        <v>3.8007737184750008</v>
      </c>
    </row>
    <row r="97" spans="1:13" x14ac:dyDescent="0.25">
      <c r="A97" s="4">
        <v>25.975000000000001</v>
      </c>
      <c r="B97" s="2" t="s">
        <v>19</v>
      </c>
      <c r="C97" s="6">
        <f t="shared" si="23"/>
        <v>0.84900000000000009</v>
      </c>
      <c r="D97" s="6">
        <f t="shared" si="39"/>
        <v>22.052775000000004</v>
      </c>
      <c r="E97" s="2" t="s">
        <v>18</v>
      </c>
      <c r="F97" s="2">
        <f t="shared" si="40"/>
        <v>0.89300000000000002</v>
      </c>
      <c r="G97" s="6">
        <f t="shared" si="11"/>
        <v>19.693128075000004</v>
      </c>
      <c r="H97" s="6" t="s">
        <v>9</v>
      </c>
      <c r="I97" s="6">
        <f>5.8/100</f>
        <v>5.7999999999999996E-2</v>
      </c>
      <c r="J97" s="6">
        <f t="shared" si="41"/>
        <v>1.1422014283500002</v>
      </c>
      <c r="K97" s="2" t="s">
        <v>37</v>
      </c>
      <c r="L97" s="2">
        <f>14.3/100</f>
        <v>0.14300000000000002</v>
      </c>
      <c r="M97" s="2">
        <f t="shared" si="42"/>
        <v>2.8161173147250009</v>
      </c>
    </row>
    <row r="98" spans="1:13" x14ac:dyDescent="0.25">
      <c r="A98" s="4">
        <v>25.975000000000001</v>
      </c>
      <c r="B98" s="2" t="s">
        <v>19</v>
      </c>
      <c r="C98" s="6">
        <f t="shared" si="23"/>
        <v>0.84900000000000009</v>
      </c>
      <c r="D98" s="6">
        <f t="shared" si="39"/>
        <v>22.052775000000004</v>
      </c>
      <c r="E98" s="2" t="s">
        <v>18</v>
      </c>
      <c r="F98" s="2">
        <f t="shared" si="40"/>
        <v>0.89300000000000002</v>
      </c>
      <c r="G98" s="6">
        <f t="shared" si="11"/>
        <v>19.693128075000004</v>
      </c>
      <c r="H98" s="6" t="s">
        <v>55</v>
      </c>
      <c r="I98" s="2">
        <f>2.2/100</f>
        <v>2.2000000000000002E-2</v>
      </c>
      <c r="J98" s="2"/>
      <c r="K98" s="2" t="s">
        <v>38</v>
      </c>
      <c r="L98" s="2">
        <f>2.6/100</f>
        <v>2.6000000000000002E-2</v>
      </c>
      <c r="M98" s="2">
        <f t="shared" si="42"/>
        <v>0.51202132995000016</v>
      </c>
    </row>
    <row r="99" spans="1:13" x14ac:dyDescent="0.25">
      <c r="A99" s="4">
        <v>25.975000000000001</v>
      </c>
      <c r="B99" s="2" t="s">
        <v>19</v>
      </c>
      <c r="C99" s="6">
        <f t="shared" si="23"/>
        <v>0.84900000000000009</v>
      </c>
      <c r="D99" s="6">
        <f t="shared" si="39"/>
        <v>22.052775000000004</v>
      </c>
      <c r="E99" s="2" t="s">
        <v>18</v>
      </c>
      <c r="F99" s="2">
        <f t="shared" si="40"/>
        <v>0.89300000000000002</v>
      </c>
      <c r="G99" s="6">
        <f t="shared" ref="G99" si="43">F99*D99</f>
        <v>19.693128075000004</v>
      </c>
      <c r="H99" s="2"/>
      <c r="I99" s="2"/>
      <c r="J99" s="2"/>
      <c r="K99" s="2" t="s">
        <v>39</v>
      </c>
      <c r="L99" s="2">
        <f>2.3/100</f>
        <v>2.3E-2</v>
      </c>
      <c r="M99" s="2">
        <f t="shared" si="42"/>
        <v>0.45294194572500007</v>
      </c>
    </row>
  </sheetData>
  <mergeCells count="1">
    <mergeCell ref="E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98"/>
  <sheetViews>
    <sheetView topLeftCell="A78" workbookViewId="0">
      <selection activeCell="A3" sqref="A3:M98"/>
    </sheetView>
  </sheetViews>
  <sheetFormatPr defaultRowHeight="13.2" x14ac:dyDescent="0.25"/>
  <cols>
    <col min="5" max="5" width="17.5546875" customWidth="1"/>
  </cols>
  <sheetData>
    <row r="1" spans="1:13" x14ac:dyDescent="0.25">
      <c r="A1" s="3"/>
      <c r="B1" s="3"/>
      <c r="C1" s="3"/>
      <c r="D1" s="3"/>
      <c r="E1" s="21" t="s">
        <v>85</v>
      </c>
      <c r="F1" s="21"/>
      <c r="G1" s="21"/>
      <c r="H1" s="21"/>
      <c r="I1" s="21"/>
      <c r="J1" s="21"/>
      <c r="K1" s="3"/>
      <c r="L1" s="3"/>
      <c r="M1" s="3"/>
    </row>
    <row r="2" spans="1:13" ht="198" x14ac:dyDescent="0.25">
      <c r="A2" s="1" t="s">
        <v>30</v>
      </c>
      <c r="B2" s="2" t="s">
        <v>1</v>
      </c>
      <c r="C2" s="1" t="s">
        <v>22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2" t="s">
        <v>31</v>
      </c>
      <c r="L2" s="1" t="s">
        <v>40</v>
      </c>
      <c r="M2" s="1" t="s">
        <v>41</v>
      </c>
    </row>
    <row r="3" spans="1:13" ht="26.4" x14ac:dyDescent="0.25">
      <c r="A3" s="4">
        <v>26.193999999999999</v>
      </c>
      <c r="B3" s="4" t="s">
        <v>2</v>
      </c>
      <c r="C3" s="5">
        <f>14.6/100</f>
        <v>0.14599999999999999</v>
      </c>
      <c r="D3" s="6">
        <f>C3*A3</f>
        <v>3.8243239999999998</v>
      </c>
      <c r="E3" s="6" t="s">
        <v>14</v>
      </c>
      <c r="F3" s="5">
        <f>19.5/100</f>
        <v>0.19500000000000001</v>
      </c>
      <c r="G3" s="5">
        <f>D3*F3</f>
        <v>0.74574317999999995</v>
      </c>
      <c r="H3" s="6" t="s">
        <v>11</v>
      </c>
      <c r="I3" s="6">
        <f>13.9/100</f>
        <v>0.13900000000000001</v>
      </c>
      <c r="J3" s="7">
        <f>I3*G3</f>
        <v>0.10365830202</v>
      </c>
      <c r="K3" s="2" t="s">
        <v>32</v>
      </c>
      <c r="L3" s="2">
        <f>2.4/100</f>
        <v>2.4E-2</v>
      </c>
      <c r="M3" s="2">
        <f>L3*G3</f>
        <v>1.7897836319999999E-2</v>
      </c>
    </row>
    <row r="4" spans="1:13" x14ac:dyDescent="0.25">
      <c r="A4" s="4">
        <v>26.193999999999999</v>
      </c>
      <c r="B4" s="4" t="s">
        <v>2</v>
      </c>
      <c r="C4" s="5">
        <f t="shared" ref="C4:C50" si="0">14.6/100</f>
        <v>0.14599999999999999</v>
      </c>
      <c r="D4" s="6">
        <f>C4*A4</f>
        <v>3.8243239999999998</v>
      </c>
      <c r="E4" s="6" t="s">
        <v>43</v>
      </c>
      <c r="F4" s="5">
        <f t="shared" ref="F4:F10" si="1">19.5/100</f>
        <v>0.19500000000000001</v>
      </c>
      <c r="G4" s="5">
        <f>D4*F4</f>
        <v>0.74574317999999995</v>
      </c>
      <c r="H4" s="6" t="s">
        <v>12</v>
      </c>
      <c r="I4" s="6">
        <f>7.5/100</f>
        <v>7.4999999999999997E-2</v>
      </c>
      <c r="J4" s="8">
        <f t="shared" ref="J4:J9" si="2">G4*I4</f>
        <v>5.5930738499999993E-2</v>
      </c>
      <c r="K4" s="2" t="s">
        <v>33</v>
      </c>
      <c r="L4" s="2">
        <f>6/100</f>
        <v>0.06</v>
      </c>
      <c r="M4" s="2">
        <f t="shared" ref="M4:M10" si="3">L4*G4</f>
        <v>4.4744590799999998E-2</v>
      </c>
    </row>
    <row r="5" spans="1:13" x14ac:dyDescent="0.25">
      <c r="A5" s="4">
        <v>26.193999999999999</v>
      </c>
      <c r="B5" s="4" t="s">
        <v>2</v>
      </c>
      <c r="C5" s="5">
        <f t="shared" si="0"/>
        <v>0.14599999999999999</v>
      </c>
      <c r="D5" s="6">
        <f t="shared" ref="D5:D91" si="4">C5*A5</f>
        <v>3.8243239999999998</v>
      </c>
      <c r="E5" s="6" t="s">
        <v>14</v>
      </c>
      <c r="F5" s="5">
        <f t="shared" si="1"/>
        <v>0.19500000000000001</v>
      </c>
      <c r="G5" s="5">
        <f t="shared" ref="G5:G10" si="5">D5*F5</f>
        <v>0.74574317999999995</v>
      </c>
      <c r="H5" s="6" t="s">
        <v>7</v>
      </c>
      <c r="I5" s="14">
        <f>1.1/100</f>
        <v>1.1000000000000001E-2</v>
      </c>
      <c r="J5" s="8">
        <f t="shared" si="2"/>
        <v>8.2031749800000001E-3</v>
      </c>
      <c r="K5" s="2" t="s">
        <v>34</v>
      </c>
      <c r="L5" s="2">
        <f>14/100</f>
        <v>0.14000000000000001</v>
      </c>
      <c r="M5" s="2">
        <f t="shared" si="3"/>
        <v>0.1044040452</v>
      </c>
    </row>
    <row r="6" spans="1:13" x14ac:dyDescent="0.25">
      <c r="A6" s="4">
        <v>26.193999999999999</v>
      </c>
      <c r="B6" s="4" t="s">
        <v>2</v>
      </c>
      <c r="C6" s="5">
        <f t="shared" si="0"/>
        <v>0.14599999999999999</v>
      </c>
      <c r="D6" s="6">
        <f t="shared" si="4"/>
        <v>3.8243239999999998</v>
      </c>
      <c r="E6" s="6" t="s">
        <v>14</v>
      </c>
      <c r="F6" s="5">
        <f t="shared" si="1"/>
        <v>0.19500000000000001</v>
      </c>
      <c r="G6" s="5">
        <f t="shared" si="5"/>
        <v>0.74574317999999995</v>
      </c>
      <c r="H6" s="6" t="s">
        <v>8</v>
      </c>
      <c r="I6" s="6">
        <f>32.5/100</f>
        <v>0.32500000000000001</v>
      </c>
      <c r="J6" s="8">
        <f t="shared" si="2"/>
        <v>0.24236653349999998</v>
      </c>
      <c r="K6" s="2" t="s">
        <v>35</v>
      </c>
      <c r="L6" s="2">
        <f>26.9/100</f>
        <v>0.26899999999999996</v>
      </c>
      <c r="M6" s="2">
        <f t="shared" si="3"/>
        <v>0.20060491541999995</v>
      </c>
    </row>
    <row r="7" spans="1:13" x14ac:dyDescent="0.25">
      <c r="A7" s="4">
        <v>26.193999999999999</v>
      </c>
      <c r="B7" s="4" t="s">
        <v>2</v>
      </c>
      <c r="C7" s="5">
        <f t="shared" si="0"/>
        <v>0.14599999999999999</v>
      </c>
      <c r="D7" s="6">
        <f t="shared" si="4"/>
        <v>3.8243239999999998</v>
      </c>
      <c r="E7" s="6" t="s">
        <v>14</v>
      </c>
      <c r="F7" s="5">
        <f t="shared" si="1"/>
        <v>0.19500000000000001</v>
      </c>
      <c r="G7" s="5">
        <f t="shared" si="5"/>
        <v>0.74574317999999995</v>
      </c>
      <c r="H7" s="6" t="s">
        <v>10</v>
      </c>
      <c r="I7" s="6">
        <f>4.3/100</f>
        <v>4.2999999999999997E-2</v>
      </c>
      <c r="J7" s="8">
        <f t="shared" si="2"/>
        <v>3.2066956739999992E-2</v>
      </c>
      <c r="K7" s="2" t="s">
        <v>36</v>
      </c>
      <c r="L7" s="2">
        <f>23.7/100</f>
        <v>0.23699999999999999</v>
      </c>
      <c r="M7" s="2" t="e">
        <f>#REF!*G7</f>
        <v>#REF!</v>
      </c>
    </row>
    <row r="8" spans="1:13" x14ac:dyDescent="0.25">
      <c r="A8" s="4">
        <v>26.193999999999999</v>
      </c>
      <c r="B8" s="4" t="s">
        <v>2</v>
      </c>
      <c r="C8" s="5">
        <f t="shared" si="0"/>
        <v>0.14599999999999999</v>
      </c>
      <c r="D8" s="6">
        <f>C8*A8</f>
        <v>3.8243239999999998</v>
      </c>
      <c r="E8" s="6" t="s">
        <v>14</v>
      </c>
      <c r="F8" s="5">
        <f t="shared" si="1"/>
        <v>0.19500000000000001</v>
      </c>
      <c r="G8" s="5">
        <f t="shared" si="5"/>
        <v>0.74574317999999995</v>
      </c>
      <c r="H8" s="6" t="s">
        <v>9</v>
      </c>
      <c r="I8" s="6">
        <f>40.1/100</f>
        <v>0.40100000000000002</v>
      </c>
      <c r="J8" s="8">
        <f t="shared" si="2"/>
        <v>0.29904301517999998</v>
      </c>
      <c r="K8" s="2" t="s">
        <v>37</v>
      </c>
      <c r="L8" s="2">
        <f>24/100</f>
        <v>0.24</v>
      </c>
      <c r="M8" s="2">
        <f>L7*G8</f>
        <v>0.17674113365999997</v>
      </c>
    </row>
    <row r="9" spans="1:13" x14ac:dyDescent="0.25">
      <c r="A9" s="4">
        <v>26.193999999999999</v>
      </c>
      <c r="B9" s="4" t="s">
        <v>2</v>
      </c>
      <c r="C9" s="5">
        <f t="shared" si="0"/>
        <v>0.14599999999999999</v>
      </c>
      <c r="D9" s="6">
        <f t="shared" si="4"/>
        <v>3.8243239999999998</v>
      </c>
      <c r="E9" s="6" t="s">
        <v>14</v>
      </c>
      <c r="F9" s="5">
        <f t="shared" si="1"/>
        <v>0.19500000000000001</v>
      </c>
      <c r="G9" s="5">
        <f t="shared" si="5"/>
        <v>0.74574317999999995</v>
      </c>
      <c r="H9" s="6" t="s">
        <v>55</v>
      </c>
      <c r="I9" s="6">
        <f>0.6/100</f>
        <v>6.0000000000000001E-3</v>
      </c>
      <c r="J9" s="8">
        <f t="shared" si="2"/>
        <v>4.4744590799999998E-3</v>
      </c>
      <c r="K9" s="2" t="s">
        <v>38</v>
      </c>
      <c r="L9" s="2">
        <f>2.2/100</f>
        <v>2.2000000000000002E-2</v>
      </c>
      <c r="M9" s="2">
        <f t="shared" si="3"/>
        <v>1.640634996E-2</v>
      </c>
    </row>
    <row r="10" spans="1:13" x14ac:dyDescent="0.25">
      <c r="A10" s="4">
        <v>26.193999999999999</v>
      </c>
      <c r="B10" s="4" t="s">
        <v>2</v>
      </c>
      <c r="C10" s="5">
        <f t="shared" si="0"/>
        <v>0.14599999999999999</v>
      </c>
      <c r="D10" s="6">
        <f t="shared" si="4"/>
        <v>3.8243239999999998</v>
      </c>
      <c r="E10" s="6" t="s">
        <v>14</v>
      </c>
      <c r="F10" s="5">
        <f t="shared" si="1"/>
        <v>0.19500000000000001</v>
      </c>
      <c r="G10" s="5">
        <f t="shared" si="5"/>
        <v>0.74574317999999995</v>
      </c>
      <c r="H10" s="6"/>
      <c r="I10" s="6"/>
      <c r="J10" s="8"/>
      <c r="K10" s="2" t="s">
        <v>39</v>
      </c>
      <c r="L10" s="2">
        <f>0.9/100</f>
        <v>9.0000000000000011E-3</v>
      </c>
      <c r="M10" s="2">
        <f t="shared" si="3"/>
        <v>6.7116886200000005E-3</v>
      </c>
    </row>
    <row r="11" spans="1:13" x14ac:dyDescent="0.25">
      <c r="A11" s="4">
        <v>26.193999999999999</v>
      </c>
      <c r="B11" s="4" t="s">
        <v>2</v>
      </c>
      <c r="C11" s="5">
        <f t="shared" si="0"/>
        <v>0.14599999999999999</v>
      </c>
      <c r="D11" s="6">
        <f t="shared" si="4"/>
        <v>3.8243239999999998</v>
      </c>
      <c r="E11" s="6" t="s">
        <v>44</v>
      </c>
      <c r="F11" s="8">
        <f>14.9/100</f>
        <v>0.14899999999999999</v>
      </c>
      <c r="G11" s="6">
        <f>F11*D11</f>
        <v>0.56982427599999996</v>
      </c>
      <c r="H11" s="6" t="s">
        <v>11</v>
      </c>
      <c r="I11" s="6">
        <f>2.5/100</f>
        <v>2.5000000000000001E-2</v>
      </c>
      <c r="J11" s="8">
        <f>I11*G11</f>
        <v>1.4245606899999999E-2</v>
      </c>
      <c r="K11" s="2" t="s">
        <v>32</v>
      </c>
      <c r="L11" s="2">
        <f>0/100</f>
        <v>0</v>
      </c>
      <c r="M11" s="2">
        <f>L11*G11</f>
        <v>0</v>
      </c>
    </row>
    <row r="12" spans="1:13" x14ac:dyDescent="0.25">
      <c r="A12" s="4">
        <v>26.193999999999999</v>
      </c>
      <c r="B12" s="4" t="s">
        <v>2</v>
      </c>
      <c r="C12" s="5">
        <f t="shared" si="0"/>
        <v>0.14599999999999999</v>
      </c>
      <c r="D12" s="6">
        <f t="shared" si="4"/>
        <v>3.8243239999999998</v>
      </c>
      <c r="E12" s="6" t="s">
        <v>15</v>
      </c>
      <c r="F12" s="8">
        <f t="shared" ref="F12:F18" si="6">14.9/100</f>
        <v>0.14899999999999999</v>
      </c>
      <c r="G12" s="6">
        <f t="shared" ref="G12:G18" si="7">F12*D12</f>
        <v>0.56982427599999996</v>
      </c>
      <c r="H12" s="6" t="s">
        <v>12</v>
      </c>
      <c r="I12" s="6">
        <f>2/100</f>
        <v>0.02</v>
      </c>
      <c r="J12" s="8">
        <f t="shared" ref="J12:J16" si="8">I12*G12</f>
        <v>1.1396485519999999E-2</v>
      </c>
      <c r="K12" s="2" t="s">
        <v>33</v>
      </c>
      <c r="L12" s="2">
        <f>6.7/100</f>
        <v>6.7000000000000004E-2</v>
      </c>
      <c r="M12" s="2">
        <f t="shared" ref="M12:M18" si="9">L12*G12</f>
        <v>3.8178226491999999E-2</v>
      </c>
    </row>
    <row r="13" spans="1:13" x14ac:dyDescent="0.25">
      <c r="A13" s="4">
        <v>26.193999999999999</v>
      </c>
      <c r="B13" s="4" t="s">
        <v>2</v>
      </c>
      <c r="C13" s="5">
        <f t="shared" si="0"/>
        <v>0.14599999999999999</v>
      </c>
      <c r="D13" s="6">
        <f t="shared" si="4"/>
        <v>3.8243239999999998</v>
      </c>
      <c r="E13" s="6" t="s">
        <v>15</v>
      </c>
      <c r="F13" s="8">
        <f t="shared" si="6"/>
        <v>0.14899999999999999</v>
      </c>
      <c r="G13" s="6">
        <f t="shared" si="7"/>
        <v>0.56982427599999996</v>
      </c>
      <c r="H13" s="6" t="s">
        <v>7</v>
      </c>
      <c r="I13" s="6">
        <f>0/100</f>
        <v>0</v>
      </c>
      <c r="J13" s="8">
        <f t="shared" si="8"/>
        <v>0</v>
      </c>
      <c r="K13" s="2" t="s">
        <v>34</v>
      </c>
      <c r="L13" s="2">
        <f>18/100</f>
        <v>0.18</v>
      </c>
      <c r="M13" s="2">
        <f t="shared" si="9"/>
        <v>0.10256836967999999</v>
      </c>
    </row>
    <row r="14" spans="1:13" x14ac:dyDescent="0.25">
      <c r="A14" s="4">
        <v>26.193999999999999</v>
      </c>
      <c r="B14" s="4" t="s">
        <v>2</v>
      </c>
      <c r="C14" s="5">
        <f t="shared" si="0"/>
        <v>0.14599999999999999</v>
      </c>
      <c r="D14" s="6">
        <f t="shared" si="4"/>
        <v>3.8243239999999998</v>
      </c>
      <c r="E14" s="6" t="s">
        <v>15</v>
      </c>
      <c r="F14" s="8">
        <f t="shared" si="6"/>
        <v>0.14899999999999999</v>
      </c>
      <c r="G14" s="6">
        <f t="shared" si="7"/>
        <v>0.56982427599999996</v>
      </c>
      <c r="H14" s="6" t="s">
        <v>8</v>
      </c>
      <c r="I14" s="6">
        <f>38.4/100</f>
        <v>0.38400000000000001</v>
      </c>
      <c r="J14" s="8">
        <f>I14*G14</f>
        <v>0.218812521984</v>
      </c>
      <c r="K14" s="2" t="s">
        <v>35</v>
      </c>
      <c r="L14" s="2">
        <f>26.8/100</f>
        <v>0.26800000000000002</v>
      </c>
      <c r="M14" s="2">
        <f t="shared" si="9"/>
        <v>0.152712905968</v>
      </c>
    </row>
    <row r="15" spans="1:13" x14ac:dyDescent="0.25">
      <c r="A15" s="4">
        <v>26.193999999999999</v>
      </c>
      <c r="B15" s="4" t="s">
        <v>2</v>
      </c>
      <c r="C15" s="5">
        <f t="shared" si="0"/>
        <v>0.14599999999999999</v>
      </c>
      <c r="D15" s="6">
        <f t="shared" si="4"/>
        <v>3.8243239999999998</v>
      </c>
      <c r="E15" s="6" t="s">
        <v>15</v>
      </c>
      <c r="F15" s="8">
        <f t="shared" si="6"/>
        <v>0.14899999999999999</v>
      </c>
      <c r="G15" s="6">
        <f t="shared" si="7"/>
        <v>0.56982427599999996</v>
      </c>
      <c r="H15" s="6" t="s">
        <v>10</v>
      </c>
      <c r="I15" s="6">
        <f>6/100</f>
        <v>0.06</v>
      </c>
      <c r="J15" s="8">
        <f t="shared" si="8"/>
        <v>3.4189456559999998E-2</v>
      </c>
      <c r="K15" s="2" t="s">
        <v>36</v>
      </c>
      <c r="L15" s="2">
        <f>29.6/100</f>
        <v>0.29600000000000004</v>
      </c>
      <c r="M15" s="2">
        <f t="shared" si="9"/>
        <v>0.168667985696</v>
      </c>
    </row>
    <row r="16" spans="1:13" x14ac:dyDescent="0.25">
      <c r="A16" s="4">
        <v>26.193999999999999</v>
      </c>
      <c r="B16" s="4" t="s">
        <v>2</v>
      </c>
      <c r="C16" s="5">
        <f t="shared" si="0"/>
        <v>0.14599999999999999</v>
      </c>
      <c r="D16" s="6">
        <f t="shared" si="4"/>
        <v>3.8243239999999998</v>
      </c>
      <c r="E16" s="6" t="s">
        <v>15</v>
      </c>
      <c r="F16" s="8">
        <f t="shared" si="6"/>
        <v>0.14899999999999999</v>
      </c>
      <c r="G16" s="6">
        <f t="shared" si="7"/>
        <v>0.56982427599999996</v>
      </c>
      <c r="H16" s="6" t="s">
        <v>9</v>
      </c>
      <c r="I16" s="6">
        <f>51.1/100</f>
        <v>0.51100000000000001</v>
      </c>
      <c r="J16" s="8">
        <f t="shared" si="8"/>
        <v>0.29118020503600001</v>
      </c>
      <c r="K16" s="2" t="s">
        <v>37</v>
      </c>
      <c r="L16" s="2">
        <f>18/100</f>
        <v>0.18</v>
      </c>
      <c r="M16" s="2">
        <f t="shared" si="9"/>
        <v>0.10256836967999999</v>
      </c>
    </row>
    <row r="17" spans="1:13" x14ac:dyDescent="0.25">
      <c r="A17" s="4">
        <v>26.193999999999999</v>
      </c>
      <c r="B17" s="4" t="s">
        <v>2</v>
      </c>
      <c r="C17" s="5">
        <f t="shared" si="0"/>
        <v>0.14599999999999999</v>
      </c>
      <c r="D17" s="6">
        <f t="shared" si="4"/>
        <v>3.8243239999999998</v>
      </c>
      <c r="E17" s="6" t="s">
        <v>15</v>
      </c>
      <c r="F17" s="8">
        <f t="shared" si="6"/>
        <v>0.14899999999999999</v>
      </c>
      <c r="G17" s="6">
        <f t="shared" si="7"/>
        <v>0.56982427599999996</v>
      </c>
      <c r="H17" s="6" t="s">
        <v>55</v>
      </c>
      <c r="I17" s="6">
        <f>0/100</f>
        <v>0</v>
      </c>
      <c r="J17" s="8">
        <f>I17*G17</f>
        <v>0</v>
      </c>
      <c r="K17" s="2" t="s">
        <v>38</v>
      </c>
      <c r="L17" s="2">
        <f>1/100</f>
        <v>0.01</v>
      </c>
      <c r="M17" s="2">
        <f>L17*G17</f>
        <v>5.6982427599999996E-3</v>
      </c>
    </row>
    <row r="18" spans="1:13" x14ac:dyDescent="0.25">
      <c r="A18" s="4">
        <v>26.193999999999999</v>
      </c>
      <c r="B18" s="4" t="s">
        <v>2</v>
      </c>
      <c r="C18" s="5">
        <f t="shared" si="0"/>
        <v>0.14599999999999999</v>
      </c>
      <c r="D18" s="6">
        <f t="shared" si="4"/>
        <v>3.8243239999999998</v>
      </c>
      <c r="E18" s="6" t="s">
        <v>15</v>
      </c>
      <c r="F18" s="8">
        <f t="shared" si="6"/>
        <v>0.14899999999999999</v>
      </c>
      <c r="G18" s="6">
        <f t="shared" si="7"/>
        <v>0.56982427599999996</v>
      </c>
      <c r="H18" s="6"/>
      <c r="I18" s="6" t="s">
        <v>56</v>
      </c>
      <c r="J18" s="8"/>
      <c r="K18" s="2" t="s">
        <v>39</v>
      </c>
      <c r="L18" s="2">
        <f>0/100</f>
        <v>0</v>
      </c>
      <c r="M18" s="2">
        <f t="shared" si="9"/>
        <v>0</v>
      </c>
    </row>
    <row r="19" spans="1:13" x14ac:dyDescent="0.25">
      <c r="A19" s="4">
        <v>26.193999999999999</v>
      </c>
      <c r="B19" s="4" t="s">
        <v>2</v>
      </c>
      <c r="C19" s="5">
        <f t="shared" si="0"/>
        <v>0.14599999999999999</v>
      </c>
      <c r="D19" s="6">
        <f t="shared" si="4"/>
        <v>3.8243239999999998</v>
      </c>
      <c r="E19" s="6" t="s">
        <v>45</v>
      </c>
      <c r="F19" s="6">
        <f>14.5/100</f>
        <v>0.14499999999999999</v>
      </c>
      <c r="G19" s="6">
        <f>F19*D19</f>
        <v>0.55452697999999989</v>
      </c>
      <c r="H19" s="6" t="s">
        <v>11</v>
      </c>
      <c r="I19" s="6">
        <f>9.1/100</f>
        <v>9.0999999999999998E-2</v>
      </c>
      <c r="J19" s="6">
        <f>I19*G19</f>
        <v>5.046195517999999E-2</v>
      </c>
      <c r="K19" s="2" t="s">
        <v>32</v>
      </c>
      <c r="L19" s="2">
        <f>2/100</f>
        <v>0.02</v>
      </c>
      <c r="M19" s="2">
        <f>L19*G19</f>
        <v>1.1090539599999998E-2</v>
      </c>
    </row>
    <row r="20" spans="1:13" x14ac:dyDescent="0.25">
      <c r="A20" s="4">
        <v>26.193999999999999</v>
      </c>
      <c r="B20" s="4" t="s">
        <v>2</v>
      </c>
      <c r="C20" s="5">
        <f t="shared" si="0"/>
        <v>0.14599999999999999</v>
      </c>
      <c r="D20" s="6">
        <f t="shared" si="4"/>
        <v>3.8243239999999998</v>
      </c>
      <c r="E20" s="6" t="s">
        <v>16</v>
      </c>
      <c r="F20" s="6">
        <f t="shared" ref="F20:F26" si="10">14.5/100</f>
        <v>0.14499999999999999</v>
      </c>
      <c r="G20" s="6">
        <f t="shared" ref="G20:G97" si="11">F20*D20</f>
        <v>0.55452697999999989</v>
      </c>
      <c r="H20" s="6" t="s">
        <v>12</v>
      </c>
      <c r="I20" s="6">
        <f>6.9/100</f>
        <v>6.9000000000000006E-2</v>
      </c>
      <c r="J20" s="6">
        <f t="shared" ref="J20:J25" si="12">I20*G20</f>
        <v>3.8262361619999997E-2</v>
      </c>
      <c r="K20" s="2" t="s">
        <v>33</v>
      </c>
      <c r="L20" s="2">
        <f>9.1/100</f>
        <v>9.0999999999999998E-2</v>
      </c>
      <c r="M20" s="2">
        <f t="shared" ref="M20:M26" si="13">L20*G20</f>
        <v>5.046195517999999E-2</v>
      </c>
    </row>
    <row r="21" spans="1:13" x14ac:dyDescent="0.25">
      <c r="A21" s="4">
        <v>26.193999999999999</v>
      </c>
      <c r="B21" s="4" t="s">
        <v>2</v>
      </c>
      <c r="C21" s="5">
        <f t="shared" si="0"/>
        <v>0.14599999999999999</v>
      </c>
      <c r="D21" s="6">
        <f t="shared" si="4"/>
        <v>3.8243239999999998</v>
      </c>
      <c r="E21" s="6" t="s">
        <v>16</v>
      </c>
      <c r="F21" s="6">
        <f t="shared" si="10"/>
        <v>0.14499999999999999</v>
      </c>
      <c r="G21" s="6">
        <f t="shared" si="11"/>
        <v>0.55452697999999989</v>
      </c>
      <c r="H21" s="6" t="s">
        <v>7</v>
      </c>
      <c r="I21" s="6">
        <f>0.4/100</f>
        <v>4.0000000000000001E-3</v>
      </c>
      <c r="J21" s="6">
        <f t="shared" si="12"/>
        <v>2.2181079199999998E-3</v>
      </c>
      <c r="K21" s="2" t="s">
        <v>34</v>
      </c>
      <c r="L21" s="2">
        <f>15.3/100</f>
        <v>0.153</v>
      </c>
      <c r="M21" s="2">
        <f t="shared" si="13"/>
        <v>8.4842627939999984E-2</v>
      </c>
    </row>
    <row r="22" spans="1:13" x14ac:dyDescent="0.25">
      <c r="A22" s="4">
        <v>26.193999999999999</v>
      </c>
      <c r="B22" s="4" t="s">
        <v>2</v>
      </c>
      <c r="C22" s="5">
        <f t="shared" si="0"/>
        <v>0.14599999999999999</v>
      </c>
      <c r="D22" s="6">
        <f t="shared" si="4"/>
        <v>3.8243239999999998</v>
      </c>
      <c r="E22" s="6" t="s">
        <v>16</v>
      </c>
      <c r="F22" s="6">
        <f t="shared" si="10"/>
        <v>0.14499999999999999</v>
      </c>
      <c r="G22" s="6">
        <f t="shared" si="11"/>
        <v>0.55452697999999989</v>
      </c>
      <c r="H22" s="6" t="s">
        <v>8</v>
      </c>
      <c r="I22" s="6">
        <f>27.6/100</f>
        <v>0.27600000000000002</v>
      </c>
      <c r="J22" s="6">
        <f t="shared" si="12"/>
        <v>0.15304944647999999</v>
      </c>
      <c r="K22" s="2" t="s">
        <v>35</v>
      </c>
      <c r="L22" s="2">
        <f>25.5/100</f>
        <v>0.255</v>
      </c>
      <c r="M22" s="2">
        <f t="shared" si="13"/>
        <v>0.14140437989999999</v>
      </c>
    </row>
    <row r="23" spans="1:13" x14ac:dyDescent="0.25">
      <c r="A23" s="4">
        <v>26.193999999999999</v>
      </c>
      <c r="B23" s="4" t="s">
        <v>2</v>
      </c>
      <c r="C23" s="5">
        <f t="shared" si="0"/>
        <v>0.14599999999999999</v>
      </c>
      <c r="D23" s="6">
        <f t="shared" si="4"/>
        <v>3.8243239999999998</v>
      </c>
      <c r="E23" s="6" t="s">
        <v>16</v>
      </c>
      <c r="F23" s="6">
        <f t="shared" si="10"/>
        <v>0.14499999999999999</v>
      </c>
      <c r="G23" s="6">
        <f t="shared" si="11"/>
        <v>0.55452697999999989</v>
      </c>
      <c r="H23" s="6" t="s">
        <v>10</v>
      </c>
      <c r="I23" s="6">
        <f>7.1/100</f>
        <v>7.0999999999999994E-2</v>
      </c>
      <c r="J23" s="6">
        <f t="shared" si="12"/>
        <v>3.9371415579999985E-2</v>
      </c>
      <c r="K23" s="2" t="s">
        <v>36</v>
      </c>
      <c r="L23" s="2">
        <f>24.4/100</f>
        <v>0.24399999999999999</v>
      </c>
      <c r="M23" s="2">
        <f t="shared" si="13"/>
        <v>0.13530458311999996</v>
      </c>
    </row>
    <row r="24" spans="1:13" x14ac:dyDescent="0.25">
      <c r="A24" s="4">
        <v>26.193999999999999</v>
      </c>
      <c r="B24" s="4" t="s">
        <v>2</v>
      </c>
      <c r="C24" s="5">
        <f t="shared" si="0"/>
        <v>0.14599999999999999</v>
      </c>
      <c r="D24" s="6">
        <f t="shared" si="4"/>
        <v>3.8243239999999998</v>
      </c>
      <c r="E24" s="6" t="s">
        <v>16</v>
      </c>
      <c r="F24" s="6">
        <f t="shared" si="10"/>
        <v>0.14499999999999999</v>
      </c>
      <c r="G24" s="6">
        <f t="shared" si="11"/>
        <v>0.55452697999999989</v>
      </c>
      <c r="H24" s="6" t="s">
        <v>9</v>
      </c>
      <c r="I24" s="6">
        <f>48.3/100</f>
        <v>0.48299999999999998</v>
      </c>
      <c r="J24" s="6">
        <f t="shared" si="12"/>
        <v>0.26783653133999996</v>
      </c>
      <c r="K24" s="2" t="s">
        <v>37</v>
      </c>
      <c r="L24" s="2">
        <f>21.9/100</f>
        <v>0.21899999999999997</v>
      </c>
      <c r="M24" s="2">
        <f t="shared" si="13"/>
        <v>0.12144140861999995</v>
      </c>
    </row>
    <row r="25" spans="1:13" x14ac:dyDescent="0.25">
      <c r="A25" s="4">
        <v>26.193999999999999</v>
      </c>
      <c r="B25" s="4" t="s">
        <v>2</v>
      </c>
      <c r="C25" s="5">
        <f t="shared" si="0"/>
        <v>0.14599999999999999</v>
      </c>
      <c r="D25" s="6">
        <f t="shared" si="4"/>
        <v>3.8243239999999998</v>
      </c>
      <c r="E25" s="6" t="s">
        <v>16</v>
      </c>
      <c r="F25" s="6">
        <f t="shared" si="10"/>
        <v>0.14499999999999999</v>
      </c>
      <c r="G25" s="6">
        <f t="shared" si="11"/>
        <v>0.55452697999999989</v>
      </c>
      <c r="H25" s="6" t="s">
        <v>55</v>
      </c>
      <c r="I25" s="6">
        <f>0.6/100</f>
        <v>6.0000000000000001E-3</v>
      </c>
      <c r="J25" s="6">
        <f t="shared" si="12"/>
        <v>3.3271618799999994E-3</v>
      </c>
      <c r="K25" s="2" t="s">
        <v>38</v>
      </c>
      <c r="L25" s="2">
        <f>1.1/100</f>
        <v>1.1000000000000001E-2</v>
      </c>
      <c r="M25" s="2">
        <f t="shared" si="13"/>
        <v>6.0997967799999997E-3</v>
      </c>
    </row>
    <row r="26" spans="1:13" x14ac:dyDescent="0.25">
      <c r="A26" s="4">
        <v>26.193999999999999</v>
      </c>
      <c r="B26" s="4" t="s">
        <v>2</v>
      </c>
      <c r="C26" s="5">
        <f t="shared" si="0"/>
        <v>0.14599999999999999</v>
      </c>
      <c r="D26" s="6">
        <f t="shared" si="4"/>
        <v>3.8243239999999998</v>
      </c>
      <c r="E26" s="6" t="s">
        <v>16</v>
      </c>
      <c r="F26" s="6">
        <f t="shared" si="10"/>
        <v>0.14499999999999999</v>
      </c>
      <c r="G26" s="6">
        <f t="shared" si="11"/>
        <v>0.55452697999999989</v>
      </c>
      <c r="H26" s="6"/>
      <c r="I26" s="6"/>
      <c r="J26" s="6"/>
      <c r="K26" s="2" t="s">
        <v>39</v>
      </c>
      <c r="L26" s="2">
        <f>0.7/100</f>
        <v>6.9999999999999993E-3</v>
      </c>
      <c r="M26" s="2">
        <f t="shared" si="13"/>
        <v>3.8816888599999991E-3</v>
      </c>
    </row>
    <row r="27" spans="1:13" x14ac:dyDescent="0.25">
      <c r="A27" s="4">
        <v>26.193999999999999</v>
      </c>
      <c r="B27" s="4" t="s">
        <v>2</v>
      </c>
      <c r="C27" s="5">
        <f t="shared" si="0"/>
        <v>0.14599999999999999</v>
      </c>
      <c r="D27" s="6">
        <f t="shared" si="4"/>
        <v>3.8243239999999998</v>
      </c>
      <c r="E27" s="6" t="s">
        <v>46</v>
      </c>
      <c r="F27" s="8">
        <f>16.6/100</f>
        <v>0.16600000000000001</v>
      </c>
      <c r="G27" s="6">
        <f t="shared" si="11"/>
        <v>0.63483778400000002</v>
      </c>
      <c r="H27" s="6" t="s">
        <v>11</v>
      </c>
      <c r="I27" s="8">
        <f>28.1/100</f>
        <v>0.28100000000000003</v>
      </c>
      <c r="J27" s="8">
        <f>I27*G27</f>
        <v>0.17838941730400001</v>
      </c>
      <c r="K27" s="2" t="s">
        <v>32</v>
      </c>
      <c r="L27" s="2">
        <f>2.6/100</f>
        <v>2.6000000000000002E-2</v>
      </c>
      <c r="M27" s="2">
        <f>L27*G27</f>
        <v>1.6505782384000002E-2</v>
      </c>
    </row>
    <row r="28" spans="1:13" x14ac:dyDescent="0.25">
      <c r="A28" s="4">
        <v>26.193999999999999</v>
      </c>
      <c r="B28" s="4" t="s">
        <v>2</v>
      </c>
      <c r="C28" s="5">
        <f t="shared" si="0"/>
        <v>0.14599999999999999</v>
      </c>
      <c r="D28" s="6">
        <f t="shared" si="4"/>
        <v>3.8243239999999998</v>
      </c>
      <c r="E28" s="6" t="s">
        <v>13</v>
      </c>
      <c r="F28" s="8">
        <f t="shared" ref="F28:F34" si="14">16.6/100</f>
        <v>0.16600000000000001</v>
      </c>
      <c r="G28" s="6">
        <f t="shared" si="11"/>
        <v>0.63483778400000002</v>
      </c>
      <c r="H28" s="6" t="s">
        <v>12</v>
      </c>
      <c r="I28" s="8">
        <f>13.2/100</f>
        <v>0.13200000000000001</v>
      </c>
      <c r="J28" s="8">
        <f t="shared" ref="J28:J32" si="15">I28*G28</f>
        <v>8.3798587488000009E-2</v>
      </c>
      <c r="K28" s="2" t="s">
        <v>33</v>
      </c>
      <c r="L28" s="2">
        <f>8.2/100</f>
        <v>8.199999999999999E-2</v>
      </c>
      <c r="M28" s="2">
        <f t="shared" ref="M28:M30" si="16">L28*G28</f>
        <v>5.2056698287999997E-2</v>
      </c>
    </row>
    <row r="29" spans="1:13" x14ac:dyDescent="0.25">
      <c r="A29" s="4">
        <v>26.193999999999999</v>
      </c>
      <c r="B29" s="4" t="s">
        <v>2</v>
      </c>
      <c r="C29" s="5">
        <f t="shared" si="0"/>
        <v>0.14599999999999999</v>
      </c>
      <c r="D29" s="6">
        <f t="shared" si="4"/>
        <v>3.8243239999999998</v>
      </c>
      <c r="E29" s="6" t="s">
        <v>13</v>
      </c>
      <c r="F29" s="8">
        <f t="shared" si="14"/>
        <v>0.16600000000000001</v>
      </c>
      <c r="G29" s="6">
        <f t="shared" si="11"/>
        <v>0.63483778400000002</v>
      </c>
      <c r="H29" s="6" t="s">
        <v>7</v>
      </c>
      <c r="I29" s="8">
        <f>1.6/100</f>
        <v>1.6E-2</v>
      </c>
      <c r="J29" s="8">
        <f t="shared" si="15"/>
        <v>1.0157404544E-2</v>
      </c>
      <c r="K29" s="2" t="s">
        <v>34</v>
      </c>
      <c r="L29" s="2">
        <f>13.8/100</f>
        <v>0.13800000000000001</v>
      </c>
      <c r="M29" s="2">
        <f t="shared" si="16"/>
        <v>8.7607614192000013E-2</v>
      </c>
    </row>
    <row r="30" spans="1:13" x14ac:dyDescent="0.25">
      <c r="A30" s="4">
        <v>26.193999999999999</v>
      </c>
      <c r="B30" s="4" t="s">
        <v>2</v>
      </c>
      <c r="C30" s="5">
        <f t="shared" si="0"/>
        <v>0.14599999999999999</v>
      </c>
      <c r="D30" s="6">
        <f t="shared" si="4"/>
        <v>3.8243239999999998</v>
      </c>
      <c r="E30" s="6" t="s">
        <v>13</v>
      </c>
      <c r="F30" s="8">
        <f t="shared" si="14"/>
        <v>0.16600000000000001</v>
      </c>
      <c r="G30" s="6">
        <f t="shared" si="11"/>
        <v>0.63483778400000002</v>
      </c>
      <c r="H30" s="6" t="s">
        <v>8</v>
      </c>
      <c r="I30" s="8">
        <f>32.2/100</f>
        <v>0.32200000000000001</v>
      </c>
      <c r="J30" s="8">
        <f t="shared" si="15"/>
        <v>0.204417766448</v>
      </c>
      <c r="K30" s="2" t="s">
        <v>35</v>
      </c>
      <c r="L30" s="2">
        <f>26.6/100</f>
        <v>0.26600000000000001</v>
      </c>
      <c r="M30" s="2">
        <f t="shared" si="16"/>
        <v>0.16886685054400002</v>
      </c>
    </row>
    <row r="31" spans="1:13" x14ac:dyDescent="0.25">
      <c r="A31" s="4">
        <v>26.193999999999999</v>
      </c>
      <c r="B31" s="4" t="s">
        <v>2</v>
      </c>
      <c r="C31" s="5">
        <f t="shared" si="0"/>
        <v>0.14599999999999999</v>
      </c>
      <c r="D31" s="6">
        <f t="shared" si="4"/>
        <v>3.8243239999999998</v>
      </c>
      <c r="E31" s="6" t="s">
        <v>13</v>
      </c>
      <c r="F31" s="8">
        <f t="shared" si="14"/>
        <v>0.16600000000000001</v>
      </c>
      <c r="G31" s="6">
        <f t="shared" si="11"/>
        <v>0.63483778400000002</v>
      </c>
      <c r="H31" s="6" t="s">
        <v>10</v>
      </c>
      <c r="I31" s="8">
        <f>4.3/100</f>
        <v>4.2999999999999997E-2</v>
      </c>
      <c r="J31" s="8">
        <f t="shared" si="15"/>
        <v>2.7298024711999998E-2</v>
      </c>
      <c r="K31" s="2" t="s">
        <v>36</v>
      </c>
      <c r="L31" s="2">
        <f>26.8/100</f>
        <v>0.26800000000000002</v>
      </c>
      <c r="M31" s="2" t="e">
        <f>#REF!*G31</f>
        <v>#REF!</v>
      </c>
    </row>
    <row r="32" spans="1:13" x14ac:dyDescent="0.25">
      <c r="A32" s="4">
        <v>26.193999999999999</v>
      </c>
      <c r="B32" s="4" t="s">
        <v>2</v>
      </c>
      <c r="C32" s="5">
        <f t="shared" si="0"/>
        <v>0.14599999999999999</v>
      </c>
      <c r="D32" s="6">
        <f t="shared" si="4"/>
        <v>3.8243239999999998</v>
      </c>
      <c r="E32" s="6" t="s">
        <v>13</v>
      </c>
      <c r="F32" s="8">
        <f t="shared" si="14"/>
        <v>0.16600000000000001</v>
      </c>
      <c r="G32" s="6">
        <f t="shared" si="11"/>
        <v>0.63483778400000002</v>
      </c>
      <c r="H32" s="6" t="s">
        <v>9</v>
      </c>
      <c r="I32" s="8">
        <f>19.5/100</f>
        <v>0.19500000000000001</v>
      </c>
      <c r="J32" s="8">
        <f t="shared" si="15"/>
        <v>0.12379336788</v>
      </c>
      <c r="K32" s="2" t="s">
        <v>37</v>
      </c>
      <c r="L32" s="2">
        <f>19/100</f>
        <v>0.19</v>
      </c>
      <c r="M32" s="2">
        <f>L31*G32</f>
        <v>0.170136526112</v>
      </c>
    </row>
    <row r="33" spans="1:13" x14ac:dyDescent="0.25">
      <c r="A33" s="4">
        <v>26.193999999999999</v>
      </c>
      <c r="B33" s="4" t="s">
        <v>2</v>
      </c>
      <c r="C33" s="5">
        <f t="shared" si="0"/>
        <v>0.14599999999999999</v>
      </c>
      <c r="D33" s="6">
        <f t="shared" si="4"/>
        <v>3.8243239999999998</v>
      </c>
      <c r="E33" s="6" t="s">
        <v>13</v>
      </c>
      <c r="F33" s="8">
        <f t="shared" si="14"/>
        <v>0.16600000000000001</v>
      </c>
      <c r="G33" s="6">
        <f t="shared" si="11"/>
        <v>0.63483778400000002</v>
      </c>
      <c r="H33" s="6" t="s">
        <v>55</v>
      </c>
      <c r="I33" s="8">
        <f>1.1/100</f>
        <v>1.1000000000000001E-2</v>
      </c>
      <c r="J33" s="8"/>
      <c r="K33" s="2" t="s">
        <v>38</v>
      </c>
      <c r="L33" s="2">
        <f>2/100</f>
        <v>0.02</v>
      </c>
      <c r="M33" s="2">
        <f>L32*G33</f>
        <v>0.12061917896</v>
      </c>
    </row>
    <row r="34" spans="1:13" x14ac:dyDescent="0.25">
      <c r="A34" s="4">
        <v>26.193999999999999</v>
      </c>
      <c r="B34" s="4" t="s">
        <v>2</v>
      </c>
      <c r="C34" s="5">
        <f t="shared" si="0"/>
        <v>0.14599999999999999</v>
      </c>
      <c r="D34" s="6">
        <f t="shared" si="4"/>
        <v>3.8243239999999998</v>
      </c>
      <c r="E34" s="6" t="s">
        <v>13</v>
      </c>
      <c r="F34" s="8">
        <f t="shared" si="14"/>
        <v>0.16600000000000001</v>
      </c>
      <c r="G34" s="6">
        <f t="shared" si="11"/>
        <v>0.63483778400000002</v>
      </c>
      <c r="H34" s="6"/>
      <c r="I34" s="8"/>
      <c r="J34" s="8"/>
      <c r="K34" s="2" t="s">
        <v>39</v>
      </c>
      <c r="L34" s="2">
        <f>1.1/100</f>
        <v>1.1000000000000001E-2</v>
      </c>
      <c r="M34" s="2">
        <f>L33*G34</f>
        <v>1.2696755680000001E-2</v>
      </c>
    </row>
    <row r="35" spans="1:13" x14ac:dyDescent="0.25">
      <c r="A35" s="4">
        <v>26.193999999999999</v>
      </c>
      <c r="B35" s="4" t="s">
        <v>2</v>
      </c>
      <c r="C35" s="5">
        <f t="shared" si="0"/>
        <v>0.14599999999999999</v>
      </c>
      <c r="D35" s="6">
        <f t="shared" si="4"/>
        <v>3.8243239999999998</v>
      </c>
      <c r="E35" s="8" t="s">
        <v>47</v>
      </c>
      <c r="F35" s="6">
        <f>11.1/100</f>
        <v>0.111</v>
      </c>
      <c r="G35" s="6">
        <f t="shared" si="11"/>
        <v>0.42449996400000001</v>
      </c>
      <c r="H35" s="6" t="s">
        <v>11</v>
      </c>
      <c r="I35" s="6">
        <f>0/100</f>
        <v>0</v>
      </c>
      <c r="J35" s="6">
        <f>I35*G35</f>
        <v>0</v>
      </c>
      <c r="K35" s="2" t="s">
        <v>32</v>
      </c>
      <c r="L35" s="2">
        <f>0/100</f>
        <v>0</v>
      </c>
      <c r="M35" s="2">
        <f>L35*G35</f>
        <v>0</v>
      </c>
    </row>
    <row r="36" spans="1:13" x14ac:dyDescent="0.25">
      <c r="A36" s="4">
        <v>26.193999999999999</v>
      </c>
      <c r="B36" s="4" t="s">
        <v>2</v>
      </c>
      <c r="C36" s="5">
        <f t="shared" si="0"/>
        <v>0.14599999999999999</v>
      </c>
      <c r="D36" s="6">
        <f t="shared" si="4"/>
        <v>3.8243239999999998</v>
      </c>
      <c r="E36" s="8" t="s">
        <v>17</v>
      </c>
      <c r="F36" s="6">
        <f t="shared" ref="F36:F42" si="17">11.1/100</f>
        <v>0.111</v>
      </c>
      <c r="G36" s="6">
        <f t="shared" si="11"/>
        <v>0.42449996400000001</v>
      </c>
      <c r="H36" s="6" t="s">
        <v>12</v>
      </c>
      <c r="I36" s="6">
        <f>6.5/100</f>
        <v>6.5000000000000002E-2</v>
      </c>
      <c r="J36" s="6">
        <f t="shared" ref="J36:J41" si="18">I36*G36</f>
        <v>2.7592497660000003E-2</v>
      </c>
      <c r="K36" s="2" t="s">
        <v>33</v>
      </c>
      <c r="L36" s="2">
        <f>0/100</f>
        <v>0</v>
      </c>
      <c r="M36" s="2">
        <f t="shared" ref="M36:M42" si="19">L36*G36</f>
        <v>0</v>
      </c>
    </row>
    <row r="37" spans="1:13" x14ac:dyDescent="0.25">
      <c r="A37" s="4">
        <v>26.193999999999999</v>
      </c>
      <c r="B37" s="4" t="s">
        <v>2</v>
      </c>
      <c r="C37" s="5">
        <f t="shared" si="0"/>
        <v>0.14599999999999999</v>
      </c>
      <c r="D37" s="6">
        <f t="shared" si="4"/>
        <v>3.8243239999999998</v>
      </c>
      <c r="E37" s="8" t="s">
        <v>17</v>
      </c>
      <c r="F37" s="6">
        <f t="shared" si="17"/>
        <v>0.111</v>
      </c>
      <c r="G37" s="6">
        <f t="shared" si="11"/>
        <v>0.42449996400000001</v>
      </c>
      <c r="H37" s="6" t="s">
        <v>7</v>
      </c>
      <c r="I37" s="6">
        <f>0/100</f>
        <v>0</v>
      </c>
      <c r="J37" s="6">
        <f t="shared" si="18"/>
        <v>0</v>
      </c>
      <c r="K37" s="2" t="s">
        <v>34</v>
      </c>
      <c r="L37" s="2">
        <f>38/100</f>
        <v>0.38</v>
      </c>
      <c r="M37" s="2">
        <f t="shared" si="19"/>
        <v>0.16130998632000002</v>
      </c>
    </row>
    <row r="38" spans="1:13" x14ac:dyDescent="0.25">
      <c r="A38" s="4">
        <v>26.193999999999999</v>
      </c>
      <c r="B38" s="4" t="s">
        <v>2</v>
      </c>
      <c r="C38" s="5">
        <f t="shared" si="0"/>
        <v>0.14599999999999999</v>
      </c>
      <c r="D38" s="6">
        <f t="shared" si="4"/>
        <v>3.8243239999999998</v>
      </c>
      <c r="E38" s="8" t="s">
        <v>17</v>
      </c>
      <c r="F38" s="6">
        <f t="shared" si="17"/>
        <v>0.111</v>
      </c>
      <c r="G38" s="6">
        <f t="shared" si="11"/>
        <v>0.42449996400000001</v>
      </c>
      <c r="H38" s="6" t="s">
        <v>8</v>
      </c>
      <c r="I38" s="6">
        <f>52.5/100</f>
        <v>0.52500000000000002</v>
      </c>
      <c r="J38" s="6">
        <f t="shared" si="18"/>
        <v>0.22286248110000001</v>
      </c>
      <c r="K38" s="2" t="s">
        <v>35</v>
      </c>
      <c r="L38" s="2">
        <f>18.4/100</f>
        <v>0.184</v>
      </c>
      <c r="M38" s="2">
        <f t="shared" si="19"/>
        <v>7.8107993375999996E-2</v>
      </c>
    </row>
    <row r="39" spans="1:13" x14ac:dyDescent="0.25">
      <c r="A39" s="4">
        <v>26.193999999999999</v>
      </c>
      <c r="B39" s="4" t="s">
        <v>2</v>
      </c>
      <c r="C39" s="5">
        <f t="shared" si="0"/>
        <v>0.14599999999999999</v>
      </c>
      <c r="D39" s="6">
        <f t="shared" si="4"/>
        <v>3.8243239999999998</v>
      </c>
      <c r="E39" s="8" t="s">
        <v>17</v>
      </c>
      <c r="F39" s="6">
        <f t="shared" si="17"/>
        <v>0.111</v>
      </c>
      <c r="G39" s="6">
        <f t="shared" si="11"/>
        <v>0.42449996400000001</v>
      </c>
      <c r="H39" s="6" t="s">
        <v>10</v>
      </c>
      <c r="I39" s="6">
        <f>0/100</f>
        <v>0</v>
      </c>
      <c r="J39" s="6">
        <f t="shared" si="18"/>
        <v>0</v>
      </c>
      <c r="K39" s="2" t="s">
        <v>36</v>
      </c>
      <c r="L39" s="2">
        <f>12.8/100</f>
        <v>0.128</v>
      </c>
      <c r="M39" s="2">
        <f t="shared" si="19"/>
        <v>5.4335995392E-2</v>
      </c>
    </row>
    <row r="40" spans="1:13" x14ac:dyDescent="0.25">
      <c r="A40" s="4">
        <v>26.193999999999999</v>
      </c>
      <c r="B40" s="4" t="s">
        <v>2</v>
      </c>
      <c r="C40" s="5">
        <f t="shared" si="0"/>
        <v>0.14599999999999999</v>
      </c>
      <c r="D40" s="6">
        <f t="shared" si="4"/>
        <v>3.8243239999999998</v>
      </c>
      <c r="E40" s="8" t="s">
        <v>17</v>
      </c>
      <c r="F40" s="6">
        <f t="shared" si="17"/>
        <v>0.111</v>
      </c>
      <c r="G40" s="6">
        <f t="shared" si="11"/>
        <v>0.42449996400000001</v>
      </c>
      <c r="H40" s="6" t="s">
        <v>9</v>
      </c>
      <c r="I40" s="6">
        <f>26.6/100</f>
        <v>0.26600000000000001</v>
      </c>
      <c r="J40" s="6">
        <f t="shared" si="18"/>
        <v>0.11291699042400001</v>
      </c>
      <c r="K40" s="2" t="s">
        <v>37</v>
      </c>
      <c r="L40" s="2">
        <f>30.9/100</f>
        <v>0.309</v>
      </c>
      <c r="M40" s="2">
        <f t="shared" si="19"/>
        <v>0.131170488876</v>
      </c>
    </row>
    <row r="41" spans="1:13" x14ac:dyDescent="0.25">
      <c r="A41" s="4">
        <v>26.193999999999999</v>
      </c>
      <c r="B41" s="4" t="s">
        <v>2</v>
      </c>
      <c r="C41" s="5">
        <f t="shared" si="0"/>
        <v>0.14599999999999999</v>
      </c>
      <c r="D41" s="6">
        <f t="shared" si="4"/>
        <v>3.8243239999999998</v>
      </c>
      <c r="E41" s="8" t="s">
        <v>17</v>
      </c>
      <c r="F41" s="6">
        <f t="shared" si="17"/>
        <v>0.111</v>
      </c>
      <c r="G41" s="6">
        <f t="shared" si="11"/>
        <v>0.42449996400000001</v>
      </c>
      <c r="H41" s="6" t="s">
        <v>55</v>
      </c>
      <c r="I41" s="6">
        <f>14.4/100</f>
        <v>0.14400000000000002</v>
      </c>
      <c r="J41" s="6">
        <f t="shared" si="18"/>
        <v>6.1127994816000009E-2</v>
      </c>
      <c r="K41" s="2" t="s">
        <v>38</v>
      </c>
      <c r="L41" s="2">
        <f>0/100</f>
        <v>0</v>
      </c>
      <c r="M41" s="2">
        <f t="shared" si="19"/>
        <v>0</v>
      </c>
    </row>
    <row r="42" spans="1:13" x14ac:dyDescent="0.25">
      <c r="A42" s="4">
        <v>26.193999999999999</v>
      </c>
      <c r="B42" s="4" t="s">
        <v>2</v>
      </c>
      <c r="C42" s="5">
        <f t="shared" si="0"/>
        <v>0.14599999999999999</v>
      </c>
      <c r="D42" s="6">
        <f t="shared" si="4"/>
        <v>3.8243239999999998</v>
      </c>
      <c r="E42" s="8" t="s">
        <v>17</v>
      </c>
      <c r="F42" s="6">
        <f t="shared" si="17"/>
        <v>0.111</v>
      </c>
      <c r="G42" s="6">
        <f t="shared" si="11"/>
        <v>0.42449996400000001</v>
      </c>
      <c r="H42" s="6"/>
      <c r="I42" s="6"/>
      <c r="J42" s="6"/>
      <c r="K42" s="2" t="s">
        <v>39</v>
      </c>
      <c r="L42" s="2">
        <f>0/100</f>
        <v>0</v>
      </c>
      <c r="M42" s="2">
        <f t="shared" si="19"/>
        <v>0</v>
      </c>
    </row>
    <row r="43" spans="1:13" x14ac:dyDescent="0.25">
      <c r="A43" s="4">
        <v>26.193999999999999</v>
      </c>
      <c r="B43" s="4" t="s">
        <v>2</v>
      </c>
      <c r="C43" s="5">
        <f t="shared" si="0"/>
        <v>0.14599999999999999</v>
      </c>
      <c r="D43" s="6">
        <f t="shared" si="4"/>
        <v>3.8243239999999998</v>
      </c>
      <c r="E43" s="2" t="s">
        <v>18</v>
      </c>
      <c r="F43" s="6">
        <f>8/100</f>
        <v>0.08</v>
      </c>
      <c r="G43" s="6">
        <f t="shared" si="11"/>
        <v>0.30594591999999998</v>
      </c>
      <c r="H43" s="6" t="s">
        <v>11</v>
      </c>
      <c r="I43" s="8">
        <f>39.1/100</f>
        <v>0.39100000000000001</v>
      </c>
      <c r="J43" s="6">
        <f>I43*G43</f>
        <v>0.11962485471999999</v>
      </c>
      <c r="K43" s="2" t="s">
        <v>32</v>
      </c>
      <c r="L43" s="2">
        <f>3.6/100</f>
        <v>3.6000000000000004E-2</v>
      </c>
      <c r="M43" s="2">
        <f>L43*G43</f>
        <v>1.1014053120000001E-2</v>
      </c>
    </row>
    <row r="44" spans="1:13" x14ac:dyDescent="0.25">
      <c r="A44" s="4">
        <v>26.193999999999999</v>
      </c>
      <c r="B44" s="4" t="s">
        <v>2</v>
      </c>
      <c r="C44" s="5">
        <f t="shared" si="0"/>
        <v>0.14599999999999999</v>
      </c>
      <c r="D44" s="6">
        <f t="shared" si="4"/>
        <v>3.8243239999999998</v>
      </c>
      <c r="E44" s="2" t="s">
        <v>18</v>
      </c>
      <c r="F44" s="6">
        <f t="shared" ref="F44:F50" si="20">8/100</f>
        <v>0.08</v>
      </c>
      <c r="G44" s="6">
        <f t="shared" si="11"/>
        <v>0.30594591999999998</v>
      </c>
      <c r="H44" s="6" t="s">
        <v>12</v>
      </c>
      <c r="I44" s="8">
        <f>11/100</f>
        <v>0.11</v>
      </c>
      <c r="J44" s="6">
        <f t="shared" ref="J44:J49" si="21">I44*G44</f>
        <v>3.36540512E-2</v>
      </c>
      <c r="K44" s="2" t="s">
        <v>33</v>
      </c>
      <c r="L44" s="2">
        <f>9.3/100</f>
        <v>9.3000000000000013E-2</v>
      </c>
      <c r="M44" s="2">
        <f t="shared" ref="M44:M50" si="22">L44*G44</f>
        <v>2.8452970560000002E-2</v>
      </c>
    </row>
    <row r="45" spans="1:13" x14ac:dyDescent="0.25">
      <c r="A45" s="4">
        <v>26.193999999999999</v>
      </c>
      <c r="B45" s="4" t="s">
        <v>2</v>
      </c>
      <c r="C45" s="5">
        <f t="shared" si="0"/>
        <v>0.14599999999999999</v>
      </c>
      <c r="D45" s="6">
        <f t="shared" si="4"/>
        <v>3.8243239999999998</v>
      </c>
      <c r="E45" s="2" t="s">
        <v>18</v>
      </c>
      <c r="F45" s="6">
        <f t="shared" si="20"/>
        <v>0.08</v>
      </c>
      <c r="G45" s="6">
        <f t="shared" si="11"/>
        <v>0.30594591999999998</v>
      </c>
      <c r="H45" s="6" t="s">
        <v>7</v>
      </c>
      <c r="I45" s="8">
        <f>0.5/100</f>
        <v>5.0000000000000001E-3</v>
      </c>
      <c r="J45" s="6">
        <f t="shared" si="21"/>
        <v>1.5297295999999998E-3</v>
      </c>
      <c r="K45" s="2" t="s">
        <v>34</v>
      </c>
      <c r="L45" s="2">
        <f>13.9/100</f>
        <v>0.13900000000000001</v>
      </c>
      <c r="M45" s="2">
        <f t="shared" si="22"/>
        <v>4.2526482880000001E-2</v>
      </c>
    </row>
    <row r="46" spans="1:13" x14ac:dyDescent="0.25">
      <c r="A46" s="4">
        <v>26.193999999999999</v>
      </c>
      <c r="B46" s="4" t="s">
        <v>2</v>
      </c>
      <c r="C46" s="5">
        <f t="shared" si="0"/>
        <v>0.14599999999999999</v>
      </c>
      <c r="D46" s="6">
        <f t="shared" si="4"/>
        <v>3.8243239999999998</v>
      </c>
      <c r="E46" s="2" t="s">
        <v>18</v>
      </c>
      <c r="F46" s="6">
        <f t="shared" si="20"/>
        <v>0.08</v>
      </c>
      <c r="G46" s="6">
        <f t="shared" si="11"/>
        <v>0.30594591999999998</v>
      </c>
      <c r="H46" s="6" t="s">
        <v>8</v>
      </c>
      <c r="I46" s="8">
        <f>24.4/100</f>
        <v>0.24399999999999999</v>
      </c>
      <c r="J46" s="6">
        <f>I49*G46</f>
        <v>1.83567552E-3</v>
      </c>
      <c r="K46" s="2" t="s">
        <v>35</v>
      </c>
      <c r="L46" s="2">
        <f>29.5/100</f>
        <v>0.29499999999999998</v>
      </c>
      <c r="M46" s="2">
        <f t="shared" si="22"/>
        <v>9.0254046399999996E-2</v>
      </c>
    </row>
    <row r="47" spans="1:13" x14ac:dyDescent="0.25">
      <c r="A47" s="4">
        <v>26.193999999999999</v>
      </c>
      <c r="B47" s="4" t="s">
        <v>2</v>
      </c>
      <c r="C47" s="5">
        <f t="shared" si="0"/>
        <v>0.14599999999999999</v>
      </c>
      <c r="D47" s="6">
        <f t="shared" si="4"/>
        <v>3.8243239999999998</v>
      </c>
      <c r="E47" s="2" t="s">
        <v>18</v>
      </c>
      <c r="F47" s="6">
        <f t="shared" si="20"/>
        <v>0.08</v>
      </c>
      <c r="G47" s="6">
        <f t="shared" si="11"/>
        <v>0.30594591999999998</v>
      </c>
      <c r="H47" s="6" t="s">
        <v>10</v>
      </c>
      <c r="I47" s="8">
        <f>5.5/100</f>
        <v>5.5E-2</v>
      </c>
      <c r="J47" s="6">
        <f>I46*G47</f>
        <v>7.4650804479999999E-2</v>
      </c>
      <c r="K47" s="2" t="s">
        <v>36</v>
      </c>
      <c r="L47" s="2">
        <f>27.3/100</f>
        <v>0.27300000000000002</v>
      </c>
      <c r="M47" s="2">
        <f t="shared" si="22"/>
        <v>8.352323616E-2</v>
      </c>
    </row>
    <row r="48" spans="1:13" x14ac:dyDescent="0.25">
      <c r="A48" s="4">
        <v>26.193999999999999</v>
      </c>
      <c r="B48" s="4" t="s">
        <v>2</v>
      </c>
      <c r="C48" s="5">
        <f t="shared" si="0"/>
        <v>0.14599999999999999</v>
      </c>
      <c r="D48" s="6">
        <f t="shared" si="4"/>
        <v>3.8243239999999998</v>
      </c>
      <c r="E48" s="2" t="s">
        <v>48</v>
      </c>
      <c r="F48" s="6">
        <f t="shared" si="20"/>
        <v>0.08</v>
      </c>
      <c r="G48" s="6">
        <f t="shared" si="11"/>
        <v>0.30594591999999998</v>
      </c>
      <c r="H48" s="6" t="s">
        <v>9</v>
      </c>
      <c r="I48" s="8">
        <f>19/100</f>
        <v>0.19</v>
      </c>
      <c r="J48" s="6">
        <f t="shared" si="21"/>
        <v>5.8129724799999997E-2</v>
      </c>
      <c r="K48" s="2" t="s">
        <v>37</v>
      </c>
      <c r="L48" s="2">
        <f>13.2/100</f>
        <v>0.13200000000000001</v>
      </c>
      <c r="M48" s="2">
        <f t="shared" si="22"/>
        <v>4.0384861440000003E-2</v>
      </c>
    </row>
    <row r="49" spans="1:13" x14ac:dyDescent="0.25">
      <c r="A49" s="4">
        <v>26.193999999999999</v>
      </c>
      <c r="B49" s="4" t="s">
        <v>2</v>
      </c>
      <c r="C49" s="5">
        <f t="shared" si="0"/>
        <v>0.14599999999999999</v>
      </c>
      <c r="D49" s="6">
        <f t="shared" si="4"/>
        <v>3.8243239999999998</v>
      </c>
      <c r="E49" s="2" t="s">
        <v>18</v>
      </c>
      <c r="F49" s="6">
        <f t="shared" si="20"/>
        <v>0.08</v>
      </c>
      <c r="G49" s="6">
        <f t="shared" si="11"/>
        <v>0.30594591999999998</v>
      </c>
      <c r="H49" s="6" t="s">
        <v>55</v>
      </c>
      <c r="I49" s="8">
        <f>0.6/100</f>
        <v>6.0000000000000001E-3</v>
      </c>
      <c r="J49" s="6">
        <f t="shared" si="21"/>
        <v>1.83567552E-3</v>
      </c>
      <c r="K49" s="2" t="s">
        <v>38</v>
      </c>
      <c r="L49" s="2">
        <f>2/100</f>
        <v>0.02</v>
      </c>
      <c r="M49" s="2">
        <f t="shared" si="22"/>
        <v>6.1189183999999994E-3</v>
      </c>
    </row>
    <row r="50" spans="1:13" x14ac:dyDescent="0.25">
      <c r="A50" s="4">
        <v>26.193999999999999</v>
      </c>
      <c r="B50" s="4" t="s">
        <v>2</v>
      </c>
      <c r="C50" s="5">
        <f t="shared" si="0"/>
        <v>0.14599999999999999</v>
      </c>
      <c r="D50" s="6">
        <f t="shared" si="4"/>
        <v>3.8243239999999998</v>
      </c>
      <c r="E50" s="2" t="s">
        <v>18</v>
      </c>
      <c r="F50" s="6">
        <f t="shared" si="20"/>
        <v>0.08</v>
      </c>
      <c r="G50" s="6">
        <f t="shared" si="11"/>
        <v>0.30594591999999998</v>
      </c>
      <c r="H50" s="6"/>
      <c r="I50" s="6"/>
      <c r="J50" s="6"/>
      <c r="K50" s="2" t="s">
        <v>39</v>
      </c>
      <c r="L50" s="2">
        <f>1.2/100</f>
        <v>1.2E-2</v>
      </c>
      <c r="M50" s="2">
        <f t="shared" si="22"/>
        <v>3.6713510400000001E-3</v>
      </c>
    </row>
    <row r="51" spans="1:13" x14ac:dyDescent="0.25">
      <c r="A51" s="4">
        <v>26.193999999999999</v>
      </c>
      <c r="B51" s="2" t="s">
        <v>19</v>
      </c>
      <c r="C51" s="6">
        <f>85.4/100</f>
        <v>0.85400000000000009</v>
      </c>
      <c r="D51" s="6">
        <f t="shared" si="4"/>
        <v>22.369676000000002</v>
      </c>
      <c r="E51" s="6" t="s">
        <v>54</v>
      </c>
      <c r="F51" s="6">
        <f>80.5/100</f>
        <v>0.80500000000000005</v>
      </c>
      <c r="G51" s="6">
        <f t="shared" si="11"/>
        <v>18.007589180000004</v>
      </c>
      <c r="H51" s="6" t="s">
        <v>11</v>
      </c>
      <c r="I51" s="6">
        <f>12.8/100</f>
        <v>0.128</v>
      </c>
      <c r="J51" s="6">
        <f>I51*G51</f>
        <v>2.3049714150400007</v>
      </c>
      <c r="K51" s="2" t="s">
        <v>32</v>
      </c>
      <c r="L51" s="2">
        <f>3.5/100</f>
        <v>3.5000000000000003E-2</v>
      </c>
      <c r="M51" s="2">
        <f>L51*G51</f>
        <v>0.63026562130000019</v>
      </c>
    </row>
    <row r="52" spans="1:13" x14ac:dyDescent="0.25">
      <c r="A52" s="4">
        <v>26.193999999999999</v>
      </c>
      <c r="B52" s="2" t="s">
        <v>19</v>
      </c>
      <c r="C52" s="6">
        <f t="shared" ref="C52:C98" si="23">85.4/100</f>
        <v>0.85400000000000009</v>
      </c>
      <c r="D52" s="6">
        <f t="shared" si="4"/>
        <v>22.369676000000002</v>
      </c>
      <c r="E52" s="6" t="s">
        <v>14</v>
      </c>
      <c r="F52" s="6">
        <f t="shared" ref="F52:F58" si="24">80.5/100</f>
        <v>0.80500000000000005</v>
      </c>
      <c r="G52" s="6">
        <f t="shared" si="11"/>
        <v>18.007589180000004</v>
      </c>
      <c r="H52" s="6" t="s">
        <v>12</v>
      </c>
      <c r="I52" s="6">
        <f>19.1/100</f>
        <v>0.191</v>
      </c>
      <c r="J52" s="6">
        <f t="shared" ref="J52:J55" si="25">I52*G52</f>
        <v>3.4394495333800008</v>
      </c>
      <c r="K52" s="2" t="s">
        <v>33</v>
      </c>
      <c r="L52" s="2">
        <f>10.7/100</f>
        <v>0.107</v>
      </c>
      <c r="M52" s="2">
        <f t="shared" ref="M52:M58" si="26">L52*G52</f>
        <v>1.9268120422600004</v>
      </c>
    </row>
    <row r="53" spans="1:13" x14ac:dyDescent="0.25">
      <c r="A53" s="4">
        <v>26.193999999999999</v>
      </c>
      <c r="B53" s="2" t="s">
        <v>19</v>
      </c>
      <c r="C53" s="6">
        <f t="shared" si="23"/>
        <v>0.85400000000000009</v>
      </c>
      <c r="D53" s="6">
        <f t="shared" si="4"/>
        <v>22.369676000000002</v>
      </c>
      <c r="E53" s="6" t="s">
        <v>14</v>
      </c>
      <c r="F53" s="6">
        <f t="shared" si="24"/>
        <v>0.80500000000000005</v>
      </c>
      <c r="G53" s="6">
        <f t="shared" si="11"/>
        <v>18.007589180000004</v>
      </c>
      <c r="H53" s="6" t="s">
        <v>7</v>
      </c>
      <c r="I53" s="14">
        <f>1.7/100</f>
        <v>1.7000000000000001E-2</v>
      </c>
      <c r="J53" s="6">
        <f t="shared" si="25"/>
        <v>0.30612901606000009</v>
      </c>
      <c r="K53" s="2" t="s">
        <v>34</v>
      </c>
      <c r="L53" s="2">
        <f>17/100</f>
        <v>0.17</v>
      </c>
      <c r="M53" s="2">
        <f t="shared" si="26"/>
        <v>3.0612901606000009</v>
      </c>
    </row>
    <row r="54" spans="1:13" x14ac:dyDescent="0.25">
      <c r="A54" s="4">
        <v>26.193999999999999</v>
      </c>
      <c r="B54" s="2" t="s">
        <v>19</v>
      </c>
      <c r="C54" s="6">
        <f t="shared" si="23"/>
        <v>0.85400000000000009</v>
      </c>
      <c r="D54" s="6">
        <f t="shared" si="4"/>
        <v>22.369676000000002</v>
      </c>
      <c r="E54" s="6" t="s">
        <v>14</v>
      </c>
      <c r="F54" s="6">
        <f t="shared" si="24"/>
        <v>0.80500000000000005</v>
      </c>
      <c r="G54" s="6">
        <f t="shared" si="11"/>
        <v>18.007589180000004</v>
      </c>
      <c r="H54" s="6" t="s">
        <v>8</v>
      </c>
      <c r="I54" s="6">
        <f>37.7/100</f>
        <v>0.377</v>
      </c>
      <c r="J54" s="6">
        <f t="shared" si="25"/>
        <v>6.7888611208600018</v>
      </c>
      <c r="K54" s="2" t="s">
        <v>35</v>
      </c>
      <c r="L54" s="2">
        <f>26.4/100</f>
        <v>0.26400000000000001</v>
      </c>
      <c r="M54" s="2">
        <f t="shared" si="26"/>
        <v>4.7540035435200014</v>
      </c>
    </row>
    <row r="55" spans="1:13" x14ac:dyDescent="0.25">
      <c r="A55" s="4">
        <v>26.193999999999999</v>
      </c>
      <c r="B55" s="2" t="s">
        <v>19</v>
      </c>
      <c r="C55" s="6">
        <f t="shared" si="23"/>
        <v>0.85400000000000009</v>
      </c>
      <c r="D55" s="6">
        <f t="shared" si="4"/>
        <v>22.369676000000002</v>
      </c>
      <c r="E55" s="6" t="s">
        <v>14</v>
      </c>
      <c r="F55" s="6">
        <f t="shared" si="24"/>
        <v>0.80500000000000005</v>
      </c>
      <c r="G55" s="6">
        <f t="shared" si="11"/>
        <v>18.007589180000004</v>
      </c>
      <c r="H55" s="6" t="s">
        <v>10</v>
      </c>
      <c r="I55" s="6">
        <f>3.6/100</f>
        <v>3.6000000000000004E-2</v>
      </c>
      <c r="J55" s="6">
        <f t="shared" si="25"/>
        <v>0.64827321048000019</v>
      </c>
      <c r="K55" s="2" t="s">
        <v>36</v>
      </c>
      <c r="L55" s="2">
        <f>21.6/100</f>
        <v>0.21600000000000003</v>
      </c>
      <c r="M55" s="2">
        <f t="shared" si="26"/>
        <v>3.8896392628800012</v>
      </c>
    </row>
    <row r="56" spans="1:13" x14ac:dyDescent="0.25">
      <c r="A56" s="4">
        <v>26.193999999999999</v>
      </c>
      <c r="B56" s="2" t="s">
        <v>19</v>
      </c>
      <c r="C56" s="6">
        <f t="shared" si="23"/>
        <v>0.85400000000000009</v>
      </c>
      <c r="D56" s="6">
        <f t="shared" si="4"/>
        <v>22.369676000000002</v>
      </c>
      <c r="E56" s="6" t="s">
        <v>14</v>
      </c>
      <c r="F56" s="6">
        <f t="shared" si="24"/>
        <v>0.80500000000000005</v>
      </c>
      <c r="G56" s="6">
        <f t="shared" si="11"/>
        <v>18.007589180000004</v>
      </c>
      <c r="H56" s="6" t="s">
        <v>9</v>
      </c>
      <c r="I56" s="6">
        <f>22.8/100</f>
        <v>0.22800000000000001</v>
      </c>
      <c r="J56" s="6">
        <f>I57*G56</f>
        <v>0.43218214032000007</v>
      </c>
      <c r="K56" s="2" t="s">
        <v>37</v>
      </c>
      <c r="L56" s="2">
        <f>16.9/100</f>
        <v>0.16899999999999998</v>
      </c>
      <c r="M56" s="2">
        <f t="shared" si="26"/>
        <v>3.0432825714200002</v>
      </c>
    </row>
    <row r="57" spans="1:13" x14ac:dyDescent="0.25">
      <c r="A57" s="4">
        <v>26.193999999999999</v>
      </c>
      <c r="B57" s="2" t="s">
        <v>19</v>
      </c>
      <c r="C57" s="6">
        <f t="shared" si="23"/>
        <v>0.85400000000000009</v>
      </c>
      <c r="D57" s="6">
        <f t="shared" si="4"/>
        <v>22.369676000000002</v>
      </c>
      <c r="E57" s="6" t="s">
        <v>14</v>
      </c>
      <c r="F57" s="6">
        <f t="shared" si="24"/>
        <v>0.80500000000000005</v>
      </c>
      <c r="G57" s="6">
        <f t="shared" si="11"/>
        <v>18.007589180000004</v>
      </c>
      <c r="H57" s="6" t="s">
        <v>55</v>
      </c>
      <c r="I57" s="6">
        <f>2.4/100</f>
        <v>2.4E-2</v>
      </c>
      <c r="J57" s="6">
        <f>I57*G57</f>
        <v>0.43218214032000007</v>
      </c>
      <c r="K57" s="2" t="s">
        <v>38</v>
      </c>
      <c r="L57" s="2">
        <f>2.5/100</f>
        <v>2.5000000000000001E-2</v>
      </c>
      <c r="M57" s="2">
        <f t="shared" si="26"/>
        <v>0.45018972950000014</v>
      </c>
    </row>
    <row r="58" spans="1:13" x14ac:dyDescent="0.25">
      <c r="A58" s="4">
        <v>26.193999999999999</v>
      </c>
      <c r="B58" s="2" t="s">
        <v>19</v>
      </c>
      <c r="C58" s="6">
        <f t="shared" si="23"/>
        <v>0.85400000000000009</v>
      </c>
      <c r="D58" s="6">
        <f t="shared" si="4"/>
        <v>22.369676000000002</v>
      </c>
      <c r="E58" s="6" t="s">
        <v>14</v>
      </c>
      <c r="F58" s="6">
        <f t="shared" si="24"/>
        <v>0.80500000000000005</v>
      </c>
      <c r="G58" s="6">
        <f t="shared" si="11"/>
        <v>18.007589180000004</v>
      </c>
      <c r="H58" s="6"/>
      <c r="I58" s="6"/>
      <c r="J58" s="6"/>
      <c r="K58" s="2" t="s">
        <v>39</v>
      </c>
      <c r="L58" s="2">
        <f>1.3/100</f>
        <v>1.3000000000000001E-2</v>
      </c>
      <c r="M58" s="2">
        <f t="shared" si="26"/>
        <v>0.23409865934000007</v>
      </c>
    </row>
    <row r="59" spans="1:13" x14ac:dyDescent="0.25">
      <c r="A59" s="4">
        <v>26.193999999999999</v>
      </c>
      <c r="B59" s="2" t="s">
        <v>19</v>
      </c>
      <c r="C59" s="6">
        <f t="shared" si="23"/>
        <v>0.85400000000000009</v>
      </c>
      <c r="D59" s="6">
        <f t="shared" si="4"/>
        <v>22.369676000000002</v>
      </c>
      <c r="E59" s="6" t="s">
        <v>52</v>
      </c>
      <c r="F59" s="6">
        <f>85.1/100</f>
        <v>0.85099999999999998</v>
      </c>
      <c r="G59" s="6">
        <f t="shared" si="11"/>
        <v>19.036594276000002</v>
      </c>
      <c r="H59" s="6" t="s">
        <v>11</v>
      </c>
      <c r="I59" s="6">
        <f>9.1/100</f>
        <v>9.0999999999999998E-2</v>
      </c>
      <c r="J59" s="6">
        <f>I59*G59</f>
        <v>1.7323300791160001</v>
      </c>
      <c r="K59" s="2" t="s">
        <v>32</v>
      </c>
      <c r="L59" s="2">
        <f>0.9/100</f>
        <v>9.0000000000000011E-3</v>
      </c>
      <c r="M59" s="2">
        <f>L59*G59</f>
        <v>0.17132934848400005</v>
      </c>
    </row>
    <row r="60" spans="1:13" x14ac:dyDescent="0.25">
      <c r="A60" s="4">
        <v>26.193999999999999</v>
      </c>
      <c r="B60" s="2" t="s">
        <v>19</v>
      </c>
      <c r="C60" s="6">
        <f t="shared" si="23"/>
        <v>0.85400000000000009</v>
      </c>
      <c r="D60" s="6">
        <f t="shared" si="4"/>
        <v>22.369676000000002</v>
      </c>
      <c r="E60" s="6" t="s">
        <v>15</v>
      </c>
      <c r="F60" s="6">
        <f>85.1/100</f>
        <v>0.85099999999999998</v>
      </c>
      <c r="G60" s="6">
        <f t="shared" si="11"/>
        <v>19.036594276000002</v>
      </c>
      <c r="H60" s="6" t="s">
        <v>12</v>
      </c>
      <c r="I60" s="6">
        <f>12.8/100</f>
        <v>0.128</v>
      </c>
      <c r="J60" s="6">
        <f t="shared" ref="J60:J64" si="27">I60*G60</f>
        <v>2.4366840673280006</v>
      </c>
      <c r="K60" s="2" t="s">
        <v>33</v>
      </c>
      <c r="L60" s="2">
        <f>8.4/100</f>
        <v>8.4000000000000005E-2</v>
      </c>
      <c r="M60" s="2">
        <f t="shared" ref="M60:M66" si="28">L60*G60</f>
        <v>1.5990739191840002</v>
      </c>
    </row>
    <row r="61" spans="1:13" x14ac:dyDescent="0.25">
      <c r="A61" s="4">
        <v>26.193999999999999</v>
      </c>
      <c r="B61" s="2" t="s">
        <v>19</v>
      </c>
      <c r="C61" s="6">
        <f t="shared" si="23"/>
        <v>0.85400000000000009</v>
      </c>
      <c r="D61" s="6">
        <f t="shared" si="4"/>
        <v>22.369676000000002</v>
      </c>
      <c r="E61" s="6" t="s">
        <v>15</v>
      </c>
      <c r="F61" s="6">
        <f t="shared" ref="F61:F66" si="29">85.1/100</f>
        <v>0.85099999999999998</v>
      </c>
      <c r="G61" s="6">
        <f t="shared" si="11"/>
        <v>19.036594276000002</v>
      </c>
      <c r="H61" s="6" t="s">
        <v>7</v>
      </c>
      <c r="I61" s="6">
        <f>1.8/100</f>
        <v>1.8000000000000002E-2</v>
      </c>
      <c r="J61" s="6">
        <f t="shared" si="27"/>
        <v>0.34265869696800011</v>
      </c>
      <c r="K61" s="2" t="s">
        <v>34</v>
      </c>
      <c r="L61" s="2">
        <f>22.9/100</f>
        <v>0.22899999999999998</v>
      </c>
      <c r="M61" s="2">
        <f t="shared" si="28"/>
        <v>4.3593800892040004</v>
      </c>
    </row>
    <row r="62" spans="1:13" x14ac:dyDescent="0.25">
      <c r="A62" s="4">
        <v>26.193999999999999</v>
      </c>
      <c r="B62" s="2" t="s">
        <v>19</v>
      </c>
      <c r="C62" s="6">
        <f t="shared" si="23"/>
        <v>0.85400000000000009</v>
      </c>
      <c r="D62" s="6">
        <f t="shared" si="4"/>
        <v>22.369676000000002</v>
      </c>
      <c r="E62" s="6" t="s">
        <v>15</v>
      </c>
      <c r="F62" s="6">
        <f t="shared" si="29"/>
        <v>0.85099999999999998</v>
      </c>
      <c r="G62" s="6">
        <f t="shared" si="11"/>
        <v>19.036594276000002</v>
      </c>
      <c r="H62" s="6" t="s">
        <v>8</v>
      </c>
      <c r="I62" s="6">
        <f>42.9/100</f>
        <v>0.42899999999999999</v>
      </c>
      <c r="J62" s="6">
        <f t="shared" si="27"/>
        <v>8.1666989444040006</v>
      </c>
      <c r="K62" s="2" t="s">
        <v>35</v>
      </c>
      <c r="L62" s="2">
        <f>31.8/100</f>
        <v>0.318</v>
      </c>
      <c r="M62" s="2">
        <f t="shared" si="28"/>
        <v>6.053636979768001</v>
      </c>
    </row>
    <row r="63" spans="1:13" x14ac:dyDescent="0.25">
      <c r="A63" s="4">
        <v>26.193999999999999</v>
      </c>
      <c r="B63" s="2" t="s">
        <v>19</v>
      </c>
      <c r="C63" s="6">
        <f t="shared" si="23"/>
        <v>0.85400000000000009</v>
      </c>
      <c r="D63" s="6">
        <f t="shared" si="4"/>
        <v>22.369676000000002</v>
      </c>
      <c r="E63" s="6" t="s">
        <v>15</v>
      </c>
      <c r="F63" s="6">
        <f t="shared" si="29"/>
        <v>0.85099999999999998</v>
      </c>
      <c r="G63" s="6">
        <f t="shared" si="11"/>
        <v>19.036594276000002</v>
      </c>
      <c r="H63" s="6" t="s">
        <v>10</v>
      </c>
      <c r="I63" s="6">
        <f>7.1/100</f>
        <v>7.0999999999999994E-2</v>
      </c>
      <c r="J63" s="6">
        <f t="shared" si="27"/>
        <v>1.351598193596</v>
      </c>
      <c r="K63" s="2" t="s">
        <v>36</v>
      </c>
      <c r="L63" s="2">
        <f>18.2/100</f>
        <v>0.182</v>
      </c>
      <c r="M63" s="2">
        <f t="shared" si="28"/>
        <v>3.4646601582320002</v>
      </c>
    </row>
    <row r="64" spans="1:13" x14ac:dyDescent="0.25">
      <c r="A64" s="4">
        <v>26.193999999999999</v>
      </c>
      <c r="B64" s="2" t="s">
        <v>19</v>
      </c>
      <c r="C64" s="6">
        <f t="shared" si="23"/>
        <v>0.85400000000000009</v>
      </c>
      <c r="D64" s="6">
        <f t="shared" si="4"/>
        <v>22.369676000000002</v>
      </c>
      <c r="E64" s="6" t="s">
        <v>15</v>
      </c>
      <c r="F64" s="6">
        <f t="shared" si="29"/>
        <v>0.85099999999999998</v>
      </c>
      <c r="G64" s="6">
        <f t="shared" si="11"/>
        <v>19.036594276000002</v>
      </c>
      <c r="H64" s="6" t="s">
        <v>9</v>
      </c>
      <c r="I64" s="6">
        <f>21.7/100</f>
        <v>0.217</v>
      </c>
      <c r="J64" s="6">
        <f t="shared" si="27"/>
        <v>4.1309409578920002</v>
      </c>
      <c r="K64" s="2" t="s">
        <v>37</v>
      </c>
      <c r="L64" s="2">
        <f>16.2/100</f>
        <v>0.16200000000000001</v>
      </c>
      <c r="M64" s="2">
        <f t="shared" si="28"/>
        <v>3.0839282727120003</v>
      </c>
    </row>
    <row r="65" spans="1:13" x14ac:dyDescent="0.25">
      <c r="A65" s="4">
        <v>26.193999999999999</v>
      </c>
      <c r="B65" s="2" t="s">
        <v>19</v>
      </c>
      <c r="C65" s="6">
        <f t="shared" si="23"/>
        <v>0.85400000000000009</v>
      </c>
      <c r="D65" s="6">
        <f t="shared" si="4"/>
        <v>22.369676000000002</v>
      </c>
      <c r="E65" s="6" t="s">
        <v>15</v>
      </c>
      <c r="F65" s="6">
        <f t="shared" si="29"/>
        <v>0.85099999999999998</v>
      </c>
      <c r="G65" s="6">
        <f t="shared" si="11"/>
        <v>19.036594276000002</v>
      </c>
      <c r="H65" s="6" t="s">
        <v>55</v>
      </c>
      <c r="I65" s="6">
        <f>4.6/100</f>
        <v>4.5999999999999999E-2</v>
      </c>
      <c r="J65" s="6"/>
      <c r="K65" s="2" t="s">
        <v>38</v>
      </c>
      <c r="L65" s="2">
        <f>0.8/100</f>
        <v>8.0000000000000002E-3</v>
      </c>
      <c r="M65" s="2">
        <f t="shared" si="28"/>
        <v>0.15229275420800004</v>
      </c>
    </row>
    <row r="66" spans="1:13" x14ac:dyDescent="0.25">
      <c r="A66" s="4">
        <v>26.193999999999999</v>
      </c>
      <c r="B66" s="2" t="s">
        <v>19</v>
      </c>
      <c r="C66" s="6">
        <f t="shared" si="23"/>
        <v>0.85400000000000009</v>
      </c>
      <c r="D66" s="6">
        <f t="shared" si="4"/>
        <v>22.369676000000002</v>
      </c>
      <c r="E66" s="6" t="s">
        <v>15</v>
      </c>
      <c r="F66" s="6">
        <f t="shared" si="29"/>
        <v>0.85099999999999998</v>
      </c>
      <c r="G66" s="6">
        <f t="shared" si="11"/>
        <v>19.036594276000002</v>
      </c>
      <c r="H66" s="6"/>
      <c r="I66" s="6"/>
      <c r="J66" s="6"/>
      <c r="K66" s="2" t="s">
        <v>39</v>
      </c>
      <c r="L66" s="2">
        <f>0.9/100</f>
        <v>9.0000000000000011E-3</v>
      </c>
      <c r="M66" s="2">
        <f t="shared" si="28"/>
        <v>0.17132934848400005</v>
      </c>
    </row>
    <row r="67" spans="1:13" x14ac:dyDescent="0.25">
      <c r="A67" s="4">
        <v>26.193999999999999</v>
      </c>
      <c r="B67" s="2" t="s">
        <v>19</v>
      </c>
      <c r="C67" s="6">
        <f t="shared" si="23"/>
        <v>0.85400000000000009</v>
      </c>
      <c r="D67" s="6">
        <f t="shared" si="4"/>
        <v>22.369676000000002</v>
      </c>
      <c r="E67" s="6" t="s">
        <v>53</v>
      </c>
      <c r="F67" s="6">
        <f>85.5/100</f>
        <v>0.85499999999999998</v>
      </c>
      <c r="G67" s="6">
        <f t="shared" si="11"/>
        <v>19.12607298</v>
      </c>
      <c r="H67" s="6" t="s">
        <v>11</v>
      </c>
      <c r="I67" s="6">
        <f>15.6/100</f>
        <v>0.156</v>
      </c>
      <c r="J67" s="6">
        <f>I67*G67</f>
        <v>2.9836673848799999</v>
      </c>
      <c r="K67" s="2" t="s">
        <v>32</v>
      </c>
      <c r="L67" s="2">
        <f>5.2/100</f>
        <v>5.2000000000000005E-2</v>
      </c>
      <c r="M67" s="2">
        <f>L67*G67</f>
        <v>0.99455579496000013</v>
      </c>
    </row>
    <row r="68" spans="1:13" x14ac:dyDescent="0.25">
      <c r="A68" s="4">
        <v>26.193999999999999</v>
      </c>
      <c r="B68" s="2" t="s">
        <v>19</v>
      </c>
      <c r="C68" s="6">
        <f t="shared" si="23"/>
        <v>0.85400000000000009</v>
      </c>
      <c r="D68" s="6">
        <f t="shared" si="4"/>
        <v>22.369676000000002</v>
      </c>
      <c r="E68" s="6" t="s">
        <v>16</v>
      </c>
      <c r="F68" s="6">
        <f t="shared" ref="F68:F74" si="30">85.5/100</f>
        <v>0.85499999999999998</v>
      </c>
      <c r="G68" s="6">
        <f t="shared" si="11"/>
        <v>19.12607298</v>
      </c>
      <c r="H68" s="6" t="s">
        <v>12</v>
      </c>
      <c r="I68" s="6">
        <f>18.8/100</f>
        <v>0.188</v>
      </c>
      <c r="J68" s="6">
        <f t="shared" ref="J68:J72" si="31">I68*G68</f>
        <v>3.5957017202400001</v>
      </c>
      <c r="K68" s="2" t="s">
        <v>33</v>
      </c>
      <c r="L68" s="2">
        <f>10.8/100</f>
        <v>0.10800000000000001</v>
      </c>
      <c r="M68" s="2">
        <f t="shared" ref="M68:M74" si="32">L68*G68</f>
        <v>2.0656158818400003</v>
      </c>
    </row>
    <row r="69" spans="1:13" x14ac:dyDescent="0.25">
      <c r="A69" s="4">
        <v>26.193999999999999</v>
      </c>
      <c r="B69" s="2" t="s">
        <v>19</v>
      </c>
      <c r="C69" s="6">
        <f t="shared" si="23"/>
        <v>0.85400000000000009</v>
      </c>
      <c r="D69" s="6">
        <f t="shared" si="4"/>
        <v>22.369676000000002</v>
      </c>
      <c r="E69" s="6" t="s">
        <v>16</v>
      </c>
      <c r="F69" s="6">
        <f t="shared" si="30"/>
        <v>0.85499999999999998</v>
      </c>
      <c r="G69" s="6">
        <f t="shared" si="11"/>
        <v>19.12607298</v>
      </c>
      <c r="H69" s="6" t="s">
        <v>7</v>
      </c>
      <c r="I69" s="6">
        <f>1.7/100</f>
        <v>1.7000000000000001E-2</v>
      </c>
      <c r="J69" s="6">
        <f t="shared" si="31"/>
        <v>0.32514324066</v>
      </c>
      <c r="K69" s="2" t="s">
        <v>34</v>
      </c>
      <c r="L69" s="2">
        <f>17.3/100</f>
        <v>0.17300000000000001</v>
      </c>
      <c r="M69" s="2">
        <f t="shared" si="32"/>
        <v>3.3088106255400005</v>
      </c>
    </row>
    <row r="70" spans="1:13" x14ac:dyDescent="0.25">
      <c r="A70" s="4">
        <v>26.193999999999999</v>
      </c>
      <c r="B70" s="2" t="s">
        <v>19</v>
      </c>
      <c r="C70" s="6">
        <f t="shared" si="23"/>
        <v>0.85400000000000009</v>
      </c>
      <c r="D70" s="6">
        <f t="shared" si="4"/>
        <v>22.369676000000002</v>
      </c>
      <c r="E70" s="6" t="s">
        <v>16</v>
      </c>
      <c r="F70" s="6">
        <f t="shared" si="30"/>
        <v>0.85499999999999998</v>
      </c>
      <c r="G70" s="6">
        <f t="shared" si="11"/>
        <v>19.12607298</v>
      </c>
      <c r="H70" s="6" t="s">
        <v>8</v>
      </c>
      <c r="I70" s="6">
        <f>36.5/100</f>
        <v>0.36499999999999999</v>
      </c>
      <c r="J70" s="6">
        <f t="shared" si="31"/>
        <v>6.9810166376999998</v>
      </c>
      <c r="K70" s="2" t="s">
        <v>35</v>
      </c>
      <c r="L70" s="2">
        <f>25.6/100</f>
        <v>0.25600000000000001</v>
      </c>
      <c r="M70" s="2">
        <f t="shared" si="32"/>
        <v>4.8962746828799997</v>
      </c>
    </row>
    <row r="71" spans="1:13" x14ac:dyDescent="0.25">
      <c r="A71" s="4">
        <v>26.193999999999999</v>
      </c>
      <c r="B71" s="2" t="s">
        <v>19</v>
      </c>
      <c r="C71" s="6">
        <f t="shared" si="23"/>
        <v>0.85400000000000009</v>
      </c>
      <c r="D71" s="6">
        <f t="shared" si="4"/>
        <v>22.369676000000002</v>
      </c>
      <c r="E71" s="6" t="s">
        <v>16</v>
      </c>
      <c r="F71" s="6">
        <f t="shared" si="30"/>
        <v>0.85499999999999998</v>
      </c>
      <c r="G71" s="6">
        <f t="shared" si="11"/>
        <v>19.12607298</v>
      </c>
      <c r="H71" s="6" t="s">
        <v>10</v>
      </c>
      <c r="I71" s="6">
        <f>4.3/100</f>
        <v>4.2999999999999997E-2</v>
      </c>
      <c r="J71" s="6">
        <f t="shared" si="31"/>
        <v>0.82242113813999995</v>
      </c>
      <c r="K71" s="2" t="s">
        <v>36</v>
      </c>
      <c r="L71" s="2">
        <f>21.6/100</f>
        <v>0.21600000000000003</v>
      </c>
      <c r="M71" s="2">
        <f t="shared" si="32"/>
        <v>4.1312317636800007</v>
      </c>
    </row>
    <row r="72" spans="1:13" x14ac:dyDescent="0.25">
      <c r="A72" s="4">
        <v>26.193999999999999</v>
      </c>
      <c r="B72" s="2" t="s">
        <v>19</v>
      </c>
      <c r="C72" s="6">
        <f t="shared" si="23"/>
        <v>0.85400000000000009</v>
      </c>
      <c r="D72" s="6">
        <f t="shared" si="4"/>
        <v>22.369676000000002</v>
      </c>
      <c r="E72" s="6" t="s">
        <v>16</v>
      </c>
      <c r="F72" s="6">
        <f t="shared" si="30"/>
        <v>0.85499999999999998</v>
      </c>
      <c r="G72" s="6">
        <f t="shared" si="11"/>
        <v>19.12607298</v>
      </c>
      <c r="H72" s="6" t="s">
        <v>9</v>
      </c>
      <c r="I72" s="6">
        <f>21/100</f>
        <v>0.21</v>
      </c>
      <c r="J72" s="6">
        <f t="shared" si="31"/>
        <v>4.0164753258000001</v>
      </c>
      <c r="K72" s="2" t="s">
        <v>37</v>
      </c>
      <c r="L72" s="2">
        <f>15.7/100</f>
        <v>0.157</v>
      </c>
      <c r="M72" s="2">
        <f t="shared" si="32"/>
        <v>3.0027934578600002</v>
      </c>
    </row>
    <row r="73" spans="1:13" x14ac:dyDescent="0.25">
      <c r="A73" s="4">
        <v>26.193999999999999</v>
      </c>
      <c r="B73" s="2" t="s">
        <v>19</v>
      </c>
      <c r="C73" s="6">
        <f t="shared" si="23"/>
        <v>0.85400000000000009</v>
      </c>
      <c r="D73" s="6">
        <f t="shared" si="4"/>
        <v>22.369676000000002</v>
      </c>
      <c r="E73" s="6" t="s">
        <v>16</v>
      </c>
      <c r="F73" s="6">
        <f t="shared" si="30"/>
        <v>0.85499999999999998</v>
      </c>
      <c r="G73" s="6">
        <f t="shared" si="11"/>
        <v>19.12607298</v>
      </c>
      <c r="H73" s="6" t="s">
        <v>55</v>
      </c>
      <c r="I73" s="6">
        <f>2.2/100</f>
        <v>2.2000000000000002E-2</v>
      </c>
      <c r="J73" s="6"/>
      <c r="K73" s="2" t="s">
        <v>38</v>
      </c>
      <c r="L73" s="2">
        <f>2.5/100</f>
        <v>2.5000000000000001E-2</v>
      </c>
      <c r="M73" s="2">
        <f t="shared" si="32"/>
        <v>0.47815182450000004</v>
      </c>
    </row>
    <row r="74" spans="1:13" x14ac:dyDescent="0.25">
      <c r="A74" s="4">
        <v>26.193999999999999</v>
      </c>
      <c r="B74" s="2" t="s">
        <v>19</v>
      </c>
      <c r="C74" s="6">
        <f t="shared" si="23"/>
        <v>0.85400000000000009</v>
      </c>
      <c r="D74" s="6">
        <f t="shared" si="4"/>
        <v>22.369676000000002</v>
      </c>
      <c r="E74" s="6" t="s">
        <v>16</v>
      </c>
      <c r="F74" s="6">
        <f t="shared" si="30"/>
        <v>0.85499999999999998</v>
      </c>
      <c r="G74" s="6">
        <f t="shared" si="11"/>
        <v>19.12607298</v>
      </c>
      <c r="H74" s="6"/>
      <c r="I74" s="6"/>
      <c r="J74" s="6"/>
      <c r="K74" s="2" t="s">
        <v>39</v>
      </c>
      <c r="L74" s="2">
        <f>1.2/100</f>
        <v>1.2E-2</v>
      </c>
      <c r="M74" s="2">
        <f t="shared" si="32"/>
        <v>0.22951287576000001</v>
      </c>
    </row>
    <row r="75" spans="1:13" x14ac:dyDescent="0.25">
      <c r="A75" s="4">
        <v>26.193999999999999</v>
      </c>
      <c r="B75" s="2" t="s">
        <v>19</v>
      </c>
      <c r="C75" s="6">
        <f t="shared" si="23"/>
        <v>0.85400000000000009</v>
      </c>
      <c r="D75" s="6">
        <f t="shared" si="4"/>
        <v>22.369676000000002</v>
      </c>
      <c r="E75" s="2" t="s">
        <v>51</v>
      </c>
      <c r="F75" s="6">
        <f>83.4/100</f>
        <v>0.83400000000000007</v>
      </c>
      <c r="G75" s="6">
        <f t="shared" si="11"/>
        <v>18.656309784000005</v>
      </c>
      <c r="H75" s="6" t="s">
        <v>11</v>
      </c>
      <c r="I75" s="6">
        <f>18.5/100</f>
        <v>0.185</v>
      </c>
      <c r="J75" s="8">
        <f>I75*G75</f>
        <v>3.451417310040001</v>
      </c>
      <c r="K75" s="2" t="s">
        <v>32</v>
      </c>
      <c r="L75" s="2">
        <f>5.5/100</f>
        <v>5.5E-2</v>
      </c>
      <c r="M75" s="2">
        <f>L75*G75</f>
        <v>1.0260970381200003</v>
      </c>
    </row>
    <row r="76" spans="1:13" x14ac:dyDescent="0.25">
      <c r="A76" s="4">
        <v>26.193999999999999</v>
      </c>
      <c r="B76" s="2" t="s">
        <v>19</v>
      </c>
      <c r="C76" s="6">
        <f t="shared" si="23"/>
        <v>0.85400000000000009</v>
      </c>
      <c r="D76" s="6">
        <f t="shared" si="4"/>
        <v>22.369676000000002</v>
      </c>
      <c r="E76" s="2" t="s">
        <v>13</v>
      </c>
      <c r="F76" s="6">
        <f t="shared" ref="F76:F82" si="33">83.4/100</f>
        <v>0.83400000000000007</v>
      </c>
      <c r="G76" s="6">
        <f t="shared" si="11"/>
        <v>18.656309784000005</v>
      </c>
      <c r="H76" s="6" t="s">
        <v>12</v>
      </c>
      <c r="I76" s="6">
        <f>23.1/100</f>
        <v>0.23100000000000001</v>
      </c>
      <c r="J76" s="8">
        <f t="shared" ref="J76:J80" si="34">I76*G76</f>
        <v>4.3096075601040011</v>
      </c>
      <c r="K76" s="2" t="s">
        <v>33</v>
      </c>
      <c r="L76" s="2">
        <f>11.5/100</f>
        <v>0.115</v>
      </c>
      <c r="M76" s="2">
        <f t="shared" ref="M76:M82" si="35">L76*G76</f>
        <v>2.1454756251600005</v>
      </c>
    </row>
    <row r="77" spans="1:13" x14ac:dyDescent="0.25">
      <c r="A77" s="4">
        <v>26.193999999999999</v>
      </c>
      <c r="B77" s="2" t="s">
        <v>19</v>
      </c>
      <c r="C77" s="6">
        <f t="shared" si="23"/>
        <v>0.85400000000000009</v>
      </c>
      <c r="D77" s="6">
        <f t="shared" si="4"/>
        <v>22.369676000000002</v>
      </c>
      <c r="E77" s="2" t="s">
        <v>13</v>
      </c>
      <c r="F77" s="6">
        <f t="shared" si="33"/>
        <v>0.83400000000000007</v>
      </c>
      <c r="G77" s="6">
        <f t="shared" si="11"/>
        <v>18.656309784000005</v>
      </c>
      <c r="H77" s="6" t="s">
        <v>7</v>
      </c>
      <c r="I77" s="6">
        <f>2.9/100</f>
        <v>2.8999999999999998E-2</v>
      </c>
      <c r="J77" s="8">
        <f t="shared" si="34"/>
        <v>0.54103298373600006</v>
      </c>
      <c r="K77" s="2" t="s">
        <v>34</v>
      </c>
      <c r="L77" s="2">
        <f>16.3/100</f>
        <v>0.16300000000000001</v>
      </c>
      <c r="M77" s="2">
        <f t="shared" si="35"/>
        <v>3.0409784947920007</v>
      </c>
    </row>
    <row r="78" spans="1:13" x14ac:dyDescent="0.25">
      <c r="A78" s="4">
        <v>26.193999999999999</v>
      </c>
      <c r="B78" s="2" t="s">
        <v>19</v>
      </c>
      <c r="C78" s="6">
        <f t="shared" si="23"/>
        <v>0.85400000000000009</v>
      </c>
      <c r="D78" s="6">
        <f t="shared" si="4"/>
        <v>22.369676000000002</v>
      </c>
      <c r="E78" s="2" t="s">
        <v>13</v>
      </c>
      <c r="F78" s="6">
        <f t="shared" si="33"/>
        <v>0.83400000000000007</v>
      </c>
      <c r="G78" s="6">
        <f t="shared" si="11"/>
        <v>18.656309784000005</v>
      </c>
      <c r="H78" s="6" t="s">
        <v>8</v>
      </c>
      <c r="I78" s="6">
        <f>37.2/100</f>
        <v>0.37200000000000005</v>
      </c>
      <c r="J78" s="8">
        <f t="shared" si="34"/>
        <v>6.9401472396480024</v>
      </c>
      <c r="K78" s="2" t="s">
        <v>35</v>
      </c>
      <c r="L78" s="2">
        <f>25.4/100</f>
        <v>0.254</v>
      </c>
      <c r="M78" s="2">
        <f t="shared" si="35"/>
        <v>4.7387026851360012</v>
      </c>
    </row>
    <row r="79" spans="1:13" x14ac:dyDescent="0.25">
      <c r="A79" s="4">
        <v>26.193999999999999</v>
      </c>
      <c r="B79" s="2" t="s">
        <v>19</v>
      </c>
      <c r="C79" s="6">
        <f t="shared" si="23"/>
        <v>0.85400000000000009</v>
      </c>
      <c r="D79" s="6">
        <f t="shared" si="4"/>
        <v>22.369676000000002</v>
      </c>
      <c r="E79" s="2" t="s">
        <v>13</v>
      </c>
      <c r="F79" s="6">
        <f t="shared" si="33"/>
        <v>0.83400000000000007</v>
      </c>
      <c r="G79" s="6">
        <f t="shared" si="11"/>
        <v>18.656309784000005</v>
      </c>
      <c r="H79" s="6" t="s">
        <v>10</v>
      </c>
      <c r="I79" s="6">
        <f>3/100</f>
        <v>0.03</v>
      </c>
      <c r="J79" s="8">
        <f t="shared" si="34"/>
        <v>0.55968929352000008</v>
      </c>
      <c r="K79" s="2" t="s">
        <v>36</v>
      </c>
      <c r="L79" s="2">
        <f>20.6/100</f>
        <v>0.20600000000000002</v>
      </c>
      <c r="M79" s="2">
        <f t="shared" si="35"/>
        <v>3.8431998155040015</v>
      </c>
    </row>
    <row r="80" spans="1:13" x14ac:dyDescent="0.25">
      <c r="A80" s="4">
        <v>26.193999999999999</v>
      </c>
      <c r="B80" s="2" t="s">
        <v>19</v>
      </c>
      <c r="C80" s="6">
        <f t="shared" si="23"/>
        <v>0.85400000000000009</v>
      </c>
      <c r="D80" s="6">
        <f t="shared" si="4"/>
        <v>22.369676000000002</v>
      </c>
      <c r="E80" s="2" t="s">
        <v>13</v>
      </c>
      <c r="F80" s="6">
        <f t="shared" si="33"/>
        <v>0.83400000000000007</v>
      </c>
      <c r="G80" s="6">
        <f t="shared" si="11"/>
        <v>18.656309784000005</v>
      </c>
      <c r="H80" s="6" t="s">
        <v>9</v>
      </c>
      <c r="I80" s="6">
        <f>12.8/100</f>
        <v>0.128</v>
      </c>
      <c r="J80" s="8">
        <f t="shared" si="34"/>
        <v>2.3880076523520009</v>
      </c>
      <c r="K80" s="2" t="s">
        <v>37</v>
      </c>
      <c r="L80" s="2">
        <f>16.4/100</f>
        <v>0.16399999999999998</v>
      </c>
      <c r="M80" s="2">
        <f t="shared" si="35"/>
        <v>3.0596348045760005</v>
      </c>
    </row>
    <row r="81" spans="1:13" x14ac:dyDescent="0.25">
      <c r="A81" s="4">
        <v>26.193999999999999</v>
      </c>
      <c r="B81" s="2" t="s">
        <v>19</v>
      </c>
      <c r="C81" s="6">
        <f t="shared" si="23"/>
        <v>0.85400000000000009</v>
      </c>
      <c r="D81" s="6">
        <f t="shared" si="4"/>
        <v>22.369676000000002</v>
      </c>
      <c r="E81" s="2" t="s">
        <v>13</v>
      </c>
      <c r="F81" s="6">
        <f t="shared" si="33"/>
        <v>0.83400000000000007</v>
      </c>
      <c r="G81" s="6">
        <f t="shared" si="11"/>
        <v>18.656309784000005</v>
      </c>
      <c r="H81" s="6" t="s">
        <v>55</v>
      </c>
      <c r="I81" s="6">
        <f>2.5/100</f>
        <v>2.5000000000000001E-2</v>
      </c>
      <c r="J81" s="8"/>
      <c r="K81" s="2" t="s">
        <v>38</v>
      </c>
      <c r="L81" s="2">
        <f>2.6/100</f>
        <v>2.6000000000000002E-2</v>
      </c>
      <c r="M81" s="2">
        <f t="shared" si="35"/>
        <v>0.48506405438400019</v>
      </c>
    </row>
    <row r="82" spans="1:13" x14ac:dyDescent="0.25">
      <c r="A82" s="4">
        <v>26.193999999999999</v>
      </c>
      <c r="B82" s="2" t="s">
        <v>19</v>
      </c>
      <c r="C82" s="6">
        <f t="shared" si="23"/>
        <v>0.85400000000000009</v>
      </c>
      <c r="D82" s="6">
        <f t="shared" si="4"/>
        <v>22.369676000000002</v>
      </c>
      <c r="E82" s="2" t="s">
        <v>13</v>
      </c>
      <c r="F82" s="6">
        <f t="shared" si="33"/>
        <v>0.83400000000000007</v>
      </c>
      <c r="G82" s="6">
        <f t="shared" si="11"/>
        <v>18.656309784000005</v>
      </c>
      <c r="H82" s="6"/>
      <c r="I82" s="6"/>
      <c r="J82" s="8"/>
      <c r="K82" s="2" t="s">
        <v>39</v>
      </c>
      <c r="L82" s="2">
        <f>1.7/100</f>
        <v>1.7000000000000001E-2</v>
      </c>
      <c r="M82" s="2">
        <f t="shared" si="35"/>
        <v>0.31715726632800012</v>
      </c>
    </row>
    <row r="83" spans="1:13" x14ac:dyDescent="0.25">
      <c r="A83" s="4">
        <v>26.193999999999999</v>
      </c>
      <c r="B83" s="2" t="s">
        <v>19</v>
      </c>
      <c r="C83" s="6">
        <f t="shared" si="23"/>
        <v>0.85400000000000009</v>
      </c>
      <c r="D83" s="6">
        <f t="shared" si="4"/>
        <v>22.369676000000002</v>
      </c>
      <c r="E83" s="2" t="s">
        <v>50</v>
      </c>
      <c r="F83" s="6">
        <f>88.9/100</f>
        <v>0.88900000000000001</v>
      </c>
      <c r="G83" s="6">
        <f t="shared" si="11"/>
        <v>19.886641964000003</v>
      </c>
      <c r="H83" s="6" t="s">
        <v>11</v>
      </c>
      <c r="I83" s="6">
        <f>11.1/100</f>
        <v>0.111</v>
      </c>
      <c r="J83" s="6">
        <f>I83*G83</f>
        <v>2.2074172580040003</v>
      </c>
      <c r="K83" s="2" t="s">
        <v>32</v>
      </c>
      <c r="L83" s="2">
        <f>1.1/100</f>
        <v>1.1000000000000001E-2</v>
      </c>
      <c r="M83" s="2">
        <f>L83*G83</f>
        <v>0.21875306160400004</v>
      </c>
    </row>
    <row r="84" spans="1:13" x14ac:dyDescent="0.25">
      <c r="A84" s="4">
        <v>26.193999999999999</v>
      </c>
      <c r="B84" s="2" t="s">
        <v>19</v>
      </c>
      <c r="C84" s="6">
        <f t="shared" si="23"/>
        <v>0.85400000000000009</v>
      </c>
      <c r="D84" s="6">
        <f t="shared" si="4"/>
        <v>22.369676000000002</v>
      </c>
      <c r="E84" s="2" t="s">
        <v>17</v>
      </c>
      <c r="F84" s="6">
        <f t="shared" ref="F84:F90" si="36">88.9/100</f>
        <v>0.88900000000000001</v>
      </c>
      <c r="G84" s="6">
        <f t="shared" si="11"/>
        <v>19.886641964000003</v>
      </c>
      <c r="H84" s="6" t="s">
        <v>12</v>
      </c>
      <c r="I84" s="6">
        <f>21.9/100</f>
        <v>0.21899999999999997</v>
      </c>
      <c r="J84" s="6">
        <f t="shared" ref="J84:J88" si="37">I84*G84</f>
        <v>4.3551745901160004</v>
      </c>
      <c r="K84" s="2" t="s">
        <v>33</v>
      </c>
      <c r="L84" s="2">
        <f>15.5/100</f>
        <v>0.155</v>
      </c>
      <c r="M84" s="2">
        <f t="shared" ref="M84:M86" si="38">L84*G84</f>
        <v>3.0824295044200003</v>
      </c>
    </row>
    <row r="85" spans="1:13" x14ac:dyDescent="0.25">
      <c r="A85" s="4">
        <v>26.193999999999999</v>
      </c>
      <c r="B85" s="2" t="s">
        <v>19</v>
      </c>
      <c r="C85" s="6">
        <f t="shared" si="23"/>
        <v>0.85400000000000009</v>
      </c>
      <c r="D85" s="6">
        <f t="shared" si="4"/>
        <v>22.369676000000002</v>
      </c>
      <c r="E85" s="2" t="s">
        <v>17</v>
      </c>
      <c r="F85" s="6">
        <f t="shared" si="36"/>
        <v>0.88900000000000001</v>
      </c>
      <c r="G85" s="6">
        <f t="shared" si="11"/>
        <v>19.886641964000003</v>
      </c>
      <c r="H85" s="6" t="s">
        <v>7</v>
      </c>
      <c r="I85" s="6">
        <f>0.7/100</f>
        <v>6.9999999999999993E-3</v>
      </c>
      <c r="J85" s="6">
        <f t="shared" si="37"/>
        <v>0.13920649374800001</v>
      </c>
      <c r="K85" s="2" t="s">
        <v>34</v>
      </c>
      <c r="L85" s="2">
        <f>19.5/100</f>
        <v>0.19500000000000001</v>
      </c>
      <c r="M85" s="2">
        <f t="shared" si="38"/>
        <v>3.8778951829800006</v>
      </c>
    </row>
    <row r="86" spans="1:13" x14ac:dyDescent="0.25">
      <c r="A86" s="4">
        <v>26.193999999999999</v>
      </c>
      <c r="B86" s="2" t="s">
        <v>19</v>
      </c>
      <c r="C86" s="6">
        <f t="shared" si="23"/>
        <v>0.85400000000000009</v>
      </c>
      <c r="D86" s="6">
        <f t="shared" si="4"/>
        <v>22.369676000000002</v>
      </c>
      <c r="E86" s="2" t="s">
        <v>17</v>
      </c>
      <c r="F86" s="6">
        <f t="shared" si="36"/>
        <v>0.88900000000000001</v>
      </c>
      <c r="G86" s="6">
        <f t="shared" si="11"/>
        <v>19.886641964000003</v>
      </c>
      <c r="H86" s="6" t="s">
        <v>8</v>
      </c>
      <c r="I86" s="6">
        <f>43.3/100</f>
        <v>0.433</v>
      </c>
      <c r="J86" s="6">
        <f t="shared" si="37"/>
        <v>8.6109159704120017</v>
      </c>
      <c r="K86" s="2" t="s">
        <v>35</v>
      </c>
      <c r="L86" s="2">
        <f>29.8/100</f>
        <v>0.29799999999999999</v>
      </c>
      <c r="M86" s="2">
        <f t="shared" si="38"/>
        <v>5.9262193052720002</v>
      </c>
    </row>
    <row r="87" spans="1:13" x14ac:dyDescent="0.25">
      <c r="A87" s="4">
        <v>26.193999999999999</v>
      </c>
      <c r="B87" s="2" t="s">
        <v>19</v>
      </c>
      <c r="C87" s="6">
        <f t="shared" si="23"/>
        <v>0.85400000000000009</v>
      </c>
      <c r="D87" s="6">
        <f t="shared" si="4"/>
        <v>22.369676000000002</v>
      </c>
      <c r="E87" s="2" t="s">
        <v>17</v>
      </c>
      <c r="F87" s="6">
        <f t="shared" si="36"/>
        <v>0.88900000000000001</v>
      </c>
      <c r="G87" s="6">
        <f t="shared" si="11"/>
        <v>19.886641964000003</v>
      </c>
      <c r="H87" s="6" t="s">
        <v>10</v>
      </c>
      <c r="I87" s="6">
        <f>4/100</f>
        <v>0.04</v>
      </c>
      <c r="J87" s="6">
        <f t="shared" si="37"/>
        <v>0.79546567856000017</v>
      </c>
      <c r="K87" s="2" t="s">
        <v>36</v>
      </c>
      <c r="L87" s="2">
        <f>18.2/100</f>
        <v>0.182</v>
      </c>
      <c r="M87" s="2">
        <f>L86*G87</f>
        <v>5.9262193052720002</v>
      </c>
    </row>
    <row r="88" spans="1:13" x14ac:dyDescent="0.25">
      <c r="A88" s="4">
        <v>26.193999999999999</v>
      </c>
      <c r="B88" s="2" t="s">
        <v>19</v>
      </c>
      <c r="C88" s="6">
        <f t="shared" si="23"/>
        <v>0.85400000000000009</v>
      </c>
      <c r="D88" s="6">
        <f t="shared" si="4"/>
        <v>22.369676000000002</v>
      </c>
      <c r="E88" s="2" t="s">
        <v>17</v>
      </c>
      <c r="F88" s="6">
        <f t="shared" si="36"/>
        <v>0.88900000000000001</v>
      </c>
      <c r="G88" s="6">
        <f t="shared" si="11"/>
        <v>19.886641964000003</v>
      </c>
      <c r="H88" s="6" t="s">
        <v>9</v>
      </c>
      <c r="I88" s="6">
        <f>15.5/100</f>
        <v>0.155</v>
      </c>
      <c r="J88" s="6">
        <f t="shared" si="37"/>
        <v>3.0824295044200003</v>
      </c>
      <c r="K88" s="2" t="s">
        <v>37</v>
      </c>
      <c r="L88" s="2">
        <f>14.6/100</f>
        <v>0.14599999999999999</v>
      </c>
      <c r="M88" s="2">
        <f>L87*G88</f>
        <v>3.6193688374480004</v>
      </c>
    </row>
    <row r="89" spans="1:13" x14ac:dyDescent="0.25">
      <c r="A89" s="4">
        <v>26.193999999999999</v>
      </c>
      <c r="B89" s="2" t="s">
        <v>19</v>
      </c>
      <c r="C89" s="6">
        <f t="shared" si="23"/>
        <v>0.85400000000000009</v>
      </c>
      <c r="D89" s="6">
        <f t="shared" si="4"/>
        <v>22.369676000000002</v>
      </c>
      <c r="E89" s="2" t="s">
        <v>17</v>
      </c>
      <c r="F89" s="6">
        <f t="shared" si="36"/>
        <v>0.88900000000000001</v>
      </c>
      <c r="G89" s="6">
        <f t="shared" si="11"/>
        <v>19.886641964000003</v>
      </c>
      <c r="H89" s="6" t="s">
        <v>55</v>
      </c>
      <c r="I89" s="6">
        <f>3.5/100</f>
        <v>3.5000000000000003E-2</v>
      </c>
      <c r="J89" s="6"/>
      <c r="K89" s="2" t="s">
        <v>38</v>
      </c>
      <c r="L89" s="2">
        <f>0.7/100</f>
        <v>6.9999999999999993E-3</v>
      </c>
      <c r="M89" s="2">
        <f>L88*G89</f>
        <v>2.9034497267440003</v>
      </c>
    </row>
    <row r="90" spans="1:13" x14ac:dyDescent="0.25">
      <c r="A90" s="4">
        <v>26.193999999999999</v>
      </c>
      <c r="B90" s="2" t="s">
        <v>19</v>
      </c>
      <c r="C90" s="6">
        <f t="shared" si="23"/>
        <v>0.85400000000000009</v>
      </c>
      <c r="D90" s="6">
        <f t="shared" si="4"/>
        <v>22.369676000000002</v>
      </c>
      <c r="E90" s="2" t="s">
        <v>17</v>
      </c>
      <c r="F90" s="6">
        <f t="shared" si="36"/>
        <v>0.88900000000000001</v>
      </c>
      <c r="G90" s="6">
        <f t="shared" si="11"/>
        <v>19.886641964000003</v>
      </c>
      <c r="H90" s="6"/>
      <c r="I90" s="6"/>
      <c r="J90" s="6"/>
      <c r="K90" s="2" t="s">
        <v>39</v>
      </c>
      <c r="L90" s="2">
        <f>0.5/100</f>
        <v>5.0000000000000001E-3</v>
      </c>
      <c r="M90" s="2">
        <f>L89*G90</f>
        <v>0.13920649374800001</v>
      </c>
    </row>
    <row r="91" spans="1:13" x14ac:dyDescent="0.25">
      <c r="A91" s="4">
        <v>26.193999999999999</v>
      </c>
      <c r="B91" s="2" t="s">
        <v>19</v>
      </c>
      <c r="C91" s="6">
        <f t="shared" si="23"/>
        <v>0.85400000000000009</v>
      </c>
      <c r="D91" s="6">
        <f t="shared" si="4"/>
        <v>22.369676000000002</v>
      </c>
      <c r="E91" s="2" t="s">
        <v>49</v>
      </c>
      <c r="F91" s="2">
        <f>92/100</f>
        <v>0.92</v>
      </c>
      <c r="G91" s="6">
        <f t="shared" si="11"/>
        <v>20.580101920000004</v>
      </c>
      <c r="H91" s="6" t="s">
        <v>11</v>
      </c>
      <c r="I91" s="6">
        <f>24.7/100</f>
        <v>0.247</v>
      </c>
      <c r="J91" s="6">
        <f>I91*G91</f>
        <v>5.0832851742400011</v>
      </c>
      <c r="K91" s="2" t="s">
        <v>32</v>
      </c>
      <c r="L91" s="2">
        <f>8.2/100</f>
        <v>8.199999999999999E-2</v>
      </c>
      <c r="M91" s="2">
        <f>L91*G91</f>
        <v>1.6875683574400002</v>
      </c>
    </row>
    <row r="92" spans="1:13" x14ac:dyDescent="0.25">
      <c r="A92" s="4">
        <v>26.193999999999999</v>
      </c>
      <c r="B92" s="2" t="s">
        <v>19</v>
      </c>
      <c r="C92" s="6">
        <f t="shared" si="23"/>
        <v>0.85400000000000009</v>
      </c>
      <c r="D92" s="6">
        <f t="shared" ref="D92:D98" si="39">C92*A92</f>
        <v>22.369676000000002</v>
      </c>
      <c r="E92" s="2" t="s">
        <v>18</v>
      </c>
      <c r="F92" s="2">
        <f t="shared" ref="F92:F98" si="40">92/100</f>
        <v>0.92</v>
      </c>
      <c r="G92" s="6">
        <f t="shared" si="11"/>
        <v>20.580101920000004</v>
      </c>
      <c r="H92" s="6" t="s">
        <v>12</v>
      </c>
      <c r="I92" s="6">
        <f>22.2/100</f>
        <v>0.222</v>
      </c>
      <c r="J92" s="6">
        <f t="shared" ref="J92:J96" si="41">I92*G92</f>
        <v>4.5687826262400009</v>
      </c>
      <c r="K92" s="2" t="s">
        <v>33</v>
      </c>
      <c r="L92" s="2">
        <f>13.6/100</f>
        <v>0.13600000000000001</v>
      </c>
      <c r="M92" s="2">
        <f t="shared" ref="M92:M98" si="42">L92*G92</f>
        <v>2.7988938611200007</v>
      </c>
    </row>
    <row r="93" spans="1:13" x14ac:dyDescent="0.25">
      <c r="A93" s="4">
        <v>26.193999999999999</v>
      </c>
      <c r="B93" s="2" t="s">
        <v>19</v>
      </c>
      <c r="C93" s="6">
        <f t="shared" si="23"/>
        <v>0.85400000000000009</v>
      </c>
      <c r="D93" s="6">
        <f t="shared" si="39"/>
        <v>22.369676000000002</v>
      </c>
      <c r="E93" s="2" t="s">
        <v>18</v>
      </c>
      <c r="F93" s="2">
        <f t="shared" si="40"/>
        <v>0.92</v>
      </c>
      <c r="G93" s="6">
        <f t="shared" si="11"/>
        <v>20.580101920000004</v>
      </c>
      <c r="H93" s="6" t="s">
        <v>7</v>
      </c>
      <c r="I93" s="6">
        <f>2.9/100</f>
        <v>2.8999999999999998E-2</v>
      </c>
      <c r="J93" s="6">
        <f t="shared" si="41"/>
        <v>0.5968229556800001</v>
      </c>
      <c r="K93" s="2" t="s">
        <v>34</v>
      </c>
      <c r="L93" s="2">
        <f>16/100</f>
        <v>0.16</v>
      </c>
      <c r="M93" s="2">
        <f t="shared" si="42"/>
        <v>3.2928163072000007</v>
      </c>
    </row>
    <row r="94" spans="1:13" x14ac:dyDescent="0.25">
      <c r="A94" s="4">
        <v>26.193999999999999</v>
      </c>
      <c r="B94" s="2" t="s">
        <v>19</v>
      </c>
      <c r="C94" s="6">
        <f t="shared" si="23"/>
        <v>0.85400000000000009</v>
      </c>
      <c r="D94" s="6">
        <f t="shared" si="39"/>
        <v>22.369676000000002</v>
      </c>
      <c r="E94" s="2" t="s">
        <v>18</v>
      </c>
      <c r="F94" s="2">
        <f t="shared" si="40"/>
        <v>0.92</v>
      </c>
      <c r="G94" s="6">
        <f t="shared" si="11"/>
        <v>20.580101920000004</v>
      </c>
      <c r="H94" s="6" t="s">
        <v>8</v>
      </c>
      <c r="I94" s="6">
        <f>36.9/100</f>
        <v>0.36899999999999999</v>
      </c>
      <c r="J94" s="6">
        <f t="shared" si="41"/>
        <v>7.5940576084800018</v>
      </c>
      <c r="K94" s="2" t="s">
        <v>35</v>
      </c>
      <c r="L94" s="2">
        <f>23.3/100</f>
        <v>0.23300000000000001</v>
      </c>
      <c r="M94" s="2">
        <f t="shared" si="42"/>
        <v>4.7951637473600011</v>
      </c>
    </row>
    <row r="95" spans="1:13" x14ac:dyDescent="0.25">
      <c r="A95" s="4">
        <v>26.193999999999999</v>
      </c>
      <c r="B95" s="2" t="s">
        <v>19</v>
      </c>
      <c r="C95" s="6">
        <f t="shared" si="23"/>
        <v>0.85400000000000009</v>
      </c>
      <c r="D95" s="6">
        <f t="shared" si="39"/>
        <v>22.369676000000002</v>
      </c>
      <c r="E95" s="2" t="s">
        <v>18</v>
      </c>
      <c r="F95" s="2">
        <f t="shared" si="40"/>
        <v>0.92</v>
      </c>
      <c r="G95" s="6">
        <f t="shared" si="11"/>
        <v>20.580101920000004</v>
      </c>
      <c r="H95" s="6" t="s">
        <v>10</v>
      </c>
      <c r="I95" s="6">
        <f>2.4/100</f>
        <v>2.4E-2</v>
      </c>
      <c r="J95" s="6">
        <f t="shared" si="41"/>
        <v>0.49392244608000013</v>
      </c>
      <c r="K95" s="2" t="s">
        <v>36</v>
      </c>
      <c r="L95" s="2">
        <f>19.6/100</f>
        <v>0.19600000000000001</v>
      </c>
      <c r="M95" s="2">
        <f t="shared" si="42"/>
        <v>4.0336999763200012</v>
      </c>
    </row>
    <row r="96" spans="1:13" x14ac:dyDescent="0.25">
      <c r="A96" s="4">
        <v>26.193999999999999</v>
      </c>
      <c r="B96" s="2" t="s">
        <v>19</v>
      </c>
      <c r="C96" s="6">
        <f t="shared" si="23"/>
        <v>0.85400000000000009</v>
      </c>
      <c r="D96" s="6">
        <f t="shared" si="39"/>
        <v>22.369676000000002</v>
      </c>
      <c r="E96" s="2" t="s">
        <v>18</v>
      </c>
      <c r="F96" s="2">
        <f t="shared" si="40"/>
        <v>0.92</v>
      </c>
      <c r="G96" s="6">
        <f t="shared" si="11"/>
        <v>20.580101920000004</v>
      </c>
      <c r="H96" s="6" t="s">
        <v>9</v>
      </c>
      <c r="I96" s="6">
        <f>8.4/100</f>
        <v>8.4000000000000005E-2</v>
      </c>
      <c r="J96" s="6">
        <f t="shared" si="41"/>
        <v>1.7287285612800005</v>
      </c>
      <c r="K96" s="2" t="s">
        <v>37</v>
      </c>
      <c r="L96" s="2">
        <f>14/100</f>
        <v>0.14000000000000001</v>
      </c>
      <c r="M96" s="2">
        <f t="shared" si="42"/>
        <v>2.8812142688000009</v>
      </c>
    </row>
    <row r="97" spans="1:13" x14ac:dyDescent="0.25">
      <c r="A97" s="4">
        <v>26.193999999999999</v>
      </c>
      <c r="B97" s="2" t="s">
        <v>19</v>
      </c>
      <c r="C97" s="6">
        <f t="shared" si="23"/>
        <v>0.85400000000000009</v>
      </c>
      <c r="D97" s="6">
        <f t="shared" si="39"/>
        <v>22.369676000000002</v>
      </c>
      <c r="E97" s="2" t="s">
        <v>18</v>
      </c>
      <c r="F97" s="2">
        <f t="shared" si="40"/>
        <v>0.92</v>
      </c>
      <c r="G97" s="6">
        <f t="shared" si="11"/>
        <v>20.580101920000004</v>
      </c>
      <c r="H97" s="6" t="s">
        <v>55</v>
      </c>
      <c r="I97" s="2">
        <f>2.4/100</f>
        <v>2.4E-2</v>
      </c>
      <c r="J97" s="2"/>
      <c r="K97" s="2" t="s">
        <v>38</v>
      </c>
      <c r="L97" s="2">
        <f>3.2/100</f>
        <v>3.2000000000000001E-2</v>
      </c>
      <c r="M97" s="2">
        <f t="shared" si="42"/>
        <v>0.6585632614400001</v>
      </c>
    </row>
    <row r="98" spans="1:13" x14ac:dyDescent="0.25">
      <c r="A98" s="4">
        <v>26.193999999999999</v>
      </c>
      <c r="B98" s="2" t="s">
        <v>19</v>
      </c>
      <c r="C98" s="6">
        <f t="shared" si="23"/>
        <v>0.85400000000000009</v>
      </c>
      <c r="D98" s="6">
        <f t="shared" si="39"/>
        <v>22.369676000000002</v>
      </c>
      <c r="E98" s="2" t="s">
        <v>18</v>
      </c>
      <c r="F98" s="2">
        <f t="shared" si="40"/>
        <v>0.92</v>
      </c>
      <c r="G98" s="6">
        <f t="shared" ref="G98" si="43">F98*D98</f>
        <v>20.580101920000004</v>
      </c>
      <c r="H98" s="2"/>
      <c r="I98" s="2"/>
      <c r="J98" s="2"/>
      <c r="K98" s="2" t="s">
        <v>39</v>
      </c>
      <c r="L98" s="2">
        <f>2.1/100</f>
        <v>2.1000000000000001E-2</v>
      </c>
      <c r="M98" s="2">
        <f t="shared" si="42"/>
        <v>0.43218214032000013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توزيع نسبى</vt:lpstr>
      <vt:lpstr>Comulative</vt:lpstr>
      <vt:lpstr>q1-2018</vt:lpstr>
      <vt:lpstr>q2-2018</vt:lpstr>
      <vt:lpstr>q3-2018</vt:lpstr>
      <vt:lpstr>q4-2018</vt:lpstr>
      <vt:lpstr>q1-2019</vt:lpstr>
      <vt:lpstr>q2-2019</vt:lpstr>
      <vt:lpstr>q3-2019</vt:lpstr>
      <vt:lpstr>q4-2019</vt:lpstr>
      <vt:lpstr>first quarter2020</vt:lpstr>
      <vt:lpstr>q2-2020</vt:lpstr>
      <vt:lpstr>q3-2020</vt:lpstr>
      <vt:lpstr>q4_2020</vt:lpstr>
      <vt:lpstr>q1-2021</vt:lpstr>
      <vt:lpstr>q2-2021</vt:lpstr>
      <vt:lpstr>q3-2021</vt:lpstr>
      <vt:lpstr>q4-2021</vt:lpstr>
      <vt:lpstr>first quarter2022</vt:lpstr>
      <vt:lpstr>q2-2022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El.Takwa</dc:creator>
  <cp:lastModifiedBy>hp</cp:lastModifiedBy>
  <dcterms:created xsi:type="dcterms:W3CDTF">2023-01-10T19:57:45Z</dcterms:created>
  <dcterms:modified xsi:type="dcterms:W3CDTF">2023-02-16T06:58:32Z</dcterms:modified>
</cp:coreProperties>
</file>