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548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5" l="1"/>
  <c r="E29" i="5"/>
  <c r="D29" i="5"/>
  <c r="C29" i="5"/>
  <c r="B29" i="5"/>
  <c r="E26" i="5"/>
  <c r="D26" i="5"/>
  <c r="C26" i="5"/>
  <c r="B26" i="5"/>
  <c r="E38" i="4"/>
  <c r="D38" i="4"/>
  <c r="C38" i="4"/>
  <c r="B38" i="4"/>
  <c r="E37" i="4"/>
  <c r="D37" i="4"/>
  <c r="C37" i="4"/>
  <c r="B37" i="4"/>
  <c r="E36" i="4"/>
  <c r="D36" i="4"/>
  <c r="C36" i="4"/>
  <c r="B36" i="4"/>
  <c r="D35" i="4"/>
  <c r="C35" i="4"/>
  <c r="B35" i="4"/>
  <c r="E35" i="4"/>
  <c r="E34" i="4"/>
  <c r="D34" i="4"/>
  <c r="C34" i="4"/>
  <c r="B34" i="4"/>
  <c r="E33" i="4"/>
  <c r="D33" i="4"/>
  <c r="C33" i="4"/>
  <c r="B33" i="4"/>
  <c r="E31" i="4"/>
  <c r="E32" i="4"/>
  <c r="D31" i="4"/>
  <c r="D32" i="4"/>
  <c r="C31" i="4"/>
  <c r="C32" i="4"/>
  <c r="B31" i="4"/>
  <c r="B32" i="4"/>
  <c r="E29" i="4"/>
  <c r="D29" i="4"/>
  <c r="C29" i="4"/>
  <c r="B29" i="4"/>
  <c r="B26" i="3"/>
  <c r="E18" i="3"/>
  <c r="E14" i="3"/>
  <c r="B20" i="3"/>
  <c r="B28" i="3"/>
  <c r="B16" i="3"/>
  <c r="D28" i="3"/>
  <c r="D31" i="3"/>
  <c r="C28" i="3"/>
  <c r="C31" i="3"/>
  <c r="B31" i="3"/>
  <c r="E28" i="3"/>
  <c r="D18" i="3"/>
  <c r="C18" i="3"/>
  <c r="B18" i="3"/>
  <c r="B19" i="3"/>
  <c r="D20" i="3"/>
  <c r="C20" i="3"/>
  <c r="D16" i="3"/>
  <c r="C16" i="3"/>
  <c r="D14" i="3"/>
  <c r="C14" i="3"/>
  <c r="B14" i="3"/>
  <c r="B15" i="3"/>
  <c r="D10" i="3"/>
  <c r="C10" i="3"/>
  <c r="B10" i="3"/>
  <c r="I36" i="2"/>
  <c r="I37" i="2"/>
  <c r="I39" i="2"/>
  <c r="K20" i="2"/>
  <c r="J20" i="2"/>
  <c r="I20" i="2"/>
  <c r="A27" i="2"/>
  <c r="A22" i="2"/>
  <c r="A21" i="2"/>
  <c r="A20" i="2"/>
  <c r="A18" i="2"/>
  <c r="A17" i="2"/>
  <c r="C19" i="1"/>
  <c r="B19" i="1"/>
  <c r="B20" i="1"/>
  <c r="B23" i="1"/>
  <c r="B26" i="1"/>
  <c r="B8" i="1"/>
  <c r="B32" i="1"/>
  <c r="B35" i="1"/>
  <c r="B38" i="1"/>
  <c r="B7" i="1"/>
  <c r="B31" i="1"/>
  <c r="B34" i="1"/>
  <c r="B37" i="1"/>
  <c r="B22" i="1"/>
  <c r="B25" i="1"/>
</calcChain>
</file>

<file path=xl/sharedStrings.xml><?xml version="1.0" encoding="utf-8"?>
<sst xmlns="http://schemas.openxmlformats.org/spreadsheetml/2006/main" count="147" uniqueCount="97">
  <si>
    <t>xi</t>
  </si>
  <si>
    <t>p_c1</t>
  </si>
  <si>
    <t>p_c2</t>
  </si>
  <si>
    <t>p_k1</t>
  </si>
  <si>
    <t>p_k2</t>
  </si>
  <si>
    <t>gamma</t>
  </si>
  <si>
    <t>A</t>
  </si>
  <si>
    <t>epsilon</t>
  </si>
  <si>
    <t>delta</t>
  </si>
  <si>
    <t>x/k</t>
  </si>
  <si>
    <t>r</t>
  </si>
  <si>
    <t>w</t>
  </si>
  <si>
    <t>check:</t>
  </si>
  <si>
    <t>p_c</t>
  </si>
  <si>
    <t>p_k</t>
  </si>
  <si>
    <t>l/k</t>
  </si>
  <si>
    <t>k_demand</t>
  </si>
  <si>
    <t>l_demand</t>
  </si>
  <si>
    <t>V</t>
  </si>
  <si>
    <t>k/x_1</t>
  </si>
  <si>
    <t>k/x_2</t>
  </si>
  <si>
    <t>l/x_1</t>
  </si>
  <si>
    <t>l/x_2</t>
  </si>
  <si>
    <t>error1</t>
  </si>
  <si>
    <t>error2</t>
  </si>
  <si>
    <t>checking errors from function since can't solve for p_c analytically</t>
  </si>
  <si>
    <t>X</t>
  </si>
  <si>
    <t>X1</t>
  </si>
  <si>
    <t>X2</t>
  </si>
  <si>
    <t>(X/A)*(((gamma**(1/epsilon))+</t>
  </si>
  <si>
    <t xml:space="preserve">              (((1-gamma)**(1/epsilon))*(((r+delta)*(p_k/w))**(epsilon-1))*</t>
  </si>
  <si>
    <t xml:space="preserve">              (((1-gamma)/gamma)**((epsilon-1)/epsilon))))**(epsilon/(1-epsilon)))</t>
  </si>
  <si>
    <t>k1_demand</t>
  </si>
  <si>
    <t>k2_demand</t>
  </si>
  <si>
    <t>l1_demand</t>
  </si>
  <si>
    <t>l2_demand</t>
  </si>
  <si>
    <t>K*((1-gamma)/gamma)*(((r+delta)*(p_k/w))**epsilon)</t>
  </si>
  <si>
    <t>V1</t>
  </si>
  <si>
    <t>V2</t>
  </si>
  <si>
    <t>check</t>
  </si>
  <si>
    <t>pi</t>
  </si>
  <si>
    <t>p</t>
  </si>
  <si>
    <t>0.77682762  0.79857772  0.78395765</t>
  </si>
  <si>
    <t>alpha</t>
  </si>
  <si>
    <t>p_tilde</t>
  </si>
  <si>
    <t>r = (p/p_k)*((A**((epsilon-1)/epsilon))*(((gamma*X)/K)**(1/epsilon))) - delta</t>
  </si>
  <si>
    <t>[ 0.13268535  0.45015446  0.1213547 ]</t>
  </si>
  <si>
    <t>[ 0.04241864  0.1201937   0.0507021 ]</t>
  </si>
  <si>
    <t>[ 0.79130368  0.78688166  0.78260364]</t>
  </si>
  <si>
    <t>[ 0.77682762  0.79857772  0.78395765]</t>
  </si>
  <si>
    <t>rss</t>
  </si>
  <si>
    <t>Xss</t>
  </si>
  <si>
    <t>K_d_ss</t>
  </si>
  <si>
    <t>pk_ss</t>
  </si>
  <si>
    <t>p_ss</t>
  </si>
  <si>
    <t>r_implied</t>
  </si>
  <si>
    <t>factor prices:  0.677775436559 1.10564214206</t>
  </si>
  <si>
    <t>prices:  [ 1.          1.00000001]</t>
  </si>
  <si>
    <t>pricing errors:  [ -1.29369160e-09   4.82848517e-09]</t>
  </si>
  <si>
    <t>p - (w*l_over_x_vec + p_k*(r+delta)*k_over_x_vec)</t>
  </si>
  <si>
    <t>gamma*(A**(epsilon-1))*(((p_k/p)*(r+delta))**(-1*epsilon))</t>
  </si>
  <si>
    <t>(1-gamma)*(A**(epsilon-1))*((w/p)**(-1*epsilon))</t>
  </si>
  <si>
    <t>k/l</t>
  </si>
  <si>
    <t>w/l</t>
  </si>
  <si>
    <t>price error</t>
  </si>
  <si>
    <t>sum of X func</t>
  </si>
  <si>
    <t>sum less X_i</t>
  </si>
  <si>
    <t>X func k</t>
  </si>
  <si>
    <t>X func l</t>
  </si>
  <si>
    <t>X func k:  [ 0.48493879  0.54893682  0.38453566]</t>
  </si>
  <si>
    <t>X func l:  [ 0.89452535  0.93095859  0.91734405]</t>
  </si>
  <si>
    <t>implied r</t>
  </si>
  <si>
    <t>K_s</t>
  </si>
  <si>
    <t>K_i</t>
  </si>
  <si>
    <t>total K</t>
  </si>
  <si>
    <t>Note - total K here should sum to K_s</t>
  </si>
  <si>
    <t>tau_b</t>
  </si>
  <si>
    <t>tau_d</t>
  </si>
  <si>
    <t>tau_g</t>
  </si>
  <si>
    <t>delta_tau</t>
  </si>
  <si>
    <t>q</t>
  </si>
  <si>
    <t>q = p_k*((1-tau_d)/(1-tau_g))*(1+((1-delta_tau)*tau_b*delta_tau*(((r/(1-tau_g))+delta_tau)**(-1.0))))</t>
  </si>
  <si>
    <t>k/x = gamma*((((1-tau_d)/(1-tau_g))*(1-tau_b)*(p/q))**epsilon)*(A**(epsilon-1))*(((r/(1-tau_g))+delta)**(-1*epsilon))</t>
  </si>
  <si>
    <t>k/x</t>
  </si>
  <si>
    <t>l/x</t>
  </si>
  <si>
    <t>l/x = (1-gamma)*(A**(epsilon-1))*((p/w)**epsilon)</t>
  </si>
  <si>
    <t>p = (w*l_over_x + ((r*q)/((1-tau_d)*(1-tau_b)))*k_over_x + (((1-(tau_b*(1-delta_tau)))*delta*p_k)/(1-tau_b))*k_over_x)</t>
  </si>
  <si>
    <t>k_demand = (X/A)*(((gamma**(1/epsilon))+ (((1-gamma)**(1/epsilon))*(((1-gamma)/gamma)**((epsilon-1)/epsilon))*((((1-tau_g)/((1-tau_d)*(1-tau_b)))*(q/w)*((r/(1-tau_g))+delta))**((epsilon-1)/epsilon))))**(epsilon/(1-epsilon)))</t>
  </si>
  <si>
    <t>l_demand = K*((1-gamma)/gamma)*(((q/w)*((r/(1-tau_g))+delta)*((1-tau_g)/((1-tau_d)*(1-tau_b))))**epsilon)</t>
  </si>
  <si>
    <t>MPK</t>
  </si>
  <si>
    <t>r error</t>
  </si>
  <si>
    <t>r_error = (q*((r/(1-tau_g))+delta)) - (((1-tau_d)/(1-tau_g))*(1-tau_b)*p*MPK)</t>
  </si>
  <si>
    <t>checking Z</t>
  </si>
  <si>
    <t>Z</t>
  </si>
  <si>
    <t>Z = (((1-tau_d)/(1-tau_g))*tau_b*delta_tau)/((r/(1-tau_g))+delta_tau)</t>
  </si>
  <si>
    <t>ss r, w, T_H:  0.669505214586 1.00006616209 0.0545341105673</t>
  </si>
  <si>
    <t>checking Z [ 0.03799848  0.04425294  0.05297201  0.04117253]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</si>
</sst>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C19" sqref="C19"/>
    </sheetView>
  </sheetViews>
  <sheetFormatPr baseColWidth="10" defaultRowHeight="15" x14ac:dyDescent="0"/>
  <sheetData>
    <row r="1" spans="1:11">
      <c r="A1" t="s">
        <v>0</v>
      </c>
      <c r="B1">
        <v>1</v>
      </c>
      <c r="C1">
        <v>0</v>
      </c>
    </row>
    <row r="2" spans="1:11">
      <c r="B2">
        <v>0</v>
      </c>
      <c r="C2">
        <v>1</v>
      </c>
      <c r="H2" t="s">
        <v>12</v>
      </c>
    </row>
    <row r="3" spans="1:11">
      <c r="I3" t="s">
        <v>13</v>
      </c>
      <c r="J3" t="s">
        <v>39</v>
      </c>
      <c r="K3" t="s">
        <v>25</v>
      </c>
    </row>
    <row r="4" spans="1:11">
      <c r="A4" t="s">
        <v>1</v>
      </c>
      <c r="B4">
        <v>0.5</v>
      </c>
      <c r="I4" t="s">
        <v>14</v>
      </c>
      <c r="J4" t="s">
        <v>39</v>
      </c>
    </row>
    <row r="5" spans="1:11">
      <c r="A5" t="s">
        <v>2</v>
      </c>
      <c r="B5">
        <v>0.6</v>
      </c>
      <c r="I5" t="s">
        <v>9</v>
      </c>
      <c r="J5" t="s">
        <v>39</v>
      </c>
    </row>
    <row r="6" spans="1:11">
      <c r="I6" t="s">
        <v>15</v>
      </c>
      <c r="J6" t="s">
        <v>39</v>
      </c>
    </row>
    <row r="7" spans="1:11">
      <c r="A7" t="s">
        <v>3</v>
      </c>
      <c r="B7">
        <f>(B1*B4)+(C1*B5)</f>
        <v>0.5</v>
      </c>
      <c r="I7" t="s">
        <v>16</v>
      </c>
      <c r="J7" t="s">
        <v>39</v>
      </c>
    </row>
    <row r="8" spans="1:11">
      <c r="A8" t="s">
        <v>4</v>
      </c>
      <c r="B8">
        <f>(B2*B4)+(C2*B5)</f>
        <v>0.6</v>
      </c>
      <c r="I8" t="s">
        <v>17</v>
      </c>
      <c r="J8" t="s">
        <v>39</v>
      </c>
    </row>
    <row r="9" spans="1:11">
      <c r="I9" t="s">
        <v>18</v>
      </c>
      <c r="J9" t="s">
        <v>39</v>
      </c>
    </row>
    <row r="10" spans="1:11">
      <c r="A10" t="s">
        <v>5</v>
      </c>
      <c r="B10">
        <v>0.3</v>
      </c>
    </row>
    <row r="11" spans="1:11">
      <c r="A11" t="s">
        <v>6</v>
      </c>
      <c r="B11">
        <v>1</v>
      </c>
    </row>
    <row r="12" spans="1:11">
      <c r="A12" t="s">
        <v>7</v>
      </c>
      <c r="B12">
        <v>0.6</v>
      </c>
    </row>
    <row r="13" spans="1:11">
      <c r="A13" t="s">
        <v>8</v>
      </c>
      <c r="B13">
        <v>0.1</v>
      </c>
    </row>
    <row r="15" spans="1:11">
      <c r="A15" t="s">
        <v>10</v>
      </c>
      <c r="B15">
        <v>0.77</v>
      </c>
    </row>
    <row r="16" spans="1:11">
      <c r="A16" t="s">
        <v>11</v>
      </c>
      <c r="B16">
        <v>1.03</v>
      </c>
    </row>
    <row r="19" spans="1:6">
      <c r="A19" t="s">
        <v>19</v>
      </c>
      <c r="B19">
        <f>B10/((B11^(1-B12))*(((B15+B13)*(B7/B4))^(B12)))</f>
        <v>0.32614423267994397</v>
      </c>
      <c r="C19">
        <f>B10*(B11^(1-B12))</f>
        <v>0.3</v>
      </c>
    </row>
    <row r="20" spans="1:6">
      <c r="A20" t="s">
        <v>20</v>
      </c>
      <c r="B20">
        <f>B10/((B11^(1-B12))*(((B15+B13)*(B8/B5))^(B12)))</f>
        <v>0.32614423267994397</v>
      </c>
    </row>
    <row r="22" spans="1:6">
      <c r="A22" t="s">
        <v>21</v>
      </c>
      <c r="B22">
        <f>(1-B10)/((B11^(1-B12))*((B16/B4)^B12))</f>
        <v>0.45370932757471027</v>
      </c>
    </row>
    <row r="23" spans="1:6">
      <c r="A23" t="s">
        <v>22</v>
      </c>
      <c r="B23">
        <f>(1-B10)/((B11^(1-B12))*((B16/B5)^B12))</f>
        <v>0.50615840792696876</v>
      </c>
    </row>
    <row r="25" spans="1:6">
      <c r="A25" t="s">
        <v>23</v>
      </c>
      <c r="B25">
        <f>B15-((B4-B16*B22-B7*B13*B19)/((B15+1)*B7*B19))</f>
        <v>0.7132777352664188</v>
      </c>
    </row>
    <row r="26" spans="1:6">
      <c r="A26" t="s">
        <v>24</v>
      </c>
      <c r="B26">
        <f>B15-((B5-B16*B23-B8*B13*B20)/((B15+1)*B8*B20))</f>
        <v>0.59940494564349545</v>
      </c>
    </row>
    <row r="27" spans="1:6">
      <c r="F27" t="s">
        <v>36</v>
      </c>
    </row>
    <row r="28" spans="1:6">
      <c r="A28" t="s">
        <v>27</v>
      </c>
      <c r="B28">
        <v>0.6</v>
      </c>
    </row>
    <row r="29" spans="1:6">
      <c r="A29" t="s">
        <v>28</v>
      </c>
      <c r="B29">
        <v>0.6</v>
      </c>
    </row>
    <row r="31" spans="1:6">
      <c r="A31" t="s">
        <v>32</v>
      </c>
      <c r="B31">
        <f>(B28/B11)*((((B10^(1/B12))+((1-B10)^(1/B12))*(((1-B10)/B10)^((B12-1)/B12))*(((B15+B13)*(B7/B16))^(B12-1)))^(B12/(1-B12))))</f>
        <v>0.26317139127050954</v>
      </c>
      <c r="E31" t="s">
        <v>29</v>
      </c>
    </row>
    <row r="32" spans="1:6">
      <c r="A32" t="s">
        <v>33</v>
      </c>
      <c r="B32">
        <f>(B29/B11)*((((B10^(1/B12))+((1-B10)^(1/B12))*(((1-B10)/B10)^((B12-1)/B12))*(((B15+B13)*(B8/B16))^(B12-1)))^(B12/(1-B12))))</f>
        <v>0.24216287219624846</v>
      </c>
      <c r="E32" t="s">
        <v>30</v>
      </c>
    </row>
    <row r="33" spans="1:5">
      <c r="E33" t="s">
        <v>31</v>
      </c>
    </row>
    <row r="34" spans="1:5">
      <c r="A34" t="s">
        <v>34</v>
      </c>
      <c r="B34">
        <f>B31*((1-B10)/B10)*(((B15+B13)*(B7/B16))^B12)</f>
        <v>0.36610586055470201</v>
      </c>
    </row>
    <row r="35" spans="1:5">
      <c r="A35" t="s">
        <v>35</v>
      </c>
      <c r="B35">
        <f>B32*((1-B10)/B10)*(((B15+B13)*(B8/B16))^B12)</f>
        <v>0.37582382752161014</v>
      </c>
    </row>
    <row r="37" spans="1:5">
      <c r="A37" t="s">
        <v>37</v>
      </c>
      <c r="B37">
        <f>(B4*B28-B16*B34-B13*B7*B31)/B15</f>
        <v>-0.11720468303229682</v>
      </c>
    </row>
    <row r="38" spans="1:5">
      <c r="A38" t="s">
        <v>38</v>
      </c>
      <c r="B38">
        <f>(B5*B29-B16*B35-B13*B8*B32)/B15</f>
        <v>-5.4062746336406953E-2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2" workbookViewId="0">
      <selection activeCell="H5" sqref="H5:K7"/>
    </sheetView>
  </sheetViews>
  <sheetFormatPr baseColWidth="10" defaultRowHeight="15" x14ac:dyDescent="0"/>
  <cols>
    <col min="9" max="9" width="12.83203125" bestFit="1" customWidth="1"/>
  </cols>
  <sheetData>
    <row r="1" spans="1:11">
      <c r="A1" t="s">
        <v>0</v>
      </c>
    </row>
    <row r="2" spans="1:11">
      <c r="A2">
        <v>0.2</v>
      </c>
      <c r="B2">
        <v>0.6</v>
      </c>
      <c r="C2">
        <v>0.2</v>
      </c>
    </row>
    <row r="3" spans="1:11">
      <c r="A3">
        <v>0</v>
      </c>
      <c r="B3">
        <v>0.2</v>
      </c>
      <c r="C3">
        <v>0.8</v>
      </c>
      <c r="H3" t="s">
        <v>45</v>
      </c>
    </row>
    <row r="4" spans="1:11">
      <c r="A4">
        <v>0.6</v>
      </c>
      <c r="B4">
        <v>0.2</v>
      </c>
      <c r="C4">
        <v>0.2</v>
      </c>
    </row>
    <row r="5" spans="1:11">
      <c r="H5" t="s">
        <v>5</v>
      </c>
      <c r="I5">
        <v>0.3</v>
      </c>
      <c r="J5">
        <v>0.25</v>
      </c>
      <c r="K5">
        <v>0.4</v>
      </c>
    </row>
    <row r="6" spans="1:11">
      <c r="H6" t="s">
        <v>8</v>
      </c>
      <c r="I6">
        <v>0.1</v>
      </c>
      <c r="J6">
        <v>0.12</v>
      </c>
      <c r="K6">
        <v>0.15</v>
      </c>
    </row>
    <row r="7" spans="1:11">
      <c r="H7" t="s">
        <v>7</v>
      </c>
      <c r="I7">
        <v>0.55000000000000004</v>
      </c>
      <c r="J7">
        <v>0.6</v>
      </c>
      <c r="K7">
        <v>0.62</v>
      </c>
    </row>
    <row r="8" spans="1:11">
      <c r="A8" t="s">
        <v>40</v>
      </c>
      <c r="H8" t="s">
        <v>46</v>
      </c>
    </row>
    <row r="9" spans="1:11">
      <c r="A9">
        <v>0.4</v>
      </c>
      <c r="B9">
        <v>0.3</v>
      </c>
      <c r="C9">
        <v>0.3</v>
      </c>
      <c r="H9" t="s">
        <v>47</v>
      </c>
    </row>
    <row r="10" spans="1:11">
      <c r="A10">
        <v>0.1</v>
      </c>
      <c r="B10">
        <v>0.8</v>
      </c>
      <c r="C10">
        <v>0.1</v>
      </c>
      <c r="H10" t="s">
        <v>48</v>
      </c>
    </row>
    <row r="11" spans="1:11">
      <c r="H11" t="s">
        <v>49</v>
      </c>
    </row>
    <row r="13" spans="1:11">
      <c r="A13" t="s">
        <v>41</v>
      </c>
      <c r="B13" t="s">
        <v>42</v>
      </c>
      <c r="H13" t="s">
        <v>50</v>
      </c>
      <c r="I13">
        <v>0.73153989659499996</v>
      </c>
    </row>
    <row r="14" spans="1:11">
      <c r="A14">
        <v>0.77682762000000005</v>
      </c>
      <c r="B14">
        <v>0.79857772000000005</v>
      </c>
      <c r="C14">
        <v>0.78395764999999995</v>
      </c>
    </row>
    <row r="15" spans="1:11">
      <c r="H15" t="s">
        <v>51</v>
      </c>
      <c r="I15">
        <v>0.13268535000000001</v>
      </c>
      <c r="J15">
        <v>0.45015445999999998</v>
      </c>
      <c r="K15">
        <v>0.1213547</v>
      </c>
    </row>
    <row r="16" spans="1:11">
      <c r="A16" t="s">
        <v>13</v>
      </c>
      <c r="H16" t="s">
        <v>52</v>
      </c>
      <c r="I16">
        <v>4.2418640000000001E-2</v>
      </c>
      <c r="J16">
        <v>0.1201937</v>
      </c>
      <c r="K16">
        <v>5.07021E-2</v>
      </c>
    </row>
    <row r="17" spans="1:11">
      <c r="A17">
        <f>A14*A9+B14*B9+C14*C9</f>
        <v>0.78549165900000006</v>
      </c>
      <c r="H17" t="s">
        <v>53</v>
      </c>
      <c r="I17">
        <v>0.79130367999999995</v>
      </c>
      <c r="J17">
        <v>0.78688166000000004</v>
      </c>
      <c r="K17">
        <v>0.78260364000000004</v>
      </c>
    </row>
    <row r="18" spans="1:11">
      <c r="A18">
        <f>A14*A10+B14*B10+C14*C10</f>
        <v>0.79494070300000008</v>
      </c>
      <c r="H18" t="s">
        <v>54</v>
      </c>
      <c r="I18">
        <v>0.77682762000000005</v>
      </c>
      <c r="J18">
        <v>0.79857772000000005</v>
      </c>
      <c r="K18">
        <v>0.78395764999999995</v>
      </c>
    </row>
    <row r="19" spans="1:11">
      <c r="A19" t="s">
        <v>14</v>
      </c>
    </row>
    <row r="20" spans="1:11">
      <c r="A20">
        <f>A$14*A2+B$14*B2+C$14*C2</f>
        <v>0.79130368600000001</v>
      </c>
      <c r="H20" t="s">
        <v>55</v>
      </c>
      <c r="I20">
        <f>((I18/I17)*(((I5*I15)/I16)^(1/I7)))-I6</f>
        <v>0.77453441995781613</v>
      </c>
      <c r="J20">
        <f>((J18/J17)*(((J5*J15)/J16)^(1/J7)))-J6</f>
        <v>0.78944031420637539</v>
      </c>
      <c r="K20">
        <f>((K18/K17)*(((K5*K15)/K16)^(1/K7)))-K6</f>
        <v>0.78379550466158565</v>
      </c>
    </row>
    <row r="21" spans="1:11">
      <c r="A21">
        <f>A$14*A3+B$14*B3+C$14*C3</f>
        <v>0.78688166400000004</v>
      </c>
    </row>
    <row r="22" spans="1:11">
      <c r="A22">
        <f>A$14*A4+B$14*B4+C$14*C4</f>
        <v>0.78260364599999999</v>
      </c>
    </row>
    <row r="24" spans="1:11">
      <c r="A24" t="s">
        <v>43</v>
      </c>
      <c r="B24">
        <v>0.28999999999999998</v>
      </c>
      <c r="H24" t="s">
        <v>10</v>
      </c>
      <c r="I24">
        <v>0.66713303393099999</v>
      </c>
    </row>
    <row r="25" spans="1:11">
      <c r="H25" t="s">
        <v>11</v>
      </c>
      <c r="I25">
        <v>0.89239876774799998</v>
      </c>
    </row>
    <row r="26" spans="1:11">
      <c r="A26" t="s">
        <v>44</v>
      </c>
      <c r="H26" t="s">
        <v>56</v>
      </c>
    </row>
    <row r="27" spans="1:11">
      <c r="A27">
        <f>((A17/B24)^(B24))*((A18/(1-B24))^(1-B24))</f>
        <v>1.4465713920697274</v>
      </c>
      <c r="H27" t="s">
        <v>57</v>
      </c>
    </row>
    <row r="28" spans="1:11">
      <c r="H28" t="s">
        <v>58</v>
      </c>
    </row>
    <row r="31" spans="1:11">
      <c r="H31" t="s">
        <v>59</v>
      </c>
    </row>
    <row r="33" spans="8:9">
      <c r="H33" t="s">
        <v>60</v>
      </c>
    </row>
    <row r="34" spans="8:9">
      <c r="H34" t="s">
        <v>61</v>
      </c>
    </row>
    <row r="36" spans="8:9">
      <c r="H36" t="s">
        <v>62</v>
      </c>
      <c r="I36">
        <f>0.3*((I42/I43)*(I24+0.1)^(-0.6))</f>
        <v>0.35172144116661636</v>
      </c>
    </row>
    <row r="37" spans="8:9">
      <c r="H37" t="s">
        <v>63</v>
      </c>
      <c r="I37">
        <f>0.7*((I25/I43)^(-0.6))</f>
        <v>0.65704882844824919</v>
      </c>
    </row>
    <row r="39" spans="8:9">
      <c r="H39" t="s">
        <v>64</v>
      </c>
      <c r="I39">
        <f>(I25*I37) + (I42*(I24+0.1)*I36)-I43</f>
        <v>-1.5021317523178368E-13</v>
      </c>
    </row>
    <row r="42" spans="8:9">
      <c r="H42" t="s">
        <v>14</v>
      </c>
      <c r="I42">
        <v>0.80301742751799998</v>
      </c>
    </row>
    <row r="43" spans="8:9">
      <c r="H43" t="s">
        <v>41</v>
      </c>
      <c r="I43">
        <v>0.80301742751799998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sqref="A1:D12"/>
    </sheetView>
  </sheetViews>
  <sheetFormatPr baseColWidth="10" defaultRowHeight="15" x14ac:dyDescent="0"/>
  <cols>
    <col min="1" max="1" width="12.33203125" bestFit="1" customWidth="1"/>
  </cols>
  <sheetData>
    <row r="1" spans="1:5">
      <c r="A1" t="s">
        <v>5</v>
      </c>
      <c r="B1">
        <v>0.3</v>
      </c>
      <c r="C1">
        <v>0.25</v>
      </c>
      <c r="D1">
        <v>0.4</v>
      </c>
    </row>
    <row r="2" spans="1:5">
      <c r="A2" t="s">
        <v>8</v>
      </c>
      <c r="B2">
        <v>0.1</v>
      </c>
      <c r="C2">
        <v>0.12</v>
      </c>
      <c r="D2">
        <v>0.15</v>
      </c>
    </row>
    <row r="3" spans="1:5">
      <c r="A3" t="s">
        <v>7</v>
      </c>
      <c r="B3">
        <v>0.55000000000000004</v>
      </c>
      <c r="C3">
        <v>0.6</v>
      </c>
      <c r="D3">
        <v>0.62</v>
      </c>
    </row>
    <row r="5" spans="1:5">
      <c r="A5" t="s">
        <v>10</v>
      </c>
      <c r="B5">
        <v>0.77</v>
      </c>
    </row>
    <row r="6" spans="1:5">
      <c r="A6" t="s">
        <v>11</v>
      </c>
      <c r="B6">
        <v>1.03</v>
      </c>
    </row>
    <row r="8" spans="1:5">
      <c r="A8" t="s">
        <v>6</v>
      </c>
      <c r="B8">
        <v>1</v>
      </c>
      <c r="C8">
        <v>1</v>
      </c>
      <c r="D8">
        <v>1</v>
      </c>
    </row>
    <row r="10" spans="1:5">
      <c r="A10" t="s">
        <v>41</v>
      </c>
      <c r="B10">
        <f>(((1-B$1)*(($B$6/B$8)^(1-B$3)))+(B$1*((($B$5+B$2)/B$8)^(1-B$3))))^(1/(1-B$3))</f>
        <v>0.98043923022719703</v>
      </c>
      <c r="C10">
        <f>(((1-C$1)*(($B$6/C$8)^(1-C$3)))+(C$1*((($B$5+C$2)/C$8)^(1-C$3))))^(1/(1-C$3))</f>
        <v>0.99384719663454324</v>
      </c>
      <c r="D10">
        <f>(((1-D$1)*(($B$6/D$8)^(1-D$3)))+(D$1*((($B$5+D$2)/D$8)^(1-D$3))))^(1/(1-D$3))</f>
        <v>0.98507508434181168</v>
      </c>
    </row>
    <row r="12" spans="1:5">
      <c r="A12" t="s">
        <v>26</v>
      </c>
      <c r="B12">
        <v>0.7</v>
      </c>
      <c r="C12">
        <v>0.6</v>
      </c>
      <c r="D12">
        <v>0.77800000000000002</v>
      </c>
    </row>
    <row r="14" spans="1:5">
      <c r="A14" t="s">
        <v>67</v>
      </c>
      <c r="B14">
        <f>B$1*B$12*(((($B$5+B$2)/B$10)*(B$8^((1-B$3)/B$3)))^(-1*B$3))</f>
        <v>0.22426684838348437</v>
      </c>
      <c r="C14">
        <f>C$1*C$12*(((($B$5+C$2)/C$10)*(C$8^((1-C$3)/C$3)))^(-1*C$3))</f>
        <v>0.16026881479602204</v>
      </c>
      <c r="D14">
        <f>D$1*D$12*(((($B$5+D$2)/D$10)*(D$8^((1-D$3)/D$3)))^(-1*D$3))</f>
        <v>0.32466997141310111</v>
      </c>
      <c r="E14">
        <f>SUM(B14:D14)</f>
        <v>0.70920563459260744</v>
      </c>
    </row>
    <row r="15" spans="1:5">
      <c r="A15" t="s">
        <v>65</v>
      </c>
      <c r="B15">
        <f>SUM(B14:D14)</f>
        <v>0.70920563459260744</v>
      </c>
    </row>
    <row r="16" spans="1:5">
      <c r="A16" t="s">
        <v>66</v>
      </c>
      <c r="B16">
        <f>$B$15-B14</f>
        <v>0.48493878620912306</v>
      </c>
      <c r="C16">
        <f>$B$15-C14</f>
        <v>0.54893681979658537</v>
      </c>
      <c r="D16">
        <f>$B$15-D14</f>
        <v>0.38453566317950633</v>
      </c>
    </row>
    <row r="18" spans="1:6">
      <c r="A18" t="s">
        <v>68</v>
      </c>
      <c r="B18">
        <f>(1-B$1)*B$12*(((($B$6)/B$10)*(B$8^((1-B$3)/B$3)))^(-1*B$3))</f>
        <v>0.47688864375282181</v>
      </c>
      <c r="C18">
        <f>(1-C$1)*C$12*(((($B$6)/C$10)*(C$8^((1-C$3)/C$3)))^(-1*C$3))</f>
        <v>0.44045541049734599</v>
      </c>
      <c r="D18">
        <f>(1-D$1)*D$12*(((($B$6)/D$10)*(D$8^((1-D$3)/D$3)))^(-1*D$3))</f>
        <v>0.45406994360958863</v>
      </c>
      <c r="E18">
        <f>SUM(B18:D18)</f>
        <v>1.3714139978597566</v>
      </c>
    </row>
    <row r="19" spans="1:6">
      <c r="A19" t="s">
        <v>65</v>
      </c>
      <c r="B19">
        <f>SUM(B18:D18)</f>
        <v>1.3714139978597566</v>
      </c>
    </row>
    <row r="20" spans="1:6">
      <c r="A20" t="s">
        <v>66</v>
      </c>
      <c r="B20">
        <f>$B$19-B18</f>
        <v>0.89452535410693479</v>
      </c>
      <c r="C20">
        <f>$B$19-C18</f>
        <v>0.93095858736241066</v>
      </c>
      <c r="D20">
        <f>$B$19-D18</f>
        <v>0.91734405425016796</v>
      </c>
    </row>
    <row r="23" spans="1:6">
      <c r="A23" t="s">
        <v>69</v>
      </c>
    </row>
    <row r="24" spans="1:6">
      <c r="A24" t="s">
        <v>70</v>
      </c>
    </row>
    <row r="26" spans="1:6">
      <c r="A26" t="s">
        <v>72</v>
      </c>
      <c r="B26">
        <f>E14</f>
        <v>0.70920563459260744</v>
      </c>
    </row>
    <row r="27" spans="1:6">
      <c r="E27" t="s">
        <v>74</v>
      </c>
      <c r="F27" t="s">
        <v>75</v>
      </c>
    </row>
    <row r="28" spans="1:6">
      <c r="A28" t="s">
        <v>73</v>
      </c>
      <c r="B28">
        <f>$B$26-B$16</f>
        <v>0.22426684838348437</v>
      </c>
      <c r="C28">
        <f>$B$26-C$16</f>
        <v>0.16026881479602206</v>
      </c>
      <c r="D28">
        <f>$B$26-D$16</f>
        <v>0.32466997141310111</v>
      </c>
      <c r="E28">
        <f>SUM(B28:D28)</f>
        <v>0.70920563459260755</v>
      </c>
    </row>
    <row r="31" spans="1:6">
      <c r="A31" t="s">
        <v>71</v>
      </c>
      <c r="B31">
        <f>(B$10*(((B$1*B$12)/B$28)^(1/B$3))*(B$8^((B$3-1)/B$3)))-B$2</f>
        <v>0.77</v>
      </c>
      <c r="C31">
        <f>(C$10*(((C$1*C$12)/C$28)^(1/C$3))*(C$8^((C$3-1)/C$3)))-C$2</f>
        <v>0.76999999999999968</v>
      </c>
      <c r="D31">
        <f>(D$10*(((D$1*D$12)/D$28)^(1/D$3))*(D$8^((D$3-1)/D$3)))-D$2</f>
        <v>0.77000000000000024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3" workbookViewId="0">
      <selection activeCell="E29" sqref="A10:E29"/>
    </sheetView>
  </sheetViews>
  <sheetFormatPr baseColWidth="10" defaultRowHeight="15" x14ac:dyDescent="0"/>
  <sheetData>
    <row r="1" spans="1:5">
      <c r="A1" t="s">
        <v>81</v>
      </c>
    </row>
    <row r="2" spans="1:5">
      <c r="A2" t="s">
        <v>82</v>
      </c>
    </row>
    <row r="3" spans="1:5">
      <c r="A3" t="s">
        <v>85</v>
      </c>
    </row>
    <row r="4" spans="1:5">
      <c r="A4" t="s">
        <v>86</v>
      </c>
    </row>
    <row r="5" spans="1:5">
      <c r="A5" t="s">
        <v>87</v>
      </c>
    </row>
    <row r="6" spans="1:5">
      <c r="A6" t="s">
        <v>88</v>
      </c>
    </row>
    <row r="7" spans="1:5">
      <c r="A7" t="s">
        <v>91</v>
      </c>
    </row>
    <row r="10" spans="1:5">
      <c r="A10" t="s">
        <v>5</v>
      </c>
      <c r="B10">
        <v>0.3</v>
      </c>
      <c r="C10">
        <v>0.25</v>
      </c>
      <c r="D10">
        <v>0.4</v>
      </c>
      <c r="E10">
        <v>0.33</v>
      </c>
    </row>
    <row r="11" spans="1:5">
      <c r="A11" t="s">
        <v>8</v>
      </c>
      <c r="B11">
        <v>0.1</v>
      </c>
      <c r="C11">
        <v>0.12</v>
      </c>
      <c r="D11">
        <v>0.15</v>
      </c>
      <c r="E11">
        <v>0.11</v>
      </c>
    </row>
    <row r="12" spans="1:5">
      <c r="A12" t="s">
        <v>7</v>
      </c>
      <c r="B12">
        <v>0.55000000000000004</v>
      </c>
      <c r="C12">
        <v>0.6</v>
      </c>
      <c r="D12">
        <v>0.62</v>
      </c>
      <c r="E12">
        <v>0.6</v>
      </c>
    </row>
    <row r="14" spans="1:5">
      <c r="A14" t="s">
        <v>10</v>
      </c>
      <c r="B14">
        <v>0.77</v>
      </c>
    </row>
    <row r="15" spans="1:5">
      <c r="A15" t="s">
        <v>11</v>
      </c>
      <c r="B15">
        <v>1.03</v>
      </c>
    </row>
    <row r="17" spans="1:5">
      <c r="A17" t="s">
        <v>6</v>
      </c>
      <c r="B17">
        <v>1</v>
      </c>
      <c r="C17">
        <v>1</v>
      </c>
      <c r="D17">
        <v>1</v>
      </c>
      <c r="E17">
        <v>1</v>
      </c>
    </row>
    <row r="19" spans="1:5">
      <c r="A19" t="s">
        <v>41</v>
      </c>
      <c r="B19">
        <v>1</v>
      </c>
      <c r="C19">
        <v>1.2</v>
      </c>
      <c r="D19">
        <v>1.1000000000000001</v>
      </c>
      <c r="E19">
        <v>0.9</v>
      </c>
    </row>
    <row r="21" spans="1:5">
      <c r="A21" t="s">
        <v>26</v>
      </c>
      <c r="B21">
        <v>0.7</v>
      </c>
      <c r="C21">
        <v>0.6</v>
      </c>
      <c r="D21">
        <v>0.77800000000000002</v>
      </c>
      <c r="E21">
        <v>0.77800000000000002</v>
      </c>
    </row>
    <row r="23" spans="1:5">
      <c r="A23" t="s">
        <v>14</v>
      </c>
      <c r="B23">
        <v>1.05</v>
      </c>
      <c r="C23">
        <v>1.22</v>
      </c>
      <c r="D23">
        <v>1.1200000000000001</v>
      </c>
      <c r="E23">
        <v>1.0009999999999999</v>
      </c>
    </row>
    <row r="25" spans="1:5">
      <c r="A25" t="s">
        <v>76</v>
      </c>
      <c r="B25">
        <v>0.25</v>
      </c>
      <c r="C25">
        <v>0.25</v>
      </c>
      <c r="D25">
        <v>0.25</v>
      </c>
      <c r="E25">
        <v>0.25</v>
      </c>
    </row>
    <row r="26" spans="1:5">
      <c r="A26" t="s">
        <v>77</v>
      </c>
      <c r="B26">
        <v>0</v>
      </c>
      <c r="C26">
        <v>0</v>
      </c>
      <c r="D26">
        <v>0</v>
      </c>
      <c r="E26">
        <v>0</v>
      </c>
    </row>
    <row r="27" spans="1:5">
      <c r="A27" t="s">
        <v>78</v>
      </c>
      <c r="B27">
        <v>0</v>
      </c>
      <c r="C27">
        <v>0</v>
      </c>
      <c r="D27">
        <v>0</v>
      </c>
      <c r="E27">
        <v>0</v>
      </c>
    </row>
    <row r="29" spans="1:5">
      <c r="A29" t="s">
        <v>79</v>
      </c>
      <c r="B29">
        <f>B11*1.2</f>
        <v>0.12</v>
      </c>
      <c r="C29">
        <f t="shared" ref="C29:D29" si="0">C11*1.2</f>
        <v>0.14399999999999999</v>
      </c>
      <c r="D29">
        <f t="shared" si="0"/>
        <v>0.18</v>
      </c>
      <c r="E29">
        <f t="shared" ref="E29" si="1">E11*1.2</f>
        <v>0.13200000000000001</v>
      </c>
    </row>
    <row r="31" spans="1:5">
      <c r="A31" t="s">
        <v>80</v>
      </c>
      <c r="B31">
        <f>B23*((1-B26)/(1-B27))*(1+((1-B29)*B25*B29*((($B$14/(1-B27))+B29)^(-1))))</f>
        <v>1.0811460674157305</v>
      </c>
      <c r="C31">
        <f>C23*((1-C26)/(1-C27))*(1+((1-C29)*C25*C29*((($B$14/(1-C27))+C29)^(-1))))</f>
        <v>1.26113295404814</v>
      </c>
      <c r="D31">
        <f>D23*((1-D26)/(1-D27))*(1+((1-D29)*D25*D29*((($B$14/(1-D27))+D29)^(-1))))</f>
        <v>1.1635031578947368</v>
      </c>
      <c r="E31">
        <f>E23*((1-E26)/(1-E27))*(1+((1-E29)*E25*E29*((($B$14/(1-E27))+E29)^(-1))))</f>
        <v>1.0327878536585364</v>
      </c>
    </row>
    <row r="32" spans="1:5">
      <c r="A32" t="s">
        <v>83</v>
      </c>
      <c r="B32">
        <f>B10*((((1-B26)/(1-B27))*(1-B25)*(B19/B31))^B12)*(B17^(B12-1))*((($B$14/(1-B27))+B11)^(-1*B12))</f>
        <v>0.2648701122114383</v>
      </c>
      <c r="C32">
        <f>C10*((((1-C26)/(1-C27))*(1-C25)*(C19/C31))^C12)*(C17^(C12-1))*((($B$14/(1-C27))+C11)^(-1*C12))</f>
        <v>0.21897522731212993</v>
      </c>
      <c r="D32">
        <f>D10*((((1-D26)/(1-D27))*(1-D25)*(D19/D31))^D12)*(D17^(D12-1))*((($B$14/(1-D27))+D11)^(-1*D12))</f>
        <v>0.34035888741105647</v>
      </c>
      <c r="E32">
        <f>E10*((((1-E26)/(1-E27))*(1-E25)*(E19/E31))^E12)*(E17^(E12-1))*((($B$14/(1-E27))+E11)^(-1*E12))</f>
        <v>0.27605773940166467</v>
      </c>
    </row>
    <row r="33" spans="1:5">
      <c r="A33" t="s">
        <v>84</v>
      </c>
      <c r="B33">
        <f>(1-B10)*(B17^(B12-1))*((B19/$B$15)^(B12))</f>
        <v>0.68871186727093869</v>
      </c>
      <c r="C33">
        <f>(1-C10)*(C17^(C12-1))*((C19/$B$15)^(C12))</f>
        <v>0.82199216161439415</v>
      </c>
      <c r="D33">
        <f>(1-D10)*(D17^(D12-1))*((D19/$B$15)^(D12))</f>
        <v>0.62496491321532077</v>
      </c>
      <c r="E33">
        <f>(1-E10)*(E17^(E12-1))*((E19/$B$15)^(E12))</f>
        <v>0.61789968461060796</v>
      </c>
    </row>
    <row r="34" spans="1:5">
      <c r="A34" t="s">
        <v>41</v>
      </c>
      <c r="B34">
        <f>($B$15*B33)+((($B$14*B31)/((1-B26)*(1-B25)))*B32)+((((1-(B25*(1-B29)))*B11*B23)/(1-B25))*B32)</f>
        <v>1.0322966738744053</v>
      </c>
      <c r="C34">
        <f>($B$15*C33)+((($B$14*C31)/((1-C26)*(1-C25)))*C32)+((((1-(C25*(1-C29)))*C11*C23)/(1-C25))*C32)</f>
        <v>1.1637697410830925</v>
      </c>
      <c r="D34">
        <f>($B$15*D33)+((($B$14*D31)/((1-D26)*(1-D25)))*D32)+((((1-(D25*(1-D29)))*D11*D23)/(1-D25))*D32)</f>
        <v>1.1108938420107861</v>
      </c>
      <c r="E34">
        <f>($B$15*E33)+((($B$14*E31)/((1-E26)*(1-E25)))*E32)+((((1-(E25*(1-E29)))*E11*E23)/(1-E25))*E32)</f>
        <v>0.9608828373794116</v>
      </c>
    </row>
    <row r="35" spans="1:5">
      <c r="A35" t="s">
        <v>16</v>
      </c>
      <c r="B35">
        <f t="shared" ref="B35:D35" si="2">(B21/B17)*(((B10^(1/B12))+(((1-B10)^(1/B12))*(((B31/$B$15)*((1-B27)/((1-B25)*(1-B26)))*(($B$14/(1-B27))+B11))^(B12-1))*(((1-B10)/B10)^((B12-1)/B12))))^(B12/(1-B12)))</f>
        <v>0.19486883724679488</v>
      </c>
      <c r="C35">
        <f t="shared" si="2"/>
        <v>0.12719650560224116</v>
      </c>
      <c r="D35">
        <f t="shared" si="2"/>
        <v>0.2764773621960776</v>
      </c>
      <c r="E35">
        <f>(E21/E17)*(((E10^(1/E12))+(((1-E10)^(1/E12))*(((E31/$B$15)*((1-E27)/((1-E25)*(1-E26)))*(($B$14/(1-E27))+E11))^(E12-1))*(((1-E10)/E10)^((E12-1)/E12))))^(E12/(1-E12)))</f>
        <v>0.24066941189896141</v>
      </c>
    </row>
    <row r="36" spans="1:5">
      <c r="A36" t="s">
        <v>17</v>
      </c>
      <c r="B36">
        <f>B35*((1-B10)/B10)*((($B$14/(1-B27))+B11)^(B12))*((B31/$B$15)^(B12))*(((1-B27)/((1-B25)*(1-B26)))^B12)</f>
        <v>0.50669545028176655</v>
      </c>
      <c r="C36">
        <f>C35*((1-C10)/C10)*((($B$14/(1-C27))+C11)^(C12))*((C31/$B$15)^(C12))*(((1-C27)/((1-C25)*(1-C26)))^C12)</f>
        <v>0.47747195823548727</v>
      </c>
      <c r="D36">
        <f>D35*((1-D10)/D10)*((($B$14/(1-D27))+D11)^(D12))*((D31/$B$15)^(D12))*(((1-D27)/((1-D25)*(1-D26)))^D12)</f>
        <v>0.50766604622900025</v>
      </c>
      <c r="E36">
        <f>E35*((1-E10)/E10)*((($B$14/(1-E27))+E11)^(E12))*((E31/$B$15)^(E12))*(((1-E27)/((1-E25)*(1-E26)))^E12)</f>
        <v>0.53869003647608671</v>
      </c>
    </row>
    <row r="37" spans="1:5">
      <c r="A37" t="s">
        <v>89</v>
      </c>
      <c r="B37">
        <f>(((B10*B21)/B35)^(1/B12))*(B17^((B12-1)/B12))</f>
        <v>1.1456419578491084</v>
      </c>
      <c r="C37">
        <f>(((C10*C21)/C35)^(1/C12))*(C17^((C12-1)/C12))</f>
        <v>1.3163159119222749</v>
      </c>
      <c r="D37">
        <f>(((D10*D21)/D35)^(1/D12))*(D17^((D12-1)/D12))</f>
        <v>1.2102385583170632</v>
      </c>
      <c r="E37">
        <f>(((E10*E21)/E35)^(1/E12))*(E17^((E12-1)/E12))</f>
        <v>1.1137500423837636</v>
      </c>
    </row>
    <row r="38" spans="1:5">
      <c r="A38" t="s">
        <v>90</v>
      </c>
      <c r="B38">
        <f>(B31*(($B$14/(1-B27))+B11)) - (((1-B26)/(1-B27))*(1-B25)*B19*B37)</f>
        <v>8.1365610264854227E-2</v>
      </c>
      <c r="C38">
        <f>(C31*(($B$14/(1-C27))+C11)) - (((1-C26)/(1-C27))*(1-C25)*C19*C37)</f>
        <v>-6.2275991627202654E-2</v>
      </c>
      <c r="D38">
        <f>(D31*(($B$14/(1-D27))+D11)) - (((1-D26)/(1-D27))*(1-D25)*D19*D37)</f>
        <v>7.1976094651580724E-2</v>
      </c>
      <c r="E38">
        <f>(E31*(($B$14/(1-E27))+E11)) - (((1-E26)/(1-E27))*(1-E25)*E19*E37)</f>
        <v>0.15707203261047153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I14" sqref="I14"/>
    </sheetView>
  </sheetViews>
  <sheetFormatPr baseColWidth="10" defaultRowHeight="15" x14ac:dyDescent="0"/>
  <sheetData>
    <row r="1" spans="1:9">
      <c r="A1" s="1" t="s">
        <v>92</v>
      </c>
      <c r="B1" s="1"/>
    </row>
    <row r="2" spans="1:9">
      <c r="A2" s="1" t="s">
        <v>96</v>
      </c>
      <c r="B2" s="1"/>
    </row>
    <row r="3" spans="1:9">
      <c r="A3" s="1" t="s">
        <v>95</v>
      </c>
      <c r="B3" s="1"/>
    </row>
    <row r="4" spans="1:9">
      <c r="A4" s="1" t="s">
        <v>94</v>
      </c>
      <c r="B4" s="1"/>
    </row>
    <row r="5" spans="1:9">
      <c r="A5" s="1"/>
      <c r="B5" s="1"/>
    </row>
    <row r="6" spans="1:9">
      <c r="A6" s="1"/>
      <c r="B6" s="1"/>
    </row>
    <row r="7" spans="1:9">
      <c r="A7" t="s">
        <v>5</v>
      </c>
      <c r="B7">
        <v>0.3</v>
      </c>
      <c r="C7">
        <v>0.25</v>
      </c>
      <c r="D7">
        <v>0.4</v>
      </c>
      <c r="E7">
        <v>0.33</v>
      </c>
    </row>
    <row r="8" spans="1:9">
      <c r="A8" t="s">
        <v>8</v>
      </c>
      <c r="B8">
        <v>0.1</v>
      </c>
      <c r="C8">
        <v>0.12</v>
      </c>
      <c r="D8">
        <v>0.15</v>
      </c>
      <c r="E8">
        <v>0.11</v>
      </c>
    </row>
    <row r="9" spans="1:9">
      <c r="A9" t="s">
        <v>7</v>
      </c>
      <c r="B9">
        <v>0.55000000000000004</v>
      </c>
      <c r="C9">
        <v>0.6</v>
      </c>
      <c r="D9">
        <v>0.62</v>
      </c>
      <c r="E9">
        <v>0.6</v>
      </c>
    </row>
    <row r="11" spans="1:9">
      <c r="A11" t="s">
        <v>10</v>
      </c>
      <c r="B11">
        <v>0.66950521458599999</v>
      </c>
    </row>
    <row r="12" spans="1:9">
      <c r="A12" t="s">
        <v>11</v>
      </c>
      <c r="B12">
        <v>1.00006616209</v>
      </c>
    </row>
    <row r="13" spans="1:9">
      <c r="I13">
        <f>1.1^0.3</f>
        <v>1.0290057594210951</v>
      </c>
    </row>
    <row r="14" spans="1:9">
      <c r="A14" t="s">
        <v>6</v>
      </c>
      <c r="B14">
        <v>1</v>
      </c>
      <c r="C14">
        <v>1</v>
      </c>
      <c r="D14">
        <v>1</v>
      </c>
      <c r="E14">
        <v>1</v>
      </c>
    </row>
    <row r="16" spans="1:9">
      <c r="A16" t="s">
        <v>41</v>
      </c>
      <c r="B16">
        <v>1</v>
      </c>
      <c r="C16">
        <v>1.2</v>
      </c>
      <c r="D16">
        <v>1.1000000000000001</v>
      </c>
      <c r="E16">
        <v>0.9</v>
      </c>
    </row>
    <row r="18" spans="1:5">
      <c r="A18" t="s">
        <v>26</v>
      </c>
      <c r="B18">
        <v>0.7</v>
      </c>
      <c r="C18">
        <v>0.6</v>
      </c>
      <c r="D18">
        <v>0.77800000000000002</v>
      </c>
      <c r="E18">
        <v>0.77800000000000002</v>
      </c>
    </row>
    <row r="20" spans="1:5">
      <c r="A20" t="s">
        <v>14</v>
      </c>
      <c r="B20">
        <v>1.05</v>
      </c>
      <c r="C20">
        <v>1.22</v>
      </c>
      <c r="D20">
        <v>1.1200000000000001</v>
      </c>
      <c r="E20">
        <v>1.0009999999999999</v>
      </c>
    </row>
    <row r="22" spans="1:5">
      <c r="A22" t="s">
        <v>76</v>
      </c>
      <c r="B22">
        <v>0.25</v>
      </c>
      <c r="C22">
        <v>0.25</v>
      </c>
      <c r="D22">
        <v>0.25</v>
      </c>
      <c r="E22">
        <v>0.25</v>
      </c>
    </row>
    <row r="23" spans="1:5">
      <c r="A23" t="s">
        <v>77</v>
      </c>
      <c r="B23">
        <v>0</v>
      </c>
      <c r="C23">
        <v>0</v>
      </c>
      <c r="D23">
        <v>0</v>
      </c>
      <c r="E23">
        <v>0</v>
      </c>
    </row>
    <row r="24" spans="1:5">
      <c r="A24" t="s">
        <v>78</v>
      </c>
      <c r="B24">
        <v>0</v>
      </c>
      <c r="C24">
        <v>0</v>
      </c>
      <c r="D24">
        <v>0</v>
      </c>
      <c r="E24">
        <v>0</v>
      </c>
    </row>
    <row r="26" spans="1:5">
      <c r="A26" t="s">
        <v>79</v>
      </c>
      <c r="B26">
        <f>B8*1.2</f>
        <v>0.12</v>
      </c>
      <c r="C26">
        <f t="shared" ref="C26:E26" si="0">C8*1.2</f>
        <v>0.14399999999999999</v>
      </c>
      <c r="D26">
        <f t="shared" si="0"/>
        <v>0.18</v>
      </c>
      <c r="E26">
        <f t="shared" si="0"/>
        <v>0.13200000000000001</v>
      </c>
    </row>
    <row r="29" spans="1:5">
      <c r="A29" t="s">
        <v>93</v>
      </c>
      <c r="B29">
        <f>(((1-B23)/(1-B24))*B22*B26)/(($B$11/(1-B24))+B26)</f>
        <v>3.799848239853789E-2</v>
      </c>
      <c r="C29">
        <f>(((1-C23)/(1-C24))*C22*C26)/(($B$11/(1-C24))+C26)</f>
        <v>4.425294313364754E-2</v>
      </c>
      <c r="D29">
        <f>(((1-D23)/(1-D24))*D22*D26)/(($B$11/(1-D24))+D26)</f>
        <v>5.2972011504285363E-2</v>
      </c>
      <c r="E29">
        <f>(((1-E23)/(1-E24))*E22*E26)/(($B$11/(1-E24))+E26)</f>
        <v>4.1172533128241005E-2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MTSU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DeBacker</dc:creator>
  <cp:lastModifiedBy>Jason DeBacker</cp:lastModifiedBy>
  <dcterms:created xsi:type="dcterms:W3CDTF">2015-08-03T18:10:42Z</dcterms:created>
  <dcterms:modified xsi:type="dcterms:W3CDTF">2015-09-16T02:46:22Z</dcterms:modified>
</cp:coreProperties>
</file>