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aciww-my.sharepoint.com/personal/jc_perez_aciworldwide_com/Documents/Documents/Pricing/Pricing Models/CSM Reprice Model/New CSM Model/Model Template/"/>
    </mc:Choice>
  </mc:AlternateContent>
  <xr:revisionPtr revIDLastSave="0" documentId="8_{4872B33E-FE3E-4DC1-B76B-DE2B8DB2A08E}" xr6:coauthVersionLast="47" xr6:coauthVersionMax="47" xr10:uidLastSave="{00000000-0000-0000-0000-000000000000}"/>
  <bookViews>
    <workbookView xWindow="46155" yWindow="-16320" windowWidth="29040" windowHeight="15720" xr2:uid="{9DB204D7-2E58-441D-93A9-852378C94C4D}"/>
  </bookViews>
  <sheets>
    <sheet name="ACI Summary" sheetId="6" r:id="rId1"/>
    <sheet name="Client Summary" sheetId="7" r:id="rId2"/>
    <sheet name="Input-Metrics-Profitability" sheetId="2" r:id="rId3"/>
    <sheet name="Calculations" sheetId="10" state="hidden" r:id="rId4"/>
    <sheet name="Shift Calcs &amp; Graphs" sheetId="4" state="hidden" r:id="rId5"/>
    <sheet name="Data" sheetId="1" state="hidden" r:id="rId6"/>
    <sheet name="Drop Downs" sheetId="11" state="hidden" r:id="rId7"/>
    <sheet name="Scratch Notes" sheetId="8" state="hidden" r:id="rId8"/>
    <sheet name="PPT Variation" sheetId="5" state="hidden" r:id="rId9"/>
    <sheet name="Note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8" i="7" l="1"/>
  <c r="I19" i="7"/>
  <c r="I20" i="7"/>
  <c r="I21" i="7"/>
  <c r="I17" i="7"/>
  <c r="D90" i="10"/>
  <c r="D89" i="10"/>
  <c r="D88" i="10"/>
  <c r="D87" i="10"/>
  <c r="D86" i="10"/>
  <c r="D85" i="10"/>
  <c r="E35" i="9"/>
  <c r="E36" i="9"/>
  <c r="E37" i="9"/>
  <c r="E34" i="9"/>
  <c r="D35" i="9"/>
  <c r="D36" i="9"/>
  <c r="D37" i="9"/>
  <c r="D34" i="9"/>
  <c r="K24" i="6" l="1"/>
  <c r="K23" i="6"/>
  <c r="K22" i="6"/>
  <c r="K8" i="6"/>
  <c r="J8" i="6"/>
  <c r="J7" i="6"/>
  <c r="K6" i="6"/>
  <c r="K7" i="6"/>
  <c r="J6" i="6"/>
  <c r="S9" i="7"/>
  <c r="T12" i="7"/>
  <c r="T11" i="7"/>
  <c r="T10" i="7"/>
  <c r="T8" i="7"/>
  <c r="S12" i="7"/>
  <c r="S11" i="7"/>
  <c r="S10" i="7"/>
  <c r="R12" i="7"/>
  <c r="R11" i="7"/>
  <c r="R10" i="7"/>
  <c r="Q12" i="7"/>
  <c r="Q11" i="7"/>
  <c r="Q10" i="7"/>
  <c r="J12" i="7"/>
  <c r="J11" i="7"/>
  <c r="J10" i="7"/>
  <c r="J9" i="7"/>
  <c r="I12" i="7"/>
  <c r="I11" i="7"/>
  <c r="I10" i="7"/>
  <c r="H12" i="7"/>
  <c r="H11" i="7"/>
  <c r="H10" i="7"/>
  <c r="G12" i="7"/>
  <c r="G11" i="7"/>
  <c r="C82" i="10" s="1"/>
  <c r="D82" i="10" s="1"/>
  <c r="G10" i="7"/>
  <c r="C81" i="10" s="1"/>
  <c r="D81" i="10" s="1"/>
  <c r="AD28" i="2"/>
  <c r="Y28" i="10"/>
  <c r="P17" i="10"/>
  <c r="W13" i="10"/>
  <c r="W12" i="10"/>
  <c r="N17" i="10"/>
  <c r="P16" i="10"/>
  <c r="D38" i="2"/>
  <c r="L8" i="6" l="1"/>
  <c r="L6" i="6"/>
  <c r="L7" i="6"/>
  <c r="J9" i="6"/>
  <c r="K9" i="6"/>
  <c r="L9" i="6" l="1"/>
  <c r="D6" i="2" l="1"/>
  <c r="N23" i="10"/>
  <c r="N22" i="10"/>
  <c r="M23" i="10"/>
  <c r="M22" i="10"/>
  <c r="C12" i="1" l="1"/>
  <c r="D12" i="1"/>
  <c r="E12" i="1"/>
  <c r="F12" i="1"/>
  <c r="G12" i="1"/>
  <c r="H12" i="1"/>
  <c r="I12" i="1"/>
  <c r="J12" i="1"/>
  <c r="K12" i="1"/>
  <c r="L12" i="1"/>
  <c r="M12" i="1"/>
  <c r="B12" i="1"/>
  <c r="AL10" i="1"/>
  <c r="D45" i="10" s="1"/>
  <c r="D70" i="10"/>
  <c r="M69" i="10"/>
  <c r="M72" i="10"/>
  <c r="M70" i="10"/>
  <c r="M68" i="10"/>
  <c r="M67" i="10"/>
  <c r="M66" i="10"/>
  <c r="N46" i="10"/>
  <c r="M46" i="10"/>
  <c r="N45" i="10"/>
  <c r="M45" i="10"/>
  <c r="N44" i="10"/>
  <c r="M44" i="10"/>
  <c r="N43" i="10"/>
  <c r="M43" i="10"/>
  <c r="N42" i="10"/>
  <c r="M42" i="10"/>
  <c r="N41" i="10"/>
  <c r="M41" i="10"/>
  <c r="I48" i="10"/>
  <c r="I47" i="10"/>
  <c r="I46" i="10"/>
  <c r="I45" i="10"/>
  <c r="I44" i="10"/>
  <c r="E57" i="10" s="1"/>
  <c r="I43" i="10"/>
  <c r="H48" i="10"/>
  <c r="H47" i="10"/>
  <c r="H46" i="10"/>
  <c r="H45" i="10"/>
  <c r="H44" i="10"/>
  <c r="H43" i="10"/>
  <c r="F47" i="10"/>
  <c r="F46" i="10"/>
  <c r="F45" i="10"/>
  <c r="F44" i="10"/>
  <c r="F43" i="10"/>
  <c r="F50" i="10"/>
  <c r="F49" i="10"/>
  <c r="F14" i="10"/>
  <c r="F13" i="10"/>
  <c r="F11" i="10"/>
  <c r="F10" i="10"/>
  <c r="F9" i="10"/>
  <c r="F8" i="10"/>
  <c r="F7" i="10"/>
  <c r="E48" i="10"/>
  <c r="D48" i="10"/>
  <c r="F48" i="10" s="1"/>
  <c r="G48" i="10" s="1"/>
  <c r="E47" i="10"/>
  <c r="D47" i="10"/>
  <c r="E46" i="10"/>
  <c r="D46" i="10"/>
  <c r="E45" i="10"/>
  <c r="E44" i="10"/>
  <c r="D44" i="10"/>
  <c r="E43" i="10"/>
  <c r="D43" i="10"/>
  <c r="I12" i="10"/>
  <c r="I8" i="10"/>
  <c r="I9" i="10"/>
  <c r="I10" i="10"/>
  <c r="I7" i="10"/>
  <c r="I11" i="10"/>
  <c r="H12" i="10"/>
  <c r="H11" i="10"/>
  <c r="H8" i="10"/>
  <c r="H9" i="10"/>
  <c r="H10" i="10"/>
  <c r="E12" i="10"/>
  <c r="D12" i="10"/>
  <c r="N16" i="10"/>
  <c r="M16" i="10"/>
  <c r="H7" i="10"/>
  <c r="E11" i="10"/>
  <c r="D11" i="10"/>
  <c r="E10" i="10"/>
  <c r="D10" i="10"/>
  <c r="E9" i="10"/>
  <c r="E8" i="10"/>
  <c r="D8" i="10"/>
  <c r="E7" i="10"/>
  <c r="D7" i="10"/>
  <c r="P13" i="10"/>
  <c r="P12" i="10"/>
  <c r="P11" i="10"/>
  <c r="P10" i="10"/>
  <c r="P9" i="10"/>
  <c r="P8" i="10"/>
  <c r="P7" i="10"/>
  <c r="N11" i="10"/>
  <c r="N10" i="10"/>
  <c r="N9" i="10"/>
  <c r="N8" i="10"/>
  <c r="N7" i="10"/>
  <c r="M11" i="10"/>
  <c r="M10" i="10"/>
  <c r="M8" i="10"/>
  <c r="M7" i="10"/>
  <c r="D25" i="10" l="1"/>
  <c r="K38" i="2" s="1"/>
  <c r="D59" i="10"/>
  <c r="Q7" i="10"/>
  <c r="M9" i="10"/>
  <c r="D9" i="10"/>
  <c r="D22" i="10" s="1"/>
  <c r="D56" i="10"/>
  <c r="E58" i="10"/>
  <c r="G11" i="10"/>
  <c r="D60" i="10"/>
  <c r="D58" i="10"/>
  <c r="G47" i="10"/>
  <c r="D61" i="10"/>
  <c r="G43" i="10"/>
  <c r="G9" i="10"/>
  <c r="G44" i="10"/>
  <c r="E59" i="10"/>
  <c r="G10" i="10"/>
  <c r="G45" i="10"/>
  <c r="D57" i="10"/>
  <c r="E23" i="10"/>
  <c r="G13" i="10"/>
  <c r="E56" i="10"/>
  <c r="G50" i="10"/>
  <c r="G14" i="10"/>
  <c r="G46" i="10"/>
  <c r="E60" i="10"/>
  <c r="G7" i="10"/>
  <c r="G49" i="10"/>
  <c r="G8" i="10"/>
  <c r="E24" i="10"/>
  <c r="F12" i="10"/>
  <c r="G12" i="10" s="1"/>
  <c r="D21" i="10"/>
  <c r="D20" i="10"/>
  <c r="E21" i="10"/>
  <c r="E22" i="10"/>
  <c r="D23" i="10"/>
  <c r="E20" i="10"/>
  <c r="D24" i="10"/>
  <c r="F24" i="10" l="1"/>
  <c r="F58" i="10"/>
  <c r="F21" i="10"/>
  <c r="G24" i="10"/>
  <c r="G20" i="10"/>
  <c r="F22" i="10"/>
  <c r="G21" i="10"/>
  <c r="G22" i="10"/>
  <c r="F60" i="10"/>
  <c r="G59" i="10"/>
  <c r="G58" i="10"/>
  <c r="G60" i="10"/>
  <c r="F20" i="10"/>
  <c r="G57" i="10"/>
  <c r="F59" i="10"/>
  <c r="F56" i="10"/>
  <c r="G56" i="10"/>
  <c r="F23" i="10"/>
  <c r="F57" i="10"/>
  <c r="G23" i="10"/>
  <c r="Q12" i="10" l="1"/>
  <c r="Q9" i="10"/>
  <c r="Q10" i="10"/>
  <c r="Q8" i="10"/>
  <c r="Q11" i="10"/>
  <c r="P14" i="10"/>
  <c r="O16" i="10"/>
  <c r="N14" i="10"/>
  <c r="Q13" i="10" l="1"/>
  <c r="Q14" i="10"/>
  <c r="D72" i="10" l="1"/>
  <c r="D69" i="10"/>
  <c r="D68" i="10"/>
  <c r="E68" i="10" s="1"/>
  <c r="Q18" i="7" s="1"/>
  <c r="D67" i="10"/>
  <c r="E67" i="10" s="1"/>
  <c r="D71" i="10"/>
  <c r="D35" i="10"/>
  <c r="D36" i="10"/>
  <c r="D31" i="10"/>
  <c r="E31" i="10" s="1"/>
  <c r="V7" i="10" s="1"/>
  <c r="D32" i="10"/>
  <c r="E32" i="10" s="1"/>
  <c r="V8" i="10" s="1"/>
  <c r="W8" i="10" s="1"/>
  <c r="D33" i="10"/>
  <c r="D34" i="10"/>
  <c r="E72" i="10"/>
  <c r="AN30" i="2" s="1"/>
  <c r="E36" i="10"/>
  <c r="V16" i="10" s="1"/>
  <c r="Q17" i="7" l="1"/>
  <c r="W7" i="10"/>
  <c r="W16" i="10"/>
  <c r="E34" i="10"/>
  <c r="E33" i="10"/>
  <c r="E69" i="10"/>
  <c r="Q19" i="7" s="1"/>
  <c r="E35" i="10"/>
  <c r="K28" i="2"/>
  <c r="E70" i="10"/>
  <c r="Q20" i="7" s="1"/>
  <c r="K27" i="2"/>
  <c r="D27" i="10"/>
  <c r="E71" i="10"/>
  <c r="Q21" i="7" s="1"/>
  <c r="F27" i="10"/>
  <c r="D63" i="10"/>
  <c r="E27" i="10"/>
  <c r="G63" i="10"/>
  <c r="F63" i="10"/>
  <c r="E63" i="10"/>
  <c r="G27" i="10"/>
  <c r="AN28" i="2" l="1"/>
  <c r="K30" i="2"/>
  <c r="V10" i="10"/>
  <c r="W10" i="10" s="1"/>
  <c r="K29" i="2"/>
  <c r="V9" i="10"/>
  <c r="K31" i="2"/>
  <c r="V11" i="10"/>
  <c r="W11" i="10" s="1"/>
  <c r="Q22" i="10"/>
  <c r="P22" i="10"/>
  <c r="P23" i="10"/>
  <c r="Q23" i="10"/>
  <c r="T11" i="10"/>
  <c r="T10" i="10"/>
  <c r="T9" i="10"/>
  <c r="O11" i="10"/>
  <c r="O10" i="10"/>
  <c r="O8" i="10"/>
  <c r="O9" i="10"/>
  <c r="O7" i="10"/>
  <c r="M14" i="10"/>
  <c r="R9" i="10" s="1"/>
  <c r="AN32" i="2" l="1"/>
  <c r="K36" i="2"/>
  <c r="H19" i="2" s="1"/>
  <c r="W9" i="10"/>
  <c r="W14" i="10" s="1"/>
  <c r="W17" i="10" s="1"/>
  <c r="Y29" i="10" s="1"/>
  <c r="AD29" i="2" s="1"/>
  <c r="V14" i="10"/>
  <c r="V17" i="10" s="1"/>
  <c r="R22" i="10"/>
  <c r="M28" i="10"/>
  <c r="M54" i="10" s="1"/>
  <c r="M29" i="10"/>
  <c r="N35" i="10"/>
  <c r="M35" i="10"/>
  <c r="T23" i="10"/>
  <c r="S23" i="10"/>
  <c r="R23" i="10"/>
  <c r="T22" i="10"/>
  <c r="S22" i="10"/>
  <c r="R11" i="10"/>
  <c r="R8" i="10"/>
  <c r="R10" i="10"/>
  <c r="M17" i="10"/>
  <c r="AI17" i="2" s="1"/>
  <c r="R14" i="10"/>
  <c r="O14" i="10"/>
  <c r="R7" i="10"/>
  <c r="AH18" i="2" l="1"/>
  <c r="M59" i="10"/>
  <c r="N72" i="10" s="1"/>
  <c r="AH19" i="2" s="1"/>
  <c r="AH17" i="2"/>
  <c r="N28" i="10"/>
  <c r="N29" i="10"/>
  <c r="R29" i="10" s="1"/>
  <c r="M55" i="10"/>
  <c r="N31" i="10"/>
  <c r="M31" i="10"/>
  <c r="M57" i="10" s="1"/>
  <c r="N69" i="10" s="1"/>
  <c r="M32" i="10"/>
  <c r="M58" i="10" s="1"/>
  <c r="N70" i="10" s="1"/>
  <c r="N32" i="10"/>
  <c r="R35" i="10"/>
  <c r="S35" i="10" s="1"/>
  <c r="O72" i="10" s="1"/>
  <c r="N30" i="10"/>
  <c r="M30" i="10"/>
  <c r="M56" i="10" s="1"/>
  <c r="O35" i="10"/>
  <c r="S16" i="10"/>
  <c r="O17" i="10"/>
  <c r="S11" i="10"/>
  <c r="S9" i="10"/>
  <c r="S10" i="10"/>
  <c r="S7" i="10"/>
  <c r="S8" i="10"/>
  <c r="O28" i="10" l="1"/>
  <c r="Q29" i="10"/>
  <c r="O29" i="10"/>
  <c r="Q28" i="10"/>
  <c r="P72" i="10"/>
  <c r="P29" i="10"/>
  <c r="N55" i="10"/>
  <c r="N67" i="10" s="1"/>
  <c r="N54" i="10"/>
  <c r="N66" i="10" s="1"/>
  <c r="P28" i="10"/>
  <c r="R28" i="10"/>
  <c r="N68" i="10"/>
  <c r="M61" i="10"/>
  <c r="P32" i="10"/>
  <c r="N58" i="10"/>
  <c r="P30" i="10"/>
  <c r="N56" i="10"/>
  <c r="P31" i="10"/>
  <c r="N57" i="10"/>
  <c r="O31" i="10"/>
  <c r="R30" i="10"/>
  <c r="Q30" i="10"/>
  <c r="O32" i="10"/>
  <c r="Q32" i="10"/>
  <c r="O30" i="10"/>
  <c r="M33" i="10"/>
  <c r="R32" i="10"/>
  <c r="R31" i="10"/>
  <c r="N33" i="10"/>
  <c r="Q31" i="10"/>
  <c r="AG18" i="2" l="1"/>
  <c r="V30" i="10"/>
  <c r="AD18" i="2" s="1"/>
  <c r="V31" i="10"/>
  <c r="AD19" i="2" s="1"/>
  <c r="S29" i="10"/>
  <c r="O67" i="10" s="1"/>
  <c r="P67" i="10" s="1"/>
  <c r="M36" i="10"/>
  <c r="AG17" i="2"/>
  <c r="N71" i="10"/>
  <c r="S28" i="10"/>
  <c r="O66" i="10" s="1"/>
  <c r="P66" i="10" s="1"/>
  <c r="AH20" i="2"/>
  <c r="P33" i="10"/>
  <c r="P36" i="10" s="1"/>
  <c r="N61" i="10"/>
  <c r="S30" i="10"/>
  <c r="O68" i="10" s="1"/>
  <c r="P68" i="10" s="1"/>
  <c r="Q33" i="10"/>
  <c r="Q36" i="10" s="1"/>
  <c r="S32" i="10"/>
  <c r="O70" i="10" s="1"/>
  <c r="P70" i="10" s="1"/>
  <c r="O33" i="10"/>
  <c r="S31" i="10"/>
  <c r="O69" i="10" s="1"/>
  <c r="P69" i="10" s="1"/>
  <c r="N36" i="10"/>
  <c r="V28" i="10" s="1"/>
  <c r="AD16" i="2" s="1"/>
  <c r="R33" i="10"/>
  <c r="R36" i="10" s="1"/>
  <c r="V23" i="1"/>
  <c r="U23" i="1"/>
  <c r="R23" i="1"/>
  <c r="N23" i="1"/>
  <c r="V22" i="1"/>
  <c r="T22" i="1"/>
  <c r="S22" i="1"/>
  <c r="R22" i="1"/>
  <c r="N22" i="1"/>
  <c r="V20" i="1"/>
  <c r="U20" i="1"/>
  <c r="T20" i="1"/>
  <c r="N20" i="1"/>
  <c r="Y19" i="1"/>
  <c r="U19" i="1"/>
  <c r="S19" i="1"/>
  <c r="R19" i="1"/>
  <c r="Q19" i="1"/>
  <c r="AM17" i="1"/>
  <c r="AL17" i="1"/>
  <c r="AK15" i="1"/>
  <c r="AJ15" i="1"/>
  <c r="AI15" i="1"/>
  <c r="AH15" i="1"/>
  <c r="AG15" i="1"/>
  <c r="AF15" i="1"/>
  <c r="AE15" i="1"/>
  <c r="AD15" i="1"/>
  <c r="AC15" i="1"/>
  <c r="AB15" i="1"/>
  <c r="AA15" i="1"/>
  <c r="Z15" i="1"/>
  <c r="Y15" i="1"/>
  <c r="Y21" i="1" s="1"/>
  <c r="X15" i="1"/>
  <c r="X23" i="1" s="1"/>
  <c r="W15" i="1"/>
  <c r="W20" i="1" s="1"/>
  <c r="V15" i="1"/>
  <c r="V21" i="1" s="1"/>
  <c r="U15" i="1"/>
  <c r="U22" i="1" s="1"/>
  <c r="T15" i="1"/>
  <c r="T19" i="1" s="1"/>
  <c r="S15" i="1"/>
  <c r="S20" i="1" s="1"/>
  <c r="R15" i="1"/>
  <c r="R21" i="1" s="1"/>
  <c r="Q15" i="1"/>
  <c r="Q21" i="1" s="1"/>
  <c r="P15" i="1"/>
  <c r="P23" i="1" s="1"/>
  <c r="O15" i="1"/>
  <c r="O20" i="1" s="1"/>
  <c r="N15" i="1"/>
  <c r="N21" i="1" s="1"/>
  <c r="M15" i="1"/>
  <c r="M22" i="1" s="1"/>
  <c r="L15" i="1"/>
  <c r="K15" i="1"/>
  <c r="J15" i="1"/>
  <c r="I15" i="1"/>
  <c r="H15" i="1"/>
  <c r="G15" i="1"/>
  <c r="F15" i="1"/>
  <c r="E15" i="1"/>
  <c r="D15" i="1"/>
  <c r="C15" i="1"/>
  <c r="B15" i="1"/>
  <c r="AN14" i="1"/>
  <c r="AN13" i="1"/>
  <c r="AN15" i="1"/>
  <c r="AN11" i="1"/>
  <c r="AM11" i="1"/>
  <c r="AL11" i="1"/>
  <c r="AN10" i="1"/>
  <c r="AM10" i="1"/>
  <c r="AM15" i="1" s="1"/>
  <c r="AN9" i="1"/>
  <c r="AM9" i="1"/>
  <c r="AL9" i="1"/>
  <c r="AN8" i="1"/>
  <c r="AM8" i="1"/>
  <c r="AL8" i="1"/>
  <c r="AL15" i="1" s="1"/>
  <c r="AG19" i="2" l="1"/>
  <c r="J22" i="6"/>
  <c r="N73" i="10"/>
  <c r="V29" i="10"/>
  <c r="AD17" i="2" s="1"/>
  <c r="AH21" i="2"/>
  <c r="AH22" i="2"/>
  <c r="O36" i="10"/>
  <c r="AI18" i="2"/>
  <c r="O71" i="10"/>
  <c r="O73" i="10" s="1"/>
  <c r="Z28" i="10" s="1"/>
  <c r="P71" i="10"/>
  <c r="J23" i="6" s="1"/>
  <c r="M20" i="1"/>
  <c r="M19" i="1"/>
  <c r="M23" i="1"/>
  <c r="S33" i="10"/>
  <c r="S36" i="10" s="1"/>
  <c r="P21" i="1"/>
  <c r="X20" i="1"/>
  <c r="Q23" i="1"/>
  <c r="N19" i="1"/>
  <c r="V19" i="1"/>
  <c r="Q20" i="1"/>
  <c r="Y20" i="1"/>
  <c r="T21" i="1"/>
  <c r="O22" i="1"/>
  <c r="W22" i="1"/>
  <c r="P20" i="1"/>
  <c r="S21" i="1"/>
  <c r="Y23" i="1"/>
  <c r="O19" i="1"/>
  <c r="W19" i="1"/>
  <c r="R20" i="1"/>
  <c r="M21" i="1"/>
  <c r="U21" i="1"/>
  <c r="P22" i="1"/>
  <c r="X22" i="1"/>
  <c r="S23" i="1"/>
  <c r="X21" i="1"/>
  <c r="P19" i="1"/>
  <c r="X19" i="1"/>
  <c r="Q22" i="1"/>
  <c r="Y22" i="1"/>
  <c r="T23" i="1"/>
  <c r="O21" i="1"/>
  <c r="W21" i="1"/>
  <c r="O23" i="1"/>
  <c r="W23" i="1"/>
  <c r="J24" i="6" l="1"/>
  <c r="AI19" i="2"/>
  <c r="L22" i="6"/>
  <c r="AA28" i="10"/>
  <c r="AG28" i="2" s="1"/>
  <c r="AF28" i="2"/>
  <c r="AB28" i="10"/>
  <c r="AH28" i="2" s="1"/>
  <c r="AG20" i="2"/>
  <c r="P73" i="10"/>
  <c r="L23" i="6" s="1"/>
  <c r="L24" i="6" s="1"/>
  <c r="S8" i="7"/>
  <c r="AI20" i="2" l="1"/>
  <c r="AI21" i="2" s="1"/>
  <c r="Z29" i="10"/>
  <c r="AG22" i="2"/>
  <c r="AG21" i="2"/>
  <c r="E38" i="2"/>
  <c r="AI22" i="2" l="1"/>
  <c r="AA29" i="10"/>
  <c r="AF29" i="2"/>
  <c r="I18" i="2"/>
  <c r="AO18" i="2"/>
  <c r="AO17" i="2"/>
  <c r="C8" i="6"/>
  <c r="I17" i="2"/>
  <c r="C9" i="8"/>
  <c r="D8" i="6"/>
  <c r="E14" i="8"/>
  <c r="D10" i="7"/>
  <c r="D9" i="7"/>
  <c r="D7" i="7"/>
  <c r="D8" i="7"/>
  <c r="AB29" i="10" l="1"/>
  <c r="AH29" i="2" s="1"/>
  <c r="AG29" i="2"/>
  <c r="E8" i="6"/>
  <c r="D16" i="8"/>
  <c r="I16" i="8" s="1"/>
  <c r="J16" i="8" s="1"/>
  <c r="D15" i="8"/>
  <c r="I15" i="8" s="1"/>
  <c r="J15" i="8" s="1"/>
  <c r="D14" i="8"/>
  <c r="J8" i="8"/>
  <c r="J7" i="8"/>
  <c r="J6" i="8"/>
  <c r="J10" i="8" s="1"/>
  <c r="Q10" i="4"/>
  <c r="Q9" i="4"/>
  <c r="AG90" i="4"/>
  <c r="AF90" i="4"/>
  <c r="AE90" i="4"/>
  <c r="AD90" i="4"/>
  <c r="AG86" i="4"/>
  <c r="AG85" i="4"/>
  <c r="AG84" i="4"/>
  <c r="AF86" i="4"/>
  <c r="AF85" i="4"/>
  <c r="AF84" i="4"/>
  <c r="AE86" i="4"/>
  <c r="AE85" i="4"/>
  <c r="AE84" i="4"/>
  <c r="Q80" i="4" l="1"/>
  <c r="D6" i="8" s="1"/>
  <c r="I14" i="8"/>
  <c r="J14" i="8" s="1"/>
  <c r="J17" i="8" s="1"/>
  <c r="E16" i="8"/>
  <c r="E15" i="8"/>
  <c r="E17" i="8" s="1"/>
  <c r="L17" i="8" l="1"/>
  <c r="C36" i="4"/>
  <c r="D36" i="4"/>
  <c r="E36" i="4"/>
  <c r="F36" i="4"/>
  <c r="G36" i="4"/>
  <c r="H36" i="4"/>
  <c r="I36" i="4"/>
  <c r="J36" i="4"/>
  <c r="K36" i="4"/>
  <c r="L36" i="4"/>
  <c r="M36" i="4"/>
  <c r="B36" i="4"/>
  <c r="N36" i="4" l="1"/>
  <c r="B19" i="4"/>
  <c r="B37" i="4" s="1"/>
  <c r="B67" i="4"/>
  <c r="H67" i="4"/>
  <c r="H19" i="4"/>
  <c r="H37" i="4" s="1"/>
  <c r="C67" i="4"/>
  <c r="C19" i="4"/>
  <c r="C37" i="4" s="1"/>
  <c r="G67" i="4"/>
  <c r="G19" i="4"/>
  <c r="G37" i="4" s="1"/>
  <c r="F19" i="4"/>
  <c r="F37" i="4" s="1"/>
  <c r="F67" i="4"/>
  <c r="M67" i="4"/>
  <c r="M19" i="4"/>
  <c r="M37" i="4" s="1"/>
  <c r="E67" i="4"/>
  <c r="E19" i="4"/>
  <c r="E37" i="4" s="1"/>
  <c r="D67" i="4"/>
  <c r="D19" i="4"/>
  <c r="D37" i="4" s="1"/>
  <c r="J19" i="4"/>
  <c r="J37" i="4" s="1"/>
  <c r="J67" i="4"/>
  <c r="L67" i="4"/>
  <c r="L19" i="4"/>
  <c r="L37" i="4" s="1"/>
  <c r="K67" i="4"/>
  <c r="K19" i="4"/>
  <c r="K37" i="4" s="1"/>
  <c r="I19" i="4"/>
  <c r="I37" i="4" s="1"/>
  <c r="I67" i="4"/>
  <c r="N67" i="4" l="1"/>
  <c r="N19" i="4"/>
  <c r="N37" i="4" s="1"/>
  <c r="I38" i="2" l="1"/>
  <c r="AO30" i="2" l="1"/>
  <c r="F8" i="6"/>
  <c r="E26" i="7"/>
  <c r="D26" i="7"/>
  <c r="T9" i="7"/>
  <c r="J8" i="7"/>
  <c r="I9" i="7"/>
  <c r="I8" i="7"/>
  <c r="R9" i="7"/>
  <c r="R8" i="7"/>
  <c r="Q9" i="7"/>
  <c r="Q8" i="7"/>
  <c r="H9" i="7"/>
  <c r="H8" i="7"/>
  <c r="G9" i="7"/>
  <c r="C80" i="10" s="1"/>
  <c r="D80" i="10" s="1"/>
  <c r="G8" i="7"/>
  <c r="C79" i="10" s="1"/>
  <c r="D79" i="10" s="1"/>
  <c r="AE6" i="4"/>
  <c r="T6" i="4" s="1"/>
  <c r="AE5" i="4"/>
  <c r="Y4" i="4" s="1"/>
  <c r="C15" i="4"/>
  <c r="D15" i="4"/>
  <c r="E15" i="4"/>
  <c r="F15" i="4"/>
  <c r="G15" i="4"/>
  <c r="H15" i="4"/>
  <c r="I15" i="4"/>
  <c r="J15" i="4"/>
  <c r="K15" i="4"/>
  <c r="L15" i="4"/>
  <c r="M15" i="4"/>
  <c r="B15" i="4"/>
  <c r="C14" i="4"/>
  <c r="D14" i="4"/>
  <c r="E14" i="4"/>
  <c r="F14" i="4"/>
  <c r="G14" i="4"/>
  <c r="H14" i="4"/>
  <c r="I14" i="4"/>
  <c r="J14" i="4"/>
  <c r="K14" i="4"/>
  <c r="L14" i="4"/>
  <c r="M14" i="4"/>
  <c r="B14" i="4"/>
  <c r="C13" i="4"/>
  <c r="D13" i="4"/>
  <c r="E13" i="4"/>
  <c r="F13" i="4"/>
  <c r="G13" i="4"/>
  <c r="H13" i="4"/>
  <c r="I13" i="4"/>
  <c r="J13" i="4"/>
  <c r="K13" i="4"/>
  <c r="L13" i="4"/>
  <c r="M13" i="4"/>
  <c r="B13" i="4"/>
  <c r="D83" i="10" l="1"/>
  <c r="Q81" i="4"/>
  <c r="D7" i="8" s="1"/>
  <c r="H17" i="4"/>
  <c r="H21" i="4" s="1"/>
  <c r="G17" i="4"/>
  <c r="G21" i="4" s="1"/>
  <c r="B17" i="4"/>
  <c r="B21" i="4" s="1"/>
  <c r="F17" i="4"/>
  <c r="F21" i="4" s="1"/>
  <c r="J17" i="4"/>
  <c r="J21" i="4" s="1"/>
  <c r="M17" i="4"/>
  <c r="M21" i="4" s="1"/>
  <c r="E17" i="4"/>
  <c r="E21" i="4" s="1"/>
  <c r="I17" i="4"/>
  <c r="I21" i="4" s="1"/>
  <c r="L17" i="4"/>
  <c r="L21" i="4" s="1"/>
  <c r="D17" i="4"/>
  <c r="D21" i="4" s="1"/>
  <c r="K17" i="4"/>
  <c r="K21" i="4" s="1"/>
  <c r="C17" i="4"/>
  <c r="C21" i="4" s="1"/>
  <c r="T80" i="4"/>
  <c r="Q82" i="4"/>
  <c r="D8" i="8" s="1"/>
  <c r="X6" i="4"/>
  <c r="Q6" i="4"/>
  <c r="Q14" i="4" s="1"/>
  <c r="Q4" i="4"/>
  <c r="AB4" i="4"/>
  <c r="W4" i="4"/>
  <c r="U4" i="4"/>
  <c r="T4" i="4"/>
  <c r="AB6" i="4"/>
  <c r="AA6" i="4"/>
  <c r="S6" i="4"/>
  <c r="Z6" i="4"/>
  <c r="R6" i="4"/>
  <c r="AA4" i="4"/>
  <c r="Z4" i="4"/>
  <c r="X4" i="4"/>
  <c r="V4" i="4"/>
  <c r="Y6" i="4"/>
  <c r="W6" i="4"/>
  <c r="V6" i="4"/>
  <c r="U6" i="4"/>
  <c r="S4" i="4"/>
  <c r="R4" i="4"/>
  <c r="N14" i="4"/>
  <c r="N15" i="4"/>
  <c r="N13" i="4"/>
  <c r="C17" i="6"/>
  <c r="C16" i="6"/>
  <c r="F16" i="6" s="1"/>
  <c r="C15" i="6"/>
  <c r="F15" i="6" s="1"/>
  <c r="C14" i="6"/>
  <c r="E14" i="6" s="1"/>
  <c r="D17" i="6"/>
  <c r="D16" i="6"/>
  <c r="D15" i="6"/>
  <c r="D14" i="6"/>
  <c r="F17" i="6"/>
  <c r="E17" i="6"/>
  <c r="Q25" i="4" l="1"/>
  <c r="Q59" i="4" s="1"/>
  <c r="Q13" i="4"/>
  <c r="Q15" i="4" s="1"/>
  <c r="Q86" i="4" s="1"/>
  <c r="R82" i="4"/>
  <c r="S82" i="4" s="1"/>
  <c r="N21" i="4"/>
  <c r="N17" i="4"/>
  <c r="Y80" i="4"/>
  <c r="AB80" i="4"/>
  <c r="AA80" i="4"/>
  <c r="S80" i="4"/>
  <c r="X80" i="4"/>
  <c r="U80" i="4"/>
  <c r="Z80" i="4"/>
  <c r="R80" i="4"/>
  <c r="V80" i="4"/>
  <c r="W80" i="4"/>
  <c r="R7" i="4"/>
  <c r="R14" i="4" s="1"/>
  <c r="R5" i="4"/>
  <c r="E16" i="6"/>
  <c r="E15" i="6"/>
  <c r="F14" i="6"/>
  <c r="R25" i="4" l="1"/>
  <c r="R13" i="4"/>
  <c r="Q19" i="4"/>
  <c r="Q17" i="4"/>
  <c r="S7" i="4"/>
  <c r="S5" i="4"/>
  <c r="S13" i="4" s="1"/>
  <c r="T82" i="4"/>
  <c r="R19" i="4" l="1"/>
  <c r="R67" i="4" s="1"/>
  <c r="R15" i="4"/>
  <c r="R17" i="4" s="1"/>
  <c r="Q67" i="4"/>
  <c r="Q90" i="4"/>
  <c r="Q21" i="4"/>
  <c r="T5" i="4"/>
  <c r="T7" i="4"/>
  <c r="S14" i="4"/>
  <c r="S19" i="4" s="1"/>
  <c r="U82" i="4"/>
  <c r="R90" i="4" l="1"/>
  <c r="R98" i="4" s="1"/>
  <c r="R99" i="4" s="1"/>
  <c r="R21" i="4"/>
  <c r="Q98" i="4"/>
  <c r="S15" i="4"/>
  <c r="S17" i="4" s="1"/>
  <c r="U5" i="4"/>
  <c r="T13" i="4"/>
  <c r="U7" i="4"/>
  <c r="T14" i="4"/>
  <c r="V82" i="4"/>
  <c r="Q99" i="4" l="1"/>
  <c r="S67" i="4"/>
  <c r="S90" i="4"/>
  <c r="S21" i="4"/>
  <c r="T15" i="4"/>
  <c r="T17" i="4" s="1"/>
  <c r="T19" i="4"/>
  <c r="V5" i="4"/>
  <c r="V13" i="4" s="1"/>
  <c r="U13" i="4"/>
  <c r="V7" i="4"/>
  <c r="V14" i="4" s="1"/>
  <c r="U14" i="4"/>
  <c r="W82" i="4"/>
  <c r="S98" i="4" l="1"/>
  <c r="S99" i="4" s="1"/>
  <c r="T67" i="4"/>
  <c r="T90" i="4"/>
  <c r="T21" i="4"/>
  <c r="U15" i="4"/>
  <c r="U17" i="4" s="1"/>
  <c r="U19" i="4"/>
  <c r="W5" i="4"/>
  <c r="W13" i="4" s="1"/>
  <c r="W7" i="4"/>
  <c r="W14" i="4" s="1"/>
  <c r="X82" i="4"/>
  <c r="T98" i="4" l="1"/>
  <c r="T99" i="4" s="1"/>
  <c r="U67" i="4"/>
  <c r="U90" i="4"/>
  <c r="U21" i="4"/>
  <c r="W15" i="4"/>
  <c r="W17" i="4" s="1"/>
  <c r="V15" i="4"/>
  <c r="V17" i="4" s="1"/>
  <c r="V19" i="4"/>
  <c r="X7" i="4"/>
  <c r="X14" i="4" s="1"/>
  <c r="X5" i="4"/>
  <c r="Y82" i="4"/>
  <c r="U98" i="4" l="1"/>
  <c r="U99" i="4" s="1"/>
  <c r="V67" i="4"/>
  <c r="V90" i="4"/>
  <c r="V21" i="4"/>
  <c r="W19" i="4"/>
  <c r="W90" i="4" s="1"/>
  <c r="Y5" i="4"/>
  <c r="X13" i="4"/>
  <c r="Y7" i="4"/>
  <c r="Z82" i="4"/>
  <c r="V98" i="4" l="1"/>
  <c r="V99" i="4" s="1"/>
  <c r="W21" i="4"/>
  <c r="W67" i="4"/>
  <c r="W98" i="4" s="1"/>
  <c r="W99" i="4" s="1"/>
  <c r="X19" i="4"/>
  <c r="X15" i="4"/>
  <c r="X17" i="4" s="1"/>
  <c r="Z7" i="4"/>
  <c r="Y14" i="4"/>
  <c r="Z5" i="4"/>
  <c r="Y13" i="4"/>
  <c r="AA82" i="4"/>
  <c r="X67" i="4" l="1"/>
  <c r="X90" i="4"/>
  <c r="X21" i="4"/>
  <c r="Y19" i="4"/>
  <c r="Y15" i="4"/>
  <c r="Y17" i="4" s="1"/>
  <c r="AA5" i="4"/>
  <c r="AA13" i="4" s="1"/>
  <c r="Z13" i="4"/>
  <c r="AA7" i="4"/>
  <c r="AA14" i="4" s="1"/>
  <c r="Z14" i="4"/>
  <c r="AB82" i="4"/>
  <c r="X98" i="4" l="1"/>
  <c r="X99" i="4" s="1"/>
  <c r="Y67" i="4"/>
  <c r="Y90" i="4"/>
  <c r="Y21" i="4"/>
  <c r="Z15" i="4"/>
  <c r="Z17" i="4" s="1"/>
  <c r="Z19" i="4"/>
  <c r="AB7" i="4"/>
  <c r="AB14" i="4" s="1"/>
  <c r="AB5" i="4"/>
  <c r="AB13" i="4" s="1"/>
  <c r="Y98" i="4" l="1"/>
  <c r="Y99" i="4" s="1"/>
  <c r="Z67" i="4"/>
  <c r="Z90" i="4"/>
  <c r="Z21" i="4"/>
  <c r="AA15" i="4"/>
  <c r="AA17" i="4" s="1"/>
  <c r="AA19" i="4"/>
  <c r="AB15" i="4"/>
  <c r="AB17" i="4" s="1"/>
  <c r="AB19" i="4"/>
  <c r="AO19" i="2"/>
  <c r="J26" i="7"/>
  <c r="F38" i="2"/>
  <c r="F26" i="7" s="1"/>
  <c r="Z98" i="4" l="1"/>
  <c r="Z99" i="4" s="1"/>
  <c r="Q26" i="7"/>
  <c r="AB67" i="4"/>
  <c r="AB90" i="4"/>
  <c r="AA67" i="4"/>
  <c r="AA90" i="4"/>
  <c r="AB21" i="4"/>
  <c r="AA21" i="4"/>
  <c r="I19" i="2"/>
  <c r="I20" i="2" s="1"/>
  <c r="I22" i="2" l="1"/>
  <c r="AH23" i="2"/>
  <c r="K25" i="6" s="1"/>
  <c r="I21" i="2"/>
  <c r="AB98" i="4"/>
  <c r="AB99" i="4" s="1"/>
  <c r="AA98" i="4"/>
  <c r="AA99" i="4" s="1"/>
  <c r="AO20" i="2"/>
  <c r="AO22" i="2" s="1"/>
  <c r="D22" i="6"/>
  <c r="H63" i="4"/>
  <c r="I63" i="4"/>
  <c r="J63" i="4"/>
  <c r="D23" i="6" l="1"/>
  <c r="AO23" i="2"/>
  <c r="D25" i="6" s="1"/>
  <c r="AO21" i="2"/>
  <c r="B2" i="6"/>
  <c r="D6" i="7"/>
  <c r="I29" i="2"/>
  <c r="I30" i="2"/>
  <c r="I31" i="2"/>
  <c r="I32" i="2"/>
  <c r="I33" i="2"/>
  <c r="D24" i="6" l="1"/>
  <c r="R81" i="4"/>
  <c r="S81" i="4" l="1"/>
  <c r="C62" i="4"/>
  <c r="D62" i="4"/>
  <c r="E62" i="4"/>
  <c r="F62" i="4"/>
  <c r="G62" i="4"/>
  <c r="H62" i="4"/>
  <c r="I62" i="4"/>
  <c r="J62" i="4"/>
  <c r="K62" i="4"/>
  <c r="L62" i="4"/>
  <c r="M62" i="4"/>
  <c r="B62" i="4"/>
  <c r="I28" i="2"/>
  <c r="E28" i="2"/>
  <c r="E29" i="2"/>
  <c r="J29" i="2" s="1"/>
  <c r="E30" i="2"/>
  <c r="E31" i="2"/>
  <c r="D29" i="2"/>
  <c r="D30" i="2"/>
  <c r="D31" i="2"/>
  <c r="D21" i="7" l="1"/>
  <c r="C7" i="8"/>
  <c r="D20" i="7"/>
  <c r="D19" i="7"/>
  <c r="C7" i="6"/>
  <c r="C8" i="8"/>
  <c r="D7" i="6"/>
  <c r="E18" i="7"/>
  <c r="E19" i="7"/>
  <c r="E21" i="7"/>
  <c r="E20" i="7"/>
  <c r="T81" i="4"/>
  <c r="N62" i="4"/>
  <c r="F29" i="2"/>
  <c r="F19" i="7" s="1"/>
  <c r="F31" i="2"/>
  <c r="F21" i="7" s="1"/>
  <c r="F30" i="2"/>
  <c r="F20" i="7" s="1"/>
  <c r="J28" i="2"/>
  <c r="J31" i="2"/>
  <c r="J30" i="2"/>
  <c r="E7" i="6" l="1"/>
  <c r="U81" i="4"/>
  <c r="M6" i="5"/>
  <c r="L6" i="5"/>
  <c r="K6" i="5"/>
  <c r="J6" i="5"/>
  <c r="I6" i="5"/>
  <c r="H6" i="5"/>
  <c r="G6" i="5"/>
  <c r="F6" i="5"/>
  <c r="E6" i="5"/>
  <c r="D6" i="5"/>
  <c r="C6" i="5"/>
  <c r="B6" i="5"/>
  <c r="M5" i="5"/>
  <c r="L5" i="5"/>
  <c r="K5" i="5"/>
  <c r="J5" i="5"/>
  <c r="I5" i="5"/>
  <c r="H5" i="5"/>
  <c r="G5" i="5"/>
  <c r="F5" i="5"/>
  <c r="E5" i="5"/>
  <c r="D5" i="5"/>
  <c r="C5" i="5"/>
  <c r="B5" i="5"/>
  <c r="M3" i="5"/>
  <c r="L3" i="5"/>
  <c r="K3" i="5"/>
  <c r="J3" i="5"/>
  <c r="I3" i="5"/>
  <c r="H3" i="5"/>
  <c r="G3" i="5"/>
  <c r="F3" i="5"/>
  <c r="E3" i="5"/>
  <c r="D3" i="5"/>
  <c r="C3" i="5"/>
  <c r="B3" i="5"/>
  <c r="M2" i="5"/>
  <c r="L2" i="5"/>
  <c r="K2" i="5"/>
  <c r="J2" i="5"/>
  <c r="I2" i="5"/>
  <c r="H2" i="5"/>
  <c r="G2" i="5"/>
  <c r="F2" i="5"/>
  <c r="E2" i="5"/>
  <c r="D2" i="5"/>
  <c r="C2" i="5"/>
  <c r="B2" i="5"/>
  <c r="M63" i="4"/>
  <c r="L63" i="4"/>
  <c r="K63" i="4"/>
  <c r="G63" i="4"/>
  <c r="F63" i="4"/>
  <c r="E63" i="4"/>
  <c r="D63" i="4"/>
  <c r="C63" i="4"/>
  <c r="B63" i="4"/>
  <c r="M60" i="4"/>
  <c r="L60" i="4"/>
  <c r="K60" i="4"/>
  <c r="J60" i="4"/>
  <c r="I60" i="4"/>
  <c r="H60" i="4"/>
  <c r="G60" i="4"/>
  <c r="F60" i="4"/>
  <c r="E60" i="4"/>
  <c r="D60" i="4"/>
  <c r="C60" i="4"/>
  <c r="B60" i="4"/>
  <c r="M59" i="4"/>
  <c r="L59" i="4"/>
  <c r="K59" i="4"/>
  <c r="J59" i="4"/>
  <c r="I59" i="4"/>
  <c r="H59" i="4"/>
  <c r="G59" i="4"/>
  <c r="F59" i="4"/>
  <c r="E59" i="4"/>
  <c r="D59" i="4"/>
  <c r="C59" i="4"/>
  <c r="B59" i="4"/>
  <c r="M31" i="4"/>
  <c r="L31" i="4"/>
  <c r="K31" i="4"/>
  <c r="J31" i="4"/>
  <c r="I31" i="4"/>
  <c r="H31" i="4"/>
  <c r="G31" i="4"/>
  <c r="F31" i="4"/>
  <c r="E31" i="4"/>
  <c r="D31" i="4"/>
  <c r="C31" i="4"/>
  <c r="B31" i="4"/>
  <c r="M27" i="4"/>
  <c r="L27" i="4"/>
  <c r="K27" i="4"/>
  <c r="J27" i="4"/>
  <c r="I27" i="4"/>
  <c r="H27" i="4"/>
  <c r="G27" i="4"/>
  <c r="F27" i="4"/>
  <c r="E27" i="4"/>
  <c r="D27" i="4"/>
  <c r="C27" i="4"/>
  <c r="B27" i="4"/>
  <c r="M25" i="4"/>
  <c r="L25" i="4"/>
  <c r="K25" i="4"/>
  <c r="J25" i="4"/>
  <c r="I25" i="4"/>
  <c r="H25" i="4"/>
  <c r="G25" i="4"/>
  <c r="F25" i="4"/>
  <c r="E25" i="4"/>
  <c r="D25" i="4"/>
  <c r="C25" i="4"/>
  <c r="B25" i="4"/>
  <c r="P78" i="4"/>
  <c r="I75" i="4" l="1"/>
  <c r="B75" i="4"/>
  <c r="B72" i="4"/>
  <c r="B73" i="4"/>
  <c r="J26" i="4"/>
  <c r="I26" i="4"/>
  <c r="G28" i="4"/>
  <c r="L26" i="4"/>
  <c r="M28" i="4"/>
  <c r="H28" i="4"/>
  <c r="E26" i="4"/>
  <c r="M26" i="4"/>
  <c r="I28" i="4"/>
  <c r="K26" i="4"/>
  <c r="F26" i="4"/>
  <c r="B28" i="4"/>
  <c r="J28" i="4"/>
  <c r="D26" i="4"/>
  <c r="G26" i="4"/>
  <c r="C28" i="4"/>
  <c r="K28" i="4"/>
  <c r="E28" i="4"/>
  <c r="F28" i="4"/>
  <c r="C26" i="4"/>
  <c r="H26" i="4"/>
  <c r="D28" i="4"/>
  <c r="L28" i="4"/>
  <c r="B32" i="4"/>
  <c r="B26" i="4"/>
  <c r="N60" i="4"/>
  <c r="D72" i="4"/>
  <c r="L72" i="4"/>
  <c r="V81" i="4"/>
  <c r="C75" i="4"/>
  <c r="C32" i="4"/>
  <c r="D75" i="4"/>
  <c r="D32" i="4"/>
  <c r="L75" i="4"/>
  <c r="L32" i="4"/>
  <c r="H75" i="4"/>
  <c r="H32" i="4"/>
  <c r="K75" i="4"/>
  <c r="K32" i="4"/>
  <c r="E75" i="4"/>
  <c r="E32" i="4"/>
  <c r="M75" i="4"/>
  <c r="M32" i="4"/>
  <c r="I32" i="4"/>
  <c r="F75" i="4"/>
  <c r="F32" i="4"/>
  <c r="J75" i="4"/>
  <c r="J32" i="4"/>
  <c r="G75" i="4"/>
  <c r="G32" i="4"/>
  <c r="H73" i="4"/>
  <c r="E72" i="4"/>
  <c r="N25" i="4"/>
  <c r="N31" i="4"/>
  <c r="F72" i="4"/>
  <c r="J73" i="4"/>
  <c r="I73" i="4"/>
  <c r="M72" i="4"/>
  <c r="N27" i="4"/>
  <c r="Q27" i="4" s="1"/>
  <c r="N59" i="4"/>
  <c r="N63" i="4"/>
  <c r="G72" i="4"/>
  <c r="C73" i="4"/>
  <c r="K73" i="4"/>
  <c r="H72" i="4"/>
  <c r="D73" i="4"/>
  <c r="L73" i="4"/>
  <c r="I72" i="4"/>
  <c r="E73" i="4"/>
  <c r="M73" i="4"/>
  <c r="J72" i="4"/>
  <c r="F73" i="4"/>
  <c r="C72" i="4"/>
  <c r="K72" i="4"/>
  <c r="G73" i="4"/>
  <c r="L29" i="4"/>
  <c r="M29" i="4"/>
  <c r="E61" i="4"/>
  <c r="E65" i="4" s="1"/>
  <c r="I29" i="4"/>
  <c r="K29" i="4"/>
  <c r="G61" i="4"/>
  <c r="G65" i="4" s="1"/>
  <c r="C61" i="4"/>
  <c r="C65" i="4" s="1"/>
  <c r="F29" i="4"/>
  <c r="B29" i="4"/>
  <c r="J29" i="4"/>
  <c r="C29" i="4"/>
  <c r="D61" i="4"/>
  <c r="D65" i="4" s="1"/>
  <c r="K61" i="4"/>
  <c r="K65" i="4" s="1"/>
  <c r="H29" i="4"/>
  <c r="L61" i="4"/>
  <c r="L65" i="4" s="1"/>
  <c r="M61" i="4"/>
  <c r="M65" i="4" s="1"/>
  <c r="I61" i="4"/>
  <c r="I65" i="4" s="1"/>
  <c r="G29" i="4"/>
  <c r="D29" i="4"/>
  <c r="H61" i="4"/>
  <c r="H65" i="4" s="1"/>
  <c r="E29" i="4"/>
  <c r="F61" i="4"/>
  <c r="F65" i="4" s="1"/>
  <c r="B61" i="4"/>
  <c r="J61" i="4"/>
  <c r="J65" i="4" s="1"/>
  <c r="U25" i="4" l="1"/>
  <c r="E69" i="4"/>
  <c r="H69" i="4"/>
  <c r="D69" i="4"/>
  <c r="J69" i="4"/>
  <c r="M69" i="4"/>
  <c r="K69" i="4"/>
  <c r="C69" i="4"/>
  <c r="I69" i="4"/>
  <c r="L69" i="4"/>
  <c r="F69" i="4"/>
  <c r="G69" i="4"/>
  <c r="X62" i="4"/>
  <c r="Y62" i="4"/>
  <c r="Q62" i="4"/>
  <c r="AB62" i="4"/>
  <c r="R62" i="4"/>
  <c r="Z62" i="4"/>
  <c r="T62" i="4"/>
  <c r="S62" i="4"/>
  <c r="AA62" i="4"/>
  <c r="W62" i="4"/>
  <c r="U62" i="4"/>
  <c r="V62" i="4"/>
  <c r="T25" i="4"/>
  <c r="AB25" i="4"/>
  <c r="W25" i="4"/>
  <c r="S25" i="4"/>
  <c r="V25" i="4"/>
  <c r="X25" i="4"/>
  <c r="Y25" i="4"/>
  <c r="Z25" i="4"/>
  <c r="AA25" i="4"/>
  <c r="AA27" i="4"/>
  <c r="R27" i="4"/>
  <c r="U27" i="4"/>
  <c r="S27" i="4"/>
  <c r="W27" i="4"/>
  <c r="T27" i="4"/>
  <c r="AB27" i="4"/>
  <c r="V27" i="4"/>
  <c r="X27" i="4"/>
  <c r="Y27" i="4"/>
  <c r="Z27" i="4"/>
  <c r="B34" i="4"/>
  <c r="B51" i="4" s="1"/>
  <c r="B39" i="4"/>
  <c r="N28" i="4"/>
  <c r="B74" i="4"/>
  <c r="B65" i="4"/>
  <c r="F39" i="4"/>
  <c r="F34" i="4"/>
  <c r="E39" i="4"/>
  <c r="E34" i="4"/>
  <c r="E77" i="4" s="1"/>
  <c r="H39" i="4"/>
  <c r="H34" i="4"/>
  <c r="H77" i="4" s="1"/>
  <c r="K39" i="4"/>
  <c r="K34" i="4"/>
  <c r="K77" i="4" s="1"/>
  <c r="I39" i="4"/>
  <c r="I34" i="4"/>
  <c r="I77" i="4" s="1"/>
  <c r="D39" i="4"/>
  <c r="D34" i="4"/>
  <c r="D77" i="4" s="1"/>
  <c r="C39" i="4"/>
  <c r="C34" i="4"/>
  <c r="C51" i="4" s="1"/>
  <c r="G39" i="4"/>
  <c r="G34" i="4"/>
  <c r="J39" i="4"/>
  <c r="J34" i="4"/>
  <c r="M39" i="4"/>
  <c r="M34" i="4"/>
  <c r="M77" i="4" s="1"/>
  <c r="L39" i="4"/>
  <c r="L34" i="4"/>
  <c r="L77" i="4" s="1"/>
  <c r="N72" i="4"/>
  <c r="B30" i="4"/>
  <c r="N29" i="4"/>
  <c r="N32" i="4"/>
  <c r="N73" i="4"/>
  <c r="W81" i="4"/>
  <c r="N26" i="4"/>
  <c r="C30" i="4"/>
  <c r="G30" i="4"/>
  <c r="J30" i="4"/>
  <c r="M30" i="4"/>
  <c r="F30" i="4"/>
  <c r="D30" i="4"/>
  <c r="L30" i="4"/>
  <c r="H30" i="4"/>
  <c r="K30" i="4"/>
  <c r="E30" i="4"/>
  <c r="I30" i="4"/>
  <c r="M74" i="4"/>
  <c r="N75" i="4"/>
  <c r="N61" i="4"/>
  <c r="I74" i="4"/>
  <c r="J74" i="4"/>
  <c r="L74" i="4"/>
  <c r="F74" i="4"/>
  <c r="G74" i="4"/>
  <c r="H74" i="4"/>
  <c r="D74" i="4"/>
  <c r="C74" i="4"/>
  <c r="K74" i="4"/>
  <c r="E74" i="4"/>
  <c r="J8" i="5"/>
  <c r="B8" i="5"/>
  <c r="F8" i="5"/>
  <c r="G8" i="5"/>
  <c r="M8" i="5"/>
  <c r="E8" i="5"/>
  <c r="L8" i="5"/>
  <c r="D8" i="5"/>
  <c r="H8" i="5"/>
  <c r="K8" i="5"/>
  <c r="C8" i="5"/>
  <c r="I8" i="5"/>
  <c r="B77" i="4" l="1"/>
  <c r="M51" i="4"/>
  <c r="Q84" i="4"/>
  <c r="J50" i="4"/>
  <c r="J49" i="4"/>
  <c r="J52" i="4"/>
  <c r="F52" i="4"/>
  <c r="F50" i="4"/>
  <c r="F49" i="4"/>
  <c r="J51" i="4"/>
  <c r="G50" i="4"/>
  <c r="G52" i="4"/>
  <c r="G49" i="4"/>
  <c r="K49" i="4"/>
  <c r="K50" i="4"/>
  <c r="K52" i="4"/>
  <c r="G77" i="4"/>
  <c r="F51" i="4"/>
  <c r="I52" i="4"/>
  <c r="I49" i="4"/>
  <c r="I50" i="4"/>
  <c r="L52" i="4"/>
  <c r="L50" i="4"/>
  <c r="L49" i="4"/>
  <c r="C50" i="4"/>
  <c r="C52" i="4"/>
  <c r="C49" i="4"/>
  <c r="H49" i="4"/>
  <c r="H52" i="4"/>
  <c r="H50" i="4"/>
  <c r="G51" i="4"/>
  <c r="H51" i="4"/>
  <c r="I51" i="4"/>
  <c r="L51" i="4"/>
  <c r="M50" i="4"/>
  <c r="M49" i="4"/>
  <c r="M52" i="4"/>
  <c r="D50" i="4"/>
  <c r="D49" i="4"/>
  <c r="D52" i="4"/>
  <c r="E49" i="4"/>
  <c r="E50" i="4"/>
  <c r="E52" i="4"/>
  <c r="B52" i="4"/>
  <c r="B49" i="4"/>
  <c r="B50" i="4"/>
  <c r="F77" i="4"/>
  <c r="C77" i="4"/>
  <c r="J77" i="4"/>
  <c r="D51" i="4"/>
  <c r="K51" i="4"/>
  <c r="E51" i="4"/>
  <c r="AB60" i="4"/>
  <c r="W60" i="4"/>
  <c r="Z60" i="4"/>
  <c r="Y60" i="4"/>
  <c r="X60" i="4"/>
  <c r="AA60" i="4"/>
  <c r="V60" i="4"/>
  <c r="B43" i="4"/>
  <c r="B54" i="4"/>
  <c r="T59" i="4"/>
  <c r="T84" i="4"/>
  <c r="X59" i="4"/>
  <c r="X84" i="4"/>
  <c r="U60" i="4"/>
  <c r="U85" i="4"/>
  <c r="V59" i="4"/>
  <c r="V84" i="4"/>
  <c r="T60" i="4"/>
  <c r="T85" i="4"/>
  <c r="R60" i="4"/>
  <c r="R85" i="4"/>
  <c r="R59" i="4"/>
  <c r="R84" i="4"/>
  <c r="S60" i="4"/>
  <c r="S85" i="4"/>
  <c r="U59" i="4"/>
  <c r="U84" i="4"/>
  <c r="AB59" i="4"/>
  <c r="AB84" i="4"/>
  <c r="W85" i="4"/>
  <c r="Q60" i="4"/>
  <c r="Q85" i="4"/>
  <c r="E7" i="8" s="1"/>
  <c r="S59" i="4"/>
  <c r="S84" i="4"/>
  <c r="Z59" i="4"/>
  <c r="Z84" i="4"/>
  <c r="Y59" i="4"/>
  <c r="Y84" i="4"/>
  <c r="AA59" i="4"/>
  <c r="AA84" i="4"/>
  <c r="W59" i="4"/>
  <c r="W84" i="4"/>
  <c r="V85" i="4"/>
  <c r="AB29" i="4"/>
  <c r="AB36" i="4" s="1"/>
  <c r="U29" i="4"/>
  <c r="U36" i="4" s="1"/>
  <c r="Q29" i="4"/>
  <c r="Q31" i="4" s="1"/>
  <c r="S29" i="4"/>
  <c r="S36" i="4" s="1"/>
  <c r="X29" i="4"/>
  <c r="X36" i="4" s="1"/>
  <c r="AA29" i="4"/>
  <c r="AA36" i="4" s="1"/>
  <c r="W29" i="4"/>
  <c r="W36" i="4" s="1"/>
  <c r="Y29" i="4"/>
  <c r="Y36" i="4" s="1"/>
  <c r="T29" i="4"/>
  <c r="T36" i="4" s="1"/>
  <c r="Z29" i="4"/>
  <c r="Z36" i="4" s="1"/>
  <c r="V29" i="4"/>
  <c r="V36" i="4" s="1"/>
  <c r="N65" i="4"/>
  <c r="N77" i="4" s="1"/>
  <c r="B69" i="4"/>
  <c r="G54" i="4"/>
  <c r="G43" i="4"/>
  <c r="G44" i="4"/>
  <c r="K54" i="4"/>
  <c r="K44" i="4"/>
  <c r="K43" i="4"/>
  <c r="L54" i="4"/>
  <c r="L43" i="4"/>
  <c r="L44" i="4"/>
  <c r="C54" i="4"/>
  <c r="C44" i="4"/>
  <c r="C43" i="4"/>
  <c r="H54" i="4"/>
  <c r="H44" i="4"/>
  <c r="H43" i="4"/>
  <c r="F54" i="4"/>
  <c r="F44" i="4"/>
  <c r="F43" i="4"/>
  <c r="B40" i="4"/>
  <c r="N39" i="4"/>
  <c r="N43" i="4" s="1"/>
  <c r="B44" i="4"/>
  <c r="J54" i="4"/>
  <c r="J43" i="4"/>
  <c r="J44" i="4"/>
  <c r="M54" i="4"/>
  <c r="M43" i="4"/>
  <c r="M44" i="4"/>
  <c r="D54" i="4"/>
  <c r="D43" i="4"/>
  <c r="D44" i="4"/>
  <c r="E54" i="4"/>
  <c r="E43" i="4"/>
  <c r="E44" i="4"/>
  <c r="I54" i="4"/>
  <c r="I44" i="4"/>
  <c r="I43" i="4"/>
  <c r="N34" i="4"/>
  <c r="N51" i="4" s="1"/>
  <c r="B46" i="4"/>
  <c r="N30" i="4"/>
  <c r="R29" i="4"/>
  <c r="R36" i="4" s="1"/>
  <c r="C40" i="4"/>
  <c r="K40" i="4"/>
  <c r="H40" i="4"/>
  <c r="I46" i="4"/>
  <c r="I40" i="4"/>
  <c r="L46" i="4"/>
  <c r="L40" i="4"/>
  <c r="J40" i="4"/>
  <c r="F40" i="4"/>
  <c r="E40" i="4"/>
  <c r="D40" i="4"/>
  <c r="G40" i="4"/>
  <c r="M40" i="4"/>
  <c r="C46" i="4"/>
  <c r="X81" i="4"/>
  <c r="X85" i="4" s="1"/>
  <c r="F46" i="4"/>
  <c r="K46" i="4"/>
  <c r="N74" i="4"/>
  <c r="M46" i="4"/>
  <c r="J46" i="4"/>
  <c r="E46" i="4"/>
  <c r="G46" i="4"/>
  <c r="D46" i="4"/>
  <c r="H46" i="4"/>
  <c r="H9" i="5"/>
  <c r="L9" i="5"/>
  <c r="C9" i="5"/>
  <c r="I9" i="5"/>
  <c r="K9" i="5"/>
  <c r="M9" i="5"/>
  <c r="G9" i="5"/>
  <c r="F9" i="5"/>
  <c r="D9" i="5"/>
  <c r="E9" i="5"/>
  <c r="J9" i="5"/>
  <c r="I27" i="2"/>
  <c r="E27" i="2"/>
  <c r="D28" i="2"/>
  <c r="D27" i="2"/>
  <c r="D36" i="2" s="1"/>
  <c r="I36" i="2" l="1"/>
  <c r="AO28" i="2" s="1"/>
  <c r="AO32" i="2" s="1"/>
  <c r="C6" i="6"/>
  <c r="C9" i="6" s="1"/>
  <c r="D6" i="6"/>
  <c r="D9" i="6" s="1"/>
  <c r="E6" i="8"/>
  <c r="Q88" i="4"/>
  <c r="D18" i="7"/>
  <c r="E36" i="2"/>
  <c r="C6" i="8"/>
  <c r="C11" i="8" s="1"/>
  <c r="Q75" i="4"/>
  <c r="Q36" i="4"/>
  <c r="N52" i="4"/>
  <c r="N50" i="4"/>
  <c r="N49" i="4"/>
  <c r="E17" i="7"/>
  <c r="AB31" i="4"/>
  <c r="AB61" i="4" s="1"/>
  <c r="AB65" i="4" s="1"/>
  <c r="Q34" i="4"/>
  <c r="Q51" i="4" s="1"/>
  <c r="W31" i="4"/>
  <c r="W34" i="4" s="1"/>
  <c r="V31" i="4"/>
  <c r="R31" i="4"/>
  <c r="R61" i="4" s="1"/>
  <c r="R65" i="4" s="1"/>
  <c r="X31" i="4"/>
  <c r="X34" i="4" s="1"/>
  <c r="N69" i="4"/>
  <c r="U31" i="4"/>
  <c r="U86" i="4" s="1"/>
  <c r="U75" i="4"/>
  <c r="AA31" i="4"/>
  <c r="T31" i="4"/>
  <c r="S31" i="4"/>
  <c r="N45" i="4"/>
  <c r="Y31" i="4"/>
  <c r="Z31" i="4"/>
  <c r="L45" i="4"/>
  <c r="L56" i="4" s="1"/>
  <c r="N54" i="4"/>
  <c r="D45" i="4"/>
  <c r="D56" i="4" s="1"/>
  <c r="B45" i="4"/>
  <c r="B56" i="4" s="1"/>
  <c r="N46" i="4"/>
  <c r="N44" i="4"/>
  <c r="C45" i="4"/>
  <c r="C56" i="4" s="1"/>
  <c r="H45" i="4"/>
  <c r="H56" i="4" s="1"/>
  <c r="E45" i="4"/>
  <c r="E56" i="4" s="1"/>
  <c r="F45" i="4"/>
  <c r="F56" i="4" s="1"/>
  <c r="D17" i="7"/>
  <c r="M45" i="4"/>
  <c r="M56" i="4" s="1"/>
  <c r="J45" i="4"/>
  <c r="J56" i="4" s="1"/>
  <c r="G45" i="4"/>
  <c r="G56" i="4" s="1"/>
  <c r="N40" i="4"/>
  <c r="K45" i="4"/>
  <c r="K56" i="4" s="1"/>
  <c r="Y81" i="4"/>
  <c r="Y85" i="4" s="1"/>
  <c r="I45" i="4"/>
  <c r="I56" i="4" s="1"/>
  <c r="F28" i="2"/>
  <c r="F18" i="7" s="1"/>
  <c r="F27" i="2"/>
  <c r="F17" i="7" s="1"/>
  <c r="J27" i="2"/>
  <c r="H17" i="2"/>
  <c r="H20" i="2" l="1"/>
  <c r="AG23" i="2" s="1"/>
  <c r="J25" i="6" s="1"/>
  <c r="AN18" i="2"/>
  <c r="H18" i="2"/>
  <c r="J17" i="2"/>
  <c r="AN17" i="2"/>
  <c r="E6" i="6"/>
  <c r="E9" i="6"/>
  <c r="J18" i="2"/>
  <c r="J32" i="2"/>
  <c r="E24" i="7"/>
  <c r="AB86" i="4"/>
  <c r="AB34" i="4"/>
  <c r="AB51" i="4" s="1"/>
  <c r="X61" i="4"/>
  <c r="X65" i="4" s="1"/>
  <c r="X78" i="4" s="1"/>
  <c r="X86" i="4"/>
  <c r="U61" i="4"/>
  <c r="U65" i="4" s="1"/>
  <c r="U69" i="4" s="1"/>
  <c r="U71" i="4" s="1"/>
  <c r="U72" i="4" s="1"/>
  <c r="U34" i="4"/>
  <c r="U39" i="4" s="1"/>
  <c r="U44" i="4" s="1"/>
  <c r="W86" i="4"/>
  <c r="W61" i="4"/>
  <c r="W65" i="4" s="1"/>
  <c r="W69" i="4" s="1"/>
  <c r="W71" i="4" s="1"/>
  <c r="W72" i="4" s="1"/>
  <c r="Y86" i="4"/>
  <c r="X50" i="4"/>
  <c r="X49" i="4"/>
  <c r="S34" i="4"/>
  <c r="AA34" i="4"/>
  <c r="AA52" i="4" s="1"/>
  <c r="Q52" i="4"/>
  <c r="V34" i="4"/>
  <c r="V52" i="4" s="1"/>
  <c r="E8" i="8"/>
  <c r="E10" i="8" s="1"/>
  <c r="L10" i="8" s="1"/>
  <c r="R86" i="4"/>
  <c r="R34" i="4"/>
  <c r="R39" i="4" s="1"/>
  <c r="R54" i="4" s="1"/>
  <c r="Q50" i="4"/>
  <c r="Q49" i="4"/>
  <c r="Q61" i="4"/>
  <c r="X51" i="4"/>
  <c r="W50" i="4"/>
  <c r="W49" i="4"/>
  <c r="V86" i="4"/>
  <c r="X52" i="4"/>
  <c r="W51" i="4"/>
  <c r="V61" i="4"/>
  <c r="V65" i="4" s="1"/>
  <c r="V69" i="4" s="1"/>
  <c r="V71" i="4" s="1"/>
  <c r="V72" i="4" s="1"/>
  <c r="W52" i="4"/>
  <c r="Z61" i="4"/>
  <c r="Z65" i="4" s="1"/>
  <c r="Z86" i="4"/>
  <c r="T61" i="4"/>
  <c r="T65" i="4" s="1"/>
  <c r="T86" i="4"/>
  <c r="T34" i="4"/>
  <c r="S61" i="4"/>
  <c r="S65" i="4" s="1"/>
  <c r="S86" i="4"/>
  <c r="AA61" i="4"/>
  <c r="AA65" i="4" s="1"/>
  <c r="AA86" i="4"/>
  <c r="AB69" i="4"/>
  <c r="AB71" i="4" s="1"/>
  <c r="AB72" i="4" s="1"/>
  <c r="Q39" i="4"/>
  <c r="R69" i="4"/>
  <c r="R71" i="4" s="1"/>
  <c r="R72" i="4" s="1"/>
  <c r="Y34" i="4"/>
  <c r="Y52" i="4" s="1"/>
  <c r="Y61" i="4"/>
  <c r="Y65" i="4" s="1"/>
  <c r="X39" i="4"/>
  <c r="X43" i="4" s="1"/>
  <c r="Z34" i="4"/>
  <c r="Z52" i="4" s="1"/>
  <c r="W39" i="4"/>
  <c r="W54" i="4" s="1"/>
  <c r="D40" i="2"/>
  <c r="D24" i="7"/>
  <c r="Z81" i="4"/>
  <c r="Z85" i="4" s="1"/>
  <c r="N56" i="4"/>
  <c r="F36" i="2"/>
  <c r="AN36" i="2" s="1"/>
  <c r="I40" i="2"/>
  <c r="J36" i="2"/>
  <c r="E40" i="2"/>
  <c r="AP18" i="2" s="1"/>
  <c r="J33" i="2"/>
  <c r="G27" i="2"/>
  <c r="G29" i="2"/>
  <c r="G28" i="2"/>
  <c r="G18" i="7" s="1"/>
  <c r="G30" i="2"/>
  <c r="AN40" i="2" s="1"/>
  <c r="G31" i="2"/>
  <c r="AN41" i="2" s="1"/>
  <c r="AN38" i="2" l="1"/>
  <c r="Q34" i="7" s="1"/>
  <c r="AN37" i="2"/>
  <c r="Q33" i="7" s="1"/>
  <c r="F6" i="6"/>
  <c r="AN39" i="2"/>
  <c r="Q35" i="7" s="1"/>
  <c r="F7" i="6"/>
  <c r="D19" i="2"/>
  <c r="D18" i="2"/>
  <c r="D28" i="7"/>
  <c r="AP17" i="2"/>
  <c r="G21" i="7"/>
  <c r="G20" i="7"/>
  <c r="G19" i="7"/>
  <c r="G17" i="7"/>
  <c r="Q65" i="4"/>
  <c r="Q76" i="4"/>
  <c r="Q46" i="4"/>
  <c r="Q43" i="4"/>
  <c r="X69" i="4"/>
  <c r="X71" i="4" s="1"/>
  <c r="X72" i="4" s="1"/>
  <c r="AB39" i="4"/>
  <c r="AB54" i="4" s="1"/>
  <c r="AB78" i="4"/>
  <c r="U78" i="4"/>
  <c r="U52" i="4"/>
  <c r="U51" i="4"/>
  <c r="AB49" i="4"/>
  <c r="AB52" i="4"/>
  <c r="AB50" i="4"/>
  <c r="U50" i="4"/>
  <c r="U49" i="4"/>
  <c r="U43" i="4"/>
  <c r="U54" i="4"/>
  <c r="H38" i="2"/>
  <c r="D16" i="2" s="1"/>
  <c r="H31" i="2"/>
  <c r="H21" i="7" s="1"/>
  <c r="H28" i="2"/>
  <c r="H18" i="7" s="1"/>
  <c r="H30" i="2"/>
  <c r="H20" i="7" s="1"/>
  <c r="H29" i="2"/>
  <c r="H19" i="7" s="1"/>
  <c r="H27" i="2"/>
  <c r="W78" i="4"/>
  <c r="U46" i="4"/>
  <c r="U45" i="4"/>
  <c r="R78" i="4"/>
  <c r="Q54" i="4"/>
  <c r="S39" i="4"/>
  <c r="S49" i="4"/>
  <c r="S50" i="4"/>
  <c r="S51" i="4"/>
  <c r="V78" i="4"/>
  <c r="R50" i="4"/>
  <c r="R49" i="4"/>
  <c r="R51" i="4"/>
  <c r="T39" i="4"/>
  <c r="T49" i="4"/>
  <c r="T50" i="4"/>
  <c r="T51" i="4"/>
  <c r="T52" i="4"/>
  <c r="V49" i="4"/>
  <c r="V50" i="4"/>
  <c r="V51" i="4"/>
  <c r="R52" i="4"/>
  <c r="AA39" i="4"/>
  <c r="AA50" i="4"/>
  <c r="AA49" i="4"/>
  <c r="AA51" i="4"/>
  <c r="Z39" i="4"/>
  <c r="Z54" i="4" s="1"/>
  <c r="Z50" i="4"/>
  <c r="Z49" i="4"/>
  <c r="Z51" i="4"/>
  <c r="Y39" i="4"/>
  <c r="Y54" i="4" s="1"/>
  <c r="Y50" i="4"/>
  <c r="Y49" i="4"/>
  <c r="Y51" i="4"/>
  <c r="V39" i="4"/>
  <c r="V54" i="4" s="1"/>
  <c r="S52" i="4"/>
  <c r="Q44" i="4"/>
  <c r="R46" i="4"/>
  <c r="T78" i="4"/>
  <c r="T69" i="4"/>
  <c r="T71" i="4" s="1"/>
  <c r="T72" i="4" s="1"/>
  <c r="AA78" i="4"/>
  <c r="AA69" i="4"/>
  <c r="AA71" i="4" s="1"/>
  <c r="AA72" i="4" s="1"/>
  <c r="Y78" i="4"/>
  <c r="Y69" i="4"/>
  <c r="Y71" i="4" s="1"/>
  <c r="Y72" i="4" s="1"/>
  <c r="S78" i="4"/>
  <c r="S69" i="4"/>
  <c r="S71" i="4" s="1"/>
  <c r="S72" i="4" s="1"/>
  <c r="Q45" i="4"/>
  <c r="X45" i="4"/>
  <c r="Z78" i="4"/>
  <c r="Z69" i="4"/>
  <c r="Z71" i="4" s="1"/>
  <c r="Z72" i="4" s="1"/>
  <c r="R44" i="4"/>
  <c r="R45" i="4"/>
  <c r="R43" i="4"/>
  <c r="X54" i="4"/>
  <c r="X46" i="4"/>
  <c r="X44" i="4"/>
  <c r="W44" i="4"/>
  <c r="W45" i="4"/>
  <c r="W43" i="4"/>
  <c r="W46" i="4"/>
  <c r="Q32" i="7"/>
  <c r="F24" i="7"/>
  <c r="E28" i="7"/>
  <c r="U76" i="4"/>
  <c r="Y75" i="4"/>
  <c r="AA75" i="4"/>
  <c r="T75" i="4"/>
  <c r="S75" i="4"/>
  <c r="X75" i="4"/>
  <c r="AB75" i="4"/>
  <c r="V75" i="4"/>
  <c r="AA81" i="4"/>
  <c r="AA85" i="4" s="1"/>
  <c r="Z75" i="4"/>
  <c r="R75" i="4"/>
  <c r="W75" i="4"/>
  <c r="F40" i="2"/>
  <c r="G36" i="2"/>
  <c r="G24" i="7" s="1"/>
  <c r="F9" i="6" l="1"/>
  <c r="F28" i="7"/>
  <c r="D17" i="2"/>
  <c r="D14" i="7" s="1"/>
  <c r="Q69" i="4"/>
  <c r="Q71" i="4" s="1"/>
  <c r="Q95" i="4"/>
  <c r="Q101" i="4" s="1"/>
  <c r="J18" i="7"/>
  <c r="C33" i="6"/>
  <c r="Q36" i="7"/>
  <c r="C34" i="6"/>
  <c r="Q37" i="7"/>
  <c r="Q24" i="7"/>
  <c r="AN19" i="2"/>
  <c r="AP19" i="2" s="1"/>
  <c r="Q28" i="7"/>
  <c r="H26" i="7"/>
  <c r="D13" i="7"/>
  <c r="H17" i="7"/>
  <c r="Q78" i="4"/>
  <c r="AB46" i="4"/>
  <c r="AB43" i="4"/>
  <c r="AB45" i="4"/>
  <c r="AB44" i="4"/>
  <c r="U56" i="4"/>
  <c r="H40" i="2"/>
  <c r="H28" i="7" s="1"/>
  <c r="Y46" i="4"/>
  <c r="Y44" i="4"/>
  <c r="R56" i="4"/>
  <c r="Y43" i="4"/>
  <c r="Q56" i="4"/>
  <c r="V46" i="4"/>
  <c r="V45" i="4"/>
  <c r="Y45" i="4"/>
  <c r="V44" i="4"/>
  <c r="V43" i="4"/>
  <c r="X56" i="4"/>
  <c r="Z44" i="4"/>
  <c r="AA46" i="4"/>
  <c r="AA44" i="4"/>
  <c r="AA43" i="4"/>
  <c r="AA45" i="4"/>
  <c r="AA54" i="4"/>
  <c r="Z46" i="4"/>
  <c r="C30" i="6"/>
  <c r="Z43" i="4"/>
  <c r="W56" i="4"/>
  <c r="T54" i="4"/>
  <c r="T44" i="4"/>
  <c r="T43" i="4"/>
  <c r="T45" i="4"/>
  <c r="T46" i="4"/>
  <c r="C32" i="6"/>
  <c r="Z45" i="4"/>
  <c r="S54" i="4"/>
  <c r="S44" i="4"/>
  <c r="S46" i="4"/>
  <c r="S45" i="4"/>
  <c r="S43" i="4"/>
  <c r="S88" i="4"/>
  <c r="AA76" i="4"/>
  <c r="C29" i="6"/>
  <c r="S76" i="4"/>
  <c r="C31" i="6"/>
  <c r="J17" i="7"/>
  <c r="AB76" i="4"/>
  <c r="J20" i="7"/>
  <c r="J21" i="7"/>
  <c r="J19" i="7"/>
  <c r="T88" i="4"/>
  <c r="R88" i="4"/>
  <c r="AB81" i="4"/>
  <c r="AB85" i="4" s="1"/>
  <c r="Q92" i="4" l="1"/>
  <c r="AN20" i="2"/>
  <c r="C22" i="6"/>
  <c r="E22" i="6"/>
  <c r="Q72" i="4"/>
  <c r="AB56" i="4"/>
  <c r="Y56" i="4"/>
  <c r="V56" i="4"/>
  <c r="S56" i="4"/>
  <c r="Z56" i="4"/>
  <c r="T56" i="4"/>
  <c r="AA56" i="4"/>
  <c r="T92" i="4"/>
  <c r="T95" i="4"/>
  <c r="R95" i="4"/>
  <c r="R92" i="4"/>
  <c r="S95" i="4"/>
  <c r="S92" i="4"/>
  <c r="Y76" i="4"/>
  <c r="R76" i="4"/>
  <c r="T76" i="4"/>
  <c r="Z76" i="4"/>
  <c r="W76" i="4"/>
  <c r="V76" i="4"/>
  <c r="X76" i="4"/>
  <c r="U88" i="4"/>
  <c r="AN21" i="2" l="1"/>
  <c r="C24" i="6" s="1"/>
  <c r="AN22" i="2"/>
  <c r="H22" i="2"/>
  <c r="C23" i="6"/>
  <c r="K40" i="2"/>
  <c r="J24" i="7"/>
  <c r="AP20" i="2"/>
  <c r="T96" i="4"/>
  <c r="T101" i="4"/>
  <c r="T102" i="4" s="1"/>
  <c r="U95" i="4"/>
  <c r="U92" i="4"/>
  <c r="S96" i="4"/>
  <c r="S101" i="4"/>
  <c r="S102" i="4" s="1"/>
  <c r="R96" i="4"/>
  <c r="R101" i="4"/>
  <c r="R102" i="4" s="1"/>
  <c r="Q96" i="4"/>
  <c r="AN23" i="2"/>
  <c r="C25" i="6" s="1"/>
  <c r="V88" i="4"/>
  <c r="J19" i="2"/>
  <c r="J20" i="2"/>
  <c r="H21" i="2"/>
  <c r="J22" i="2" l="1"/>
  <c r="AI23" i="2"/>
  <c r="L25" i="6" s="1"/>
  <c r="AP21" i="2"/>
  <c r="E24" i="6" s="1"/>
  <c r="AP22" i="2"/>
  <c r="J28" i="7"/>
  <c r="E39" i="6"/>
  <c r="E23" i="6"/>
  <c r="C40" i="6"/>
  <c r="AP23" i="2"/>
  <c r="E25" i="6" s="1"/>
  <c r="Q102" i="4"/>
  <c r="V92" i="4"/>
  <c r="V95" i="4"/>
  <c r="U96" i="4"/>
  <c r="U101" i="4"/>
  <c r="U102" i="4" s="1"/>
  <c r="J21" i="2"/>
  <c r="D43" i="6" l="1"/>
  <c r="D40" i="6"/>
  <c r="D41" i="6"/>
  <c r="D42" i="6"/>
  <c r="D44" i="6" s="1"/>
  <c r="V101" i="4"/>
  <c r="V102" i="4" s="1"/>
  <c r="V96" i="4"/>
  <c r="W88" i="4"/>
  <c r="X88" i="4"/>
  <c r="D45" i="6" l="1"/>
  <c r="X92" i="4"/>
  <c r="X95" i="4"/>
  <c r="W95" i="4"/>
  <c r="W92" i="4"/>
  <c r="Y88" i="4"/>
  <c r="Y92" i="4" l="1"/>
  <c r="Y95" i="4"/>
  <c r="W101" i="4"/>
  <c r="W102" i="4" s="1"/>
  <c r="W96" i="4"/>
  <c r="X101" i="4"/>
  <c r="X102" i="4" s="1"/>
  <c r="X96" i="4"/>
  <c r="Z88" i="4"/>
  <c r="Z95" i="4" l="1"/>
  <c r="Z92" i="4"/>
  <c r="Y96" i="4"/>
  <c r="Y101" i="4"/>
  <c r="Y102" i="4" s="1"/>
  <c r="AA88" i="4"/>
  <c r="AA95" i="4" l="1"/>
  <c r="AA92" i="4"/>
  <c r="Z101" i="4"/>
  <c r="Z102" i="4" s="1"/>
  <c r="Z96" i="4"/>
  <c r="AB88" i="4"/>
  <c r="AB92" i="4" l="1"/>
  <c r="AB95" i="4"/>
  <c r="AA96" i="4"/>
  <c r="AA101" i="4"/>
  <c r="AA102" i="4" s="1"/>
  <c r="AB96" i="4" l="1"/>
  <c r="AB101" i="4"/>
  <c r="AB10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Perez, JC</author>
  </authors>
  <commentList>
    <comment ref="P12" authorId="0" shapeId="0" xr:uid="{6274E3DF-E54E-45D2-8609-DAF754DE5D7D}">
      <text>
        <r>
          <rPr>
            <b/>
            <sz val="9"/>
            <color indexed="81"/>
            <rFont val="Tahoma"/>
            <charset val="1"/>
          </rPr>
          <t>Perez, JC:</t>
        </r>
        <r>
          <rPr>
            <sz val="9"/>
            <color indexed="81"/>
            <rFont val="Tahoma"/>
            <charset val="1"/>
          </rPr>
          <t xml:space="preserve">
The shift should impact the credit trans count.  Theoritically the avg pmt for credit should stay the same, assuming that tkts that are on the lower end of the total avg tkts will still decide to shift.</t>
        </r>
      </text>
    </comment>
    <comment ref="P15" authorId="0" shapeId="0" xr:uid="{B96C7078-B0D2-4BF0-8E63-9BAD68734412}">
      <text>
        <r>
          <rPr>
            <b/>
            <sz val="9"/>
            <color indexed="81"/>
            <rFont val="Tahoma"/>
            <charset val="1"/>
          </rPr>
          <t>Perez, JC:</t>
        </r>
        <r>
          <rPr>
            <sz val="9"/>
            <color indexed="81"/>
            <rFont val="Tahoma"/>
            <charset val="1"/>
          </rPr>
          <t xml:space="preserve">
Trans # should increase and the avg tkt should increase as well with the addition of the higher pmts shifting frm credit payment methods</t>
        </r>
      </text>
    </comment>
  </commentList>
</comments>
</file>

<file path=xl/sharedStrings.xml><?xml version="1.0" encoding="utf-8"?>
<sst xmlns="http://schemas.openxmlformats.org/spreadsheetml/2006/main" count="736" uniqueCount="320">
  <si>
    <t>(All)</t>
  </si>
  <si>
    <t>Column Labels</t>
  </si>
  <si>
    <t>Sum of Trxn</t>
  </si>
  <si>
    <t>Sum of $ Settled</t>
  </si>
  <si>
    <t>Sum of Interchange Total</t>
  </si>
  <si>
    <t>Total Sum of Trxn</t>
  </si>
  <si>
    <t>Total Sum of $ Settled</t>
  </si>
  <si>
    <t>Total Sum of Interchange Total</t>
  </si>
  <si>
    <t>Row Labels</t>
  </si>
  <si>
    <t>Credit - Commercial</t>
  </si>
  <si>
    <t>Credit - Consumer</t>
  </si>
  <si>
    <t>Debit - Durbin Regulated</t>
  </si>
  <si>
    <t>Debit - Unregulated</t>
  </si>
  <si>
    <t>Dues &amp; Assessments</t>
  </si>
  <si>
    <t>Processor Fees</t>
  </si>
  <si>
    <t>Grand Total</t>
  </si>
  <si>
    <t>All</t>
  </si>
  <si>
    <t>Interchange Cost %</t>
  </si>
  <si>
    <t>Dues Assessment &amp; Fees</t>
  </si>
  <si>
    <t>Interchange Cost $</t>
  </si>
  <si>
    <t>merchant_name</t>
  </si>
  <si>
    <t>SPI Name</t>
  </si>
  <si>
    <t>Debit - ATM/Pinless</t>
  </si>
  <si>
    <t>Settled Amount</t>
  </si>
  <si>
    <t>Debit</t>
  </si>
  <si>
    <t>Dues Asses &amp; Fees</t>
  </si>
  <si>
    <t>All including  Assessment &amp;Fees</t>
  </si>
  <si>
    <t>Average PPT by Product</t>
  </si>
  <si>
    <t>PPT % variation</t>
  </si>
  <si>
    <t>Pricing Debit</t>
  </si>
  <si>
    <t>Margin %</t>
  </si>
  <si>
    <t>ACH</t>
  </si>
  <si>
    <t>FY 2023</t>
  </si>
  <si>
    <t>Notes</t>
  </si>
  <si>
    <t xml:space="preserve">Perparer </t>
  </si>
  <si>
    <t>JC Perez</t>
  </si>
  <si>
    <t>Model Type</t>
  </si>
  <si>
    <t>Renewal</t>
  </si>
  <si>
    <t>Avg Pmt</t>
  </si>
  <si>
    <t>Card %</t>
  </si>
  <si>
    <t>ACH %</t>
  </si>
  <si>
    <t xml:space="preserve">Debit </t>
  </si>
  <si>
    <t>Payment Type</t>
  </si>
  <si>
    <t>Pricing Method</t>
  </si>
  <si>
    <t>$ Based Fee</t>
  </si>
  <si>
    <t>% Based Fee</t>
  </si>
  <si>
    <t>N/A</t>
  </si>
  <si>
    <t>Com Credit</t>
  </si>
  <si>
    <t>Cons Credit</t>
  </si>
  <si>
    <t>Current Payment Acitivity, Pricing and Profitability</t>
  </si>
  <si>
    <t>Activity Date Range</t>
  </si>
  <si>
    <t>Client Name</t>
  </si>
  <si>
    <t>Card Total</t>
  </si>
  <si>
    <t xml:space="preserve">ACH </t>
  </si>
  <si>
    <t>All Payment Total</t>
  </si>
  <si>
    <t xml:space="preserve">Card/ACH Mix </t>
  </si>
  <si>
    <t>Flat Fee $</t>
  </si>
  <si>
    <t>Cost + $</t>
  </si>
  <si>
    <t>% of Principal</t>
  </si>
  <si>
    <t>Cost + %</t>
  </si>
  <si>
    <t>Payment Method</t>
  </si>
  <si>
    <t>CFEE</t>
  </si>
  <si>
    <t>ATM/Pinless</t>
  </si>
  <si>
    <t>Debit Durbin Reg</t>
  </si>
  <si>
    <t>Debit Unreg</t>
  </si>
  <si>
    <t>Gross Revenue</t>
  </si>
  <si>
    <t>Gross Rev</t>
  </si>
  <si>
    <t>Net Revenue</t>
  </si>
  <si>
    <t>Uplift/Decrease</t>
  </si>
  <si>
    <t>Card</t>
  </si>
  <si>
    <t>Total</t>
  </si>
  <si>
    <t>Payment/Cost Type</t>
  </si>
  <si>
    <t>TCV</t>
  </si>
  <si>
    <t>Mo Capacity</t>
  </si>
  <si>
    <t>Yr 1 NR</t>
  </si>
  <si>
    <t>Yr 2 NR</t>
  </si>
  <si>
    <t>Yr 2 Margin %</t>
  </si>
  <si>
    <t>ARR</t>
  </si>
  <si>
    <t>Divisions/Sites</t>
  </si>
  <si>
    <t>Rate</t>
  </si>
  <si>
    <t>Current Profitability</t>
  </si>
  <si>
    <t>Proposed Profitability</t>
  </si>
  <si>
    <t>Proposed Pricing Summary</t>
  </si>
  <si>
    <t>Repricing Triggers</t>
  </si>
  <si>
    <t>Average Payment &gt;</t>
  </si>
  <si>
    <t>Com Credit % &gt;</t>
  </si>
  <si>
    <t>All Credit % &gt;</t>
  </si>
  <si>
    <t>Debit % &lt;</t>
  </si>
  <si>
    <t>Projected Credit &amp; Debit Settled Volume when impacted by payment shift - Expectation of lower credit</t>
  </si>
  <si>
    <t>Credit IC Eff Billed</t>
  </si>
  <si>
    <t>Debit IC Eff Billed</t>
  </si>
  <si>
    <t>Cummalative Decrease %</t>
  </si>
  <si>
    <t>All Credit</t>
  </si>
  <si>
    <t>Transaction Count</t>
  </si>
  <si>
    <t xml:space="preserve">All Debit </t>
  </si>
  <si>
    <t>Total Transaction Count</t>
  </si>
  <si>
    <t>Total Processed Amount</t>
  </si>
  <si>
    <t>Total Processing Cost</t>
  </si>
  <si>
    <t>Avg Tkt</t>
  </si>
  <si>
    <t>All Debit</t>
  </si>
  <si>
    <t xml:space="preserve">% Shift </t>
  </si>
  <si>
    <t>Credit - Com Post Shift Count</t>
  </si>
  <si>
    <t>Credit - Cons Post Shift Count</t>
  </si>
  <si>
    <t>Processed Payment Type Mix</t>
  </si>
  <si>
    <t>% Decrease in Cr-Com Transaction</t>
  </si>
  <si>
    <t>% Decrease in Cr- Cons Transaction</t>
  </si>
  <si>
    <t>Transaction Count shift</t>
  </si>
  <si>
    <t>Credit - Com Post Shift</t>
  </si>
  <si>
    <t>Credit - Cons Post Shift</t>
  </si>
  <si>
    <t>All Debit Post Shift</t>
  </si>
  <si>
    <t>Total Settled Post Shift</t>
  </si>
  <si>
    <t>Credit - Comm IC Cost Post Shift</t>
  </si>
  <si>
    <t>Credit - Cons IC Cost Post Shift</t>
  </si>
  <si>
    <t>Debit  IC Cost Post Shift</t>
  </si>
  <si>
    <t>Total Processing Cost Post Shift</t>
  </si>
  <si>
    <t>% Processing Cost Decrease/Increase</t>
  </si>
  <si>
    <t>Pricing Credit - Comm</t>
  </si>
  <si>
    <t>Pricing Credit - Cons</t>
  </si>
  <si>
    <t>Gross Rev Credit Com</t>
  </si>
  <si>
    <t>Gross Rev Credit Cons</t>
  </si>
  <si>
    <t>Gross Rev Debit</t>
  </si>
  <si>
    <t>Credit - Comm</t>
  </si>
  <si>
    <t>Credit - Cons</t>
  </si>
  <si>
    <t>% Change</t>
  </si>
  <si>
    <t>Customer Success Rep</t>
  </si>
  <si>
    <t>Billed Amount</t>
  </si>
  <si>
    <t>Current Payment Acitivity, Pricing and Billed Amount</t>
  </si>
  <si>
    <t>Net Rev</t>
  </si>
  <si>
    <t>Platform</t>
  </si>
  <si>
    <t>% of Volume</t>
  </si>
  <si>
    <t>Eff Rate</t>
  </si>
  <si>
    <t>Where does the shift come from?</t>
  </si>
  <si>
    <t>Credit Card transaction/pmt volume</t>
  </si>
  <si>
    <t>where do they go</t>
  </si>
  <si>
    <t>Debit card trans count/pmt volume</t>
  </si>
  <si>
    <t>If ACH is in scope there would be adoption here too</t>
  </si>
  <si>
    <t xml:space="preserve">with ACH there would need to be a breakout of where </t>
  </si>
  <si>
    <t>the shifted trans go to from credit</t>
  </si>
  <si>
    <t>The % decrease should be applied to the Credit totals only</t>
  </si>
  <si>
    <t>$ Processing Cost Decrease/Increase</t>
  </si>
  <si>
    <t>Total Card Processing Cost</t>
  </si>
  <si>
    <t>Total Card Settled Amount</t>
  </si>
  <si>
    <t>Total Card Transaction Count</t>
  </si>
  <si>
    <t>ACH Post Shift Count</t>
  </si>
  <si>
    <t>Shifted trx count % to ACH</t>
  </si>
  <si>
    <t>Shifted trx count % to Db</t>
  </si>
  <si>
    <t>All Debit Post Shift Count</t>
  </si>
  <si>
    <t>Total Card Post Shift Count</t>
  </si>
  <si>
    <t>All Credit Post Shift</t>
  </si>
  <si>
    <t>Settled Amount Post Shift</t>
  </si>
  <si>
    <t>Total Card Settled Amount  Post Shift</t>
  </si>
  <si>
    <t>ACH Post Shift</t>
  </si>
  <si>
    <t>Total Trans Post  Count Shift</t>
  </si>
  <si>
    <t>Credit - Commercial Post Shift</t>
  </si>
  <si>
    <t>Credit - Consumer Post Shift</t>
  </si>
  <si>
    <t>All Credt - Post Shift</t>
  </si>
  <si>
    <t>All Debit - Post Shift</t>
  </si>
  <si>
    <t>Total Post Shift</t>
  </si>
  <si>
    <t>Processed Payment Type Mix Post Shift</t>
  </si>
  <si>
    <t>Interchange Cost $ Post Shift</t>
  </si>
  <si>
    <t>Total Card Processing Cost Post Shift</t>
  </si>
  <si>
    <t xml:space="preserve">Gross Rev All Cards </t>
  </si>
  <si>
    <t>Gross Rev ACH</t>
  </si>
  <si>
    <t>Gross Rev All Payments</t>
  </si>
  <si>
    <t>Card Net Rev Margin</t>
  </si>
  <si>
    <t>Ach Net Rev Margin</t>
  </si>
  <si>
    <t>Total Payments Net Rev Margin</t>
  </si>
  <si>
    <t xml:space="preserve">Card Only Pmt Mix </t>
  </si>
  <si>
    <t>Card Only Pmt Mix  Post Shift</t>
  </si>
  <si>
    <t>Shift Distribution</t>
  </si>
  <si>
    <t>Card Pmt Mix %</t>
  </si>
  <si>
    <t>All Pmt Mix %</t>
  </si>
  <si>
    <t>Processing Cost</t>
  </si>
  <si>
    <t>Eff. Proc. Cost %</t>
  </si>
  <si>
    <t>Trxn Count</t>
  </si>
  <si>
    <t xml:space="preserve">Settled Pmt Amt </t>
  </si>
  <si>
    <t>New Pricing no Shift</t>
  </si>
  <si>
    <t>New Pricing Shifted Volume</t>
  </si>
  <si>
    <t xml:space="preserve">Pricing </t>
  </si>
  <si>
    <t>GR</t>
  </si>
  <si>
    <t>Variance</t>
  </si>
  <si>
    <t>Com Cr</t>
  </si>
  <si>
    <t>Cons Cr</t>
  </si>
  <si>
    <t>Impact to cost and margin once new pricing is implemented causing payment method Shift</t>
  </si>
  <si>
    <t>Payment Shift Scenarios and Financial Impact</t>
  </si>
  <si>
    <t>Financial KPIs</t>
  </si>
  <si>
    <t>Proposed Pricing and Billed Amount</t>
  </si>
  <si>
    <t>Settled Pmt Amt</t>
  </si>
  <si>
    <t>Proposed Pricing and Profitability</t>
  </si>
  <si>
    <t>Yr 1 Margin %</t>
  </si>
  <si>
    <t>CSM/NBD Rep</t>
  </si>
  <si>
    <t>Uplift</t>
  </si>
  <si>
    <t xml:space="preserve">TCV </t>
  </si>
  <si>
    <t>Term Lentgh</t>
  </si>
  <si>
    <t>Repricing</t>
  </si>
  <si>
    <t>New Biz</t>
  </si>
  <si>
    <t>Gross Revenue for Core solution + Add on prods + Implementation Fee - Incentives ( Ramping impacts Figures)</t>
  </si>
  <si>
    <t>2NCV</t>
  </si>
  <si>
    <t>Yr 1 + Yr 2 NR from core prods + add ons --- Implementation and Incentive figures not included in 2NCV</t>
  </si>
  <si>
    <t xml:space="preserve"> For Existing Biz TCV is used only for Approval routing</t>
  </si>
  <si>
    <t>Yr 1 &lt;=12 Mo Term</t>
  </si>
  <si>
    <t>Annual NR from (core solution + add ons) * 0.9339</t>
  </si>
  <si>
    <t>Yr 1 &gt; 12 Mo Term</t>
  </si>
  <si>
    <t>first 12 mo GR from ((core solution + Add Ons)*(NR Margin %)*0.9339)</t>
  </si>
  <si>
    <t xml:space="preserve">Yr 2 </t>
  </si>
  <si>
    <t xml:space="preserve">Mo 13 to 24 GR from ((core solution + Add Ons) *(NR Margin %) * 1.0165)  </t>
  </si>
  <si>
    <t>ARR - Term &lt;=12 Mo</t>
  </si>
  <si>
    <t xml:space="preserve">Yr 1 </t>
  </si>
  <si>
    <t>ARR - Term &gt; 12 Mo</t>
  </si>
  <si>
    <t>((Yr 1 + Yr 2) * 0.446)</t>
  </si>
  <si>
    <t>Existing Biz - Repricing - Lower rates</t>
  </si>
  <si>
    <t>TCV - Repricing</t>
  </si>
  <si>
    <t>((Proposed NR - Current NR) / 12 * Term length)  ------ This metric is used for Approval Routing</t>
  </si>
  <si>
    <t>Existing Biz - Repricing - Higher Rates</t>
  </si>
  <si>
    <t>((Proposed NR - Current NR) / 12 * Term length)</t>
  </si>
  <si>
    <t>((Proposed NR - Current NR) /12)</t>
  </si>
  <si>
    <t>((Proposed NR Uplift / 12) * Term length)</t>
  </si>
  <si>
    <t>*</t>
  </si>
  <si>
    <t>(Proposed NR - Current NR) --- For Year 1 Calculations</t>
  </si>
  <si>
    <t>100% for Uplift</t>
  </si>
  <si>
    <t>Yr 2 &gt;=13&lt;=24 Mo Term</t>
  </si>
  <si>
    <t>((Uplift / 12) * (Term length - 12))</t>
  </si>
  <si>
    <t>Yr 2 &gt;24 Mo Term</t>
  </si>
  <si>
    <t>(Proposed NR - Current NR)  --- For year 2 Calculations</t>
  </si>
  <si>
    <t>Durbin Reg % &lt;</t>
  </si>
  <si>
    <t>Unreg Debit % &gt;</t>
  </si>
  <si>
    <t>Credit</t>
  </si>
  <si>
    <t>Total Trans Count</t>
  </si>
  <si>
    <t>Total Payment Amount</t>
  </si>
  <si>
    <t>Average Payment Amount</t>
  </si>
  <si>
    <t>Totals</t>
  </si>
  <si>
    <t>Financial acitivty Summary</t>
  </si>
  <si>
    <t>PURE</t>
  </si>
  <si>
    <t>Speedpay</t>
  </si>
  <si>
    <t>L12 Mar 2024</t>
  </si>
  <si>
    <t>Greg Halligan</t>
  </si>
  <si>
    <t>Comm Card Shift</t>
  </si>
  <si>
    <t>Cons Card Shift</t>
  </si>
  <si>
    <t>Shift from/Shift to</t>
  </si>
  <si>
    <t xml:space="preserve">Current </t>
  </si>
  <si>
    <t>Proposed</t>
  </si>
  <si>
    <t>Current Activity &amp; Pricing Gross Revenue Calculations</t>
  </si>
  <si>
    <t>Proposed Pricing Gross Revenue Calculations</t>
  </si>
  <si>
    <t>Total Card Activity</t>
  </si>
  <si>
    <t>Total Pmt Activity</t>
  </si>
  <si>
    <t>% of Total Trx</t>
  </si>
  <si>
    <t>All Pmts</t>
  </si>
  <si>
    <t>Debit Pmts</t>
  </si>
  <si>
    <t>% Shift to Db</t>
  </si>
  <si>
    <t>% Shift to ACH</t>
  </si>
  <si>
    <t>Shifted # to Db</t>
  </si>
  <si>
    <t>Shifted # to ACH</t>
  </si>
  <si>
    <t>New Avg Tkt</t>
  </si>
  <si>
    <t>Post Shift Trx</t>
  </si>
  <si>
    <t>Post Shift Pmt Amt</t>
  </si>
  <si>
    <t>Shifted to ATM</t>
  </si>
  <si>
    <t>Shifted to Durbin Db</t>
  </si>
  <si>
    <t>Shifted to Db Unreg</t>
  </si>
  <si>
    <t>DB Shift Breakout</t>
  </si>
  <si>
    <t>Eff Proc Rates</t>
  </si>
  <si>
    <t>IC Cost</t>
  </si>
  <si>
    <t>Assessments</t>
  </si>
  <si>
    <t>Processor Cost</t>
  </si>
  <si>
    <t>Total Proc Cost</t>
  </si>
  <si>
    <t>Payment Shift Activity Calcualtions</t>
  </si>
  <si>
    <t>Current Payment and Cost Activity with Payment Mix by card and all payments</t>
  </si>
  <si>
    <t>Post Shift Activity - Cost</t>
  </si>
  <si>
    <t>Repricing Calculations Without Shift</t>
  </si>
  <si>
    <t>Repricing Calculations When Payment Shifts Expected</t>
  </si>
  <si>
    <t>Proc. Cost</t>
  </si>
  <si>
    <t>Proposed Rates</t>
  </si>
  <si>
    <t>Calculated Gross Rev by Pricing Payment Type and Pricing Type</t>
  </si>
  <si>
    <t>NR/Trans</t>
  </si>
  <si>
    <t>Payment Shift From/To</t>
  </si>
  <si>
    <t>% Shift to DB</t>
  </si>
  <si>
    <t>Not being used for modeling purposes</t>
  </si>
  <si>
    <t>If decide to use check cells Q9 &amp; Q10 for shift distribution purposes</t>
  </si>
  <si>
    <t>New Payment Mix %</t>
  </si>
  <si>
    <t>Gross Rev - Cost - Net Revenue based on chosen Pricing method and rates by Payment Type</t>
  </si>
  <si>
    <t>Fin Metrics</t>
  </si>
  <si>
    <t>Current Rates and Payment Activity</t>
  </si>
  <si>
    <t>Proposed Rates Applied to Current Payment Activities</t>
  </si>
  <si>
    <t>Version 2024.1</t>
  </si>
  <si>
    <t>Release Date</t>
  </si>
  <si>
    <t xml:space="preserve">Deal Desk Review Pricing - Cost - Profitability Model </t>
  </si>
  <si>
    <t>CLIENT NAME</t>
  </si>
  <si>
    <t>Residential/Comm</t>
  </si>
  <si>
    <t>Residential</t>
  </si>
  <si>
    <t>Commercial</t>
  </si>
  <si>
    <t>One-Time</t>
  </si>
  <si>
    <t>Site A</t>
  </si>
  <si>
    <t>Site B</t>
  </si>
  <si>
    <t>Site C</t>
  </si>
  <si>
    <t>Division 1</t>
  </si>
  <si>
    <t>Division 2</t>
  </si>
  <si>
    <t>Recurring</t>
  </si>
  <si>
    <r>
      <t xml:space="preserve">Detailed Breakout for Divisions - Sites - Payment Types - </t>
    </r>
    <r>
      <rPr>
        <b/>
        <sz val="11"/>
        <color rgb="FFFF0000"/>
        <rFont val="Calibri"/>
        <family val="2"/>
        <scheme val="minor"/>
      </rPr>
      <t>(Reserved For Pricing &amp; IC Team USE Only)</t>
    </r>
  </si>
  <si>
    <t>Payment Frequency</t>
  </si>
  <si>
    <t>V4</t>
  </si>
  <si>
    <t>Transact</t>
  </si>
  <si>
    <t>Div/Site Type</t>
  </si>
  <si>
    <t>Absorbed</t>
  </si>
  <si>
    <r>
      <rPr>
        <sz val="11"/>
        <color theme="1"/>
        <rFont val="Wingdings 3"/>
        <family val="1"/>
        <charset val="2"/>
      </rPr>
      <t>#$</t>
    </r>
    <r>
      <rPr>
        <sz val="11"/>
        <color theme="1"/>
        <rFont val="Calibri"/>
        <family val="2"/>
      </rPr>
      <t xml:space="preserve"> In Proc. Cost</t>
    </r>
  </si>
  <si>
    <t>Post Shift</t>
  </si>
  <si>
    <r>
      <rPr>
        <sz val="11"/>
        <color theme="1"/>
        <rFont val="Wingdings 3"/>
        <family val="1"/>
        <charset val="2"/>
      </rPr>
      <t>#$</t>
    </r>
    <r>
      <rPr>
        <sz val="11"/>
        <color theme="1"/>
        <rFont val="Calibri"/>
        <family val="2"/>
      </rPr>
      <t xml:space="preserve"> In Net Revenue</t>
    </r>
  </si>
  <si>
    <r>
      <rPr>
        <b/>
        <sz val="11"/>
        <color theme="1"/>
        <rFont val="Wingdings 3"/>
        <family val="1"/>
        <charset val="2"/>
      </rPr>
      <t>#$</t>
    </r>
    <r>
      <rPr>
        <b/>
        <sz val="8.8000000000000007"/>
        <color theme="1"/>
        <rFont val="Calibri"/>
        <family val="2"/>
      </rPr>
      <t xml:space="preserve"> in Proc Cost</t>
    </r>
  </si>
  <si>
    <r>
      <rPr>
        <b/>
        <sz val="11"/>
        <color theme="1"/>
        <rFont val="Wingdings 3"/>
        <family val="1"/>
        <charset val="2"/>
      </rPr>
      <t>#$</t>
    </r>
    <r>
      <rPr>
        <b/>
        <sz val="8.8000000000000007"/>
        <color theme="1"/>
        <rFont val="Calibri"/>
        <family val="2"/>
      </rPr>
      <t xml:space="preserve"> in Net Revenue</t>
    </r>
  </si>
  <si>
    <t>Current Net Rev</t>
  </si>
  <si>
    <t>Metrics</t>
  </si>
  <si>
    <t>Financial acitivty Summary Post Shift</t>
  </si>
  <si>
    <t>Proposed Profitability Post Shift</t>
  </si>
  <si>
    <t>Transact does not have separate ACH Validations and must be taken into account via the ACH Rates to ensure cost coverage</t>
  </si>
  <si>
    <t>ACH Validation Cost</t>
  </si>
  <si>
    <t>% of ACH trx Validated</t>
  </si>
  <si>
    <t>ACH Trxn Cout</t>
  </si>
  <si>
    <t>Validated Trxn</t>
  </si>
  <si>
    <t>ACI Cost</t>
  </si>
  <si>
    <t>Client Summary Proc. Cost Disclosure</t>
  </si>
  <si>
    <t>Pricing method</t>
  </si>
  <si>
    <t>Trigger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</si>
</sst>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quot;$&quot;#,##0"/>
    <numFmt numFmtId="168" formatCode="_(* #,##0.000_);_(* \(#,##0.000\);_(* &quot;-&quot;??_);_(@_)"/>
    <numFmt numFmtId="169" formatCode="_(* #,##0.0000_);_(* \(#,##0.0000\);_(* &quot;-&quot;??_);_(@_)"/>
    <numFmt numFmtId="170" formatCode="#,##0;\-#,##0"/>
  </numFmts>
  <fonts count="39">
    <font>
      <sz val="11"/>
      <color theme="1"/>
      <name val="Calibri"/>
      <family val="2"/>
      <scheme val="minor"/>
    </font>
    <font>
      <sz val="11"/>
      <color theme="1"/>
      <name val="Calibri"/>
      <family val="2"/>
      <scheme val="minor"/>
    </font>
    <font>
      <sz val="10"/>
      <color theme="1"/>
      <name val="Candara"/>
      <family val="2"/>
    </font>
    <font>
      <b/>
      <sz val="11"/>
      <color theme="1"/>
      <name val="Calibri"/>
      <family val="2"/>
      <scheme val="minor"/>
    </font>
    <font>
      <b/>
      <sz val="11"/>
      <color theme="4"/>
      <name val="Calibri"/>
      <family val="2"/>
      <scheme val="minor"/>
    </font>
    <font>
      <i/>
      <sz val="11"/>
      <color theme="1"/>
      <name val="Calibri"/>
      <family val="2"/>
      <scheme val="minor"/>
    </font>
    <font>
      <sz val="11"/>
      <color rgb="FFFF0000"/>
      <name val="Calibri"/>
      <family val="2"/>
      <scheme val="minor"/>
    </font>
    <font>
      <sz val="11"/>
      <color theme="1"/>
      <name val="Wingdings 3"/>
      <family val="1"/>
      <charset val="2"/>
    </font>
    <font>
      <b/>
      <sz val="11"/>
      <color theme="0"/>
      <name val="Calibri"/>
      <family val="2"/>
      <scheme val="minor"/>
    </font>
    <font>
      <u/>
      <sz val="18"/>
      <color theme="1"/>
      <name val="Calibri"/>
      <family val="2"/>
      <scheme val="minor"/>
    </font>
    <font>
      <b/>
      <sz val="11"/>
      <name val="Calibri"/>
      <family val="2"/>
      <scheme val="minor"/>
    </font>
    <font>
      <sz val="11"/>
      <color rgb="FF0070C0"/>
      <name val="Calibri"/>
      <family val="2"/>
      <scheme val="minor"/>
    </font>
    <font>
      <b/>
      <sz val="11"/>
      <color rgb="FF0070C0"/>
      <name val="Calibri"/>
      <family val="2"/>
      <scheme val="minor"/>
    </font>
    <font>
      <b/>
      <sz val="11"/>
      <color rgb="FFFF0000"/>
      <name val="Calibri"/>
      <family val="2"/>
      <scheme val="minor"/>
    </font>
    <font>
      <sz val="11"/>
      <color theme="1" tint="0.499984740745262"/>
      <name val="Calibri"/>
      <family val="2"/>
      <scheme val="minor"/>
    </font>
    <font>
      <sz val="11"/>
      <color theme="1"/>
      <name val="Calibri"/>
      <family val="1"/>
      <charset val="2"/>
    </font>
    <font>
      <b/>
      <u/>
      <sz val="11"/>
      <color theme="1"/>
      <name val="Calibri"/>
      <family val="2"/>
      <scheme val="minor"/>
    </font>
    <font>
      <b/>
      <i/>
      <sz val="11"/>
      <color theme="1"/>
      <name val="Calibri"/>
      <family val="2"/>
      <scheme val="minor"/>
    </font>
    <font>
      <sz val="11"/>
      <name val="Calibri"/>
      <family val="2"/>
      <scheme val="minor"/>
    </font>
    <font>
      <sz val="9"/>
      <color indexed="81"/>
      <name val="Tahoma"/>
      <charset val="1"/>
    </font>
    <font>
      <b/>
      <sz val="9"/>
      <color indexed="81"/>
      <name val="Tahoma"/>
      <charset val="1"/>
    </font>
    <font>
      <b/>
      <u/>
      <sz val="11"/>
      <color theme="4"/>
      <name val="Calibri"/>
      <family val="2"/>
      <scheme val="minor"/>
    </font>
    <font>
      <sz val="11"/>
      <color theme="4"/>
      <name val="Calibri"/>
      <family val="2"/>
      <scheme val="minor"/>
    </font>
    <font>
      <sz val="11"/>
      <color theme="0" tint="-0.34998626667073579"/>
      <name val="Calibri"/>
      <family val="2"/>
      <scheme val="minor"/>
    </font>
    <font>
      <b/>
      <sz val="12"/>
      <color theme="1"/>
      <name val="Calibri"/>
      <family val="2"/>
      <scheme val="minor"/>
    </font>
    <font>
      <b/>
      <sz val="14"/>
      <color theme="1"/>
      <name val="Calibri"/>
      <family val="2"/>
      <scheme val="minor"/>
    </font>
    <font>
      <b/>
      <sz val="48"/>
      <color rgb="FFFF0000"/>
      <name val="Calibri"/>
      <family val="2"/>
      <scheme val="minor"/>
    </font>
    <font>
      <sz val="18"/>
      <color rgb="FFFF0000"/>
      <name val="Calibri"/>
      <family val="2"/>
      <scheme val="minor"/>
    </font>
    <font>
      <b/>
      <u val="singleAccounting"/>
      <sz val="11"/>
      <color theme="1"/>
      <name val="Calibri"/>
      <family val="2"/>
      <scheme val="minor"/>
    </font>
    <font>
      <sz val="11"/>
      <color theme="1"/>
      <name val="Calibri"/>
      <family val="2"/>
    </font>
    <font>
      <b/>
      <sz val="11"/>
      <color theme="1"/>
      <name val="Calibri"/>
      <family val="1"/>
      <charset val="2"/>
    </font>
    <font>
      <b/>
      <sz val="11"/>
      <color theme="1"/>
      <name val="Wingdings 3"/>
      <family val="1"/>
      <charset val="2"/>
    </font>
    <font>
      <b/>
      <sz val="8.8000000000000007"/>
      <color theme="1"/>
      <name val="Calibri"/>
      <family val="2"/>
    </font>
    <font>
      <b/>
      <sz val="16"/>
      <color theme="1"/>
      <name val="Calibri"/>
      <family val="2"/>
      <scheme val="minor"/>
    </font>
    <font>
      <b/>
      <sz val="16"/>
      <color theme="0"/>
      <name val="Calibri"/>
      <family val="2"/>
      <scheme val="minor"/>
    </font>
    <font>
      <b/>
      <sz val="16"/>
      <name val="Calibri"/>
      <family val="2"/>
      <scheme val="minor"/>
    </font>
    <font>
      <b/>
      <u/>
      <sz val="24"/>
      <color theme="1"/>
      <name val="Calibri"/>
      <family val="2"/>
      <scheme val="minor"/>
    </font>
    <font>
      <b/>
      <sz val="14"/>
      <color theme="0"/>
      <name val="Calibri"/>
      <family val="2"/>
      <scheme val="minor"/>
    </font>
    <font>
      <b/>
      <sz val="14"/>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0.249977111117893"/>
        <bgColor indexed="64"/>
      </patternFill>
    </fill>
    <fill>
      <patternFill patternType="solid">
        <fgColor rgb="FF66CCFF"/>
        <bgColor indexed="64"/>
      </patternFill>
    </fill>
    <fill>
      <patternFill patternType="solid">
        <fgColor rgb="FF99FFCC"/>
        <bgColor indexed="64"/>
      </patternFill>
    </fill>
    <fill>
      <patternFill patternType="solid">
        <fgColor rgb="FF00FFFF"/>
        <bgColor indexed="64"/>
      </patternFill>
    </fill>
  </fills>
  <borders count="2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402">
    <xf numFmtId="0" fontId="0" fillId="0" borderId="0" xfId="0"/>
    <xf numFmtId="14" fontId="0" fillId="0" borderId="0" xfId="0" applyNumberFormat="1"/>
    <xf numFmtId="0" fontId="0" fillId="0" borderId="0" xfId="0" applyAlignment="1">
      <alignment horizontal="left"/>
    </xf>
    <xf numFmtId="164" fontId="0" fillId="0" borderId="0" xfId="0" applyNumberFormat="1"/>
    <xf numFmtId="9" fontId="0" fillId="0" borderId="0" xfId="3" applyFont="1"/>
    <xf numFmtId="10" fontId="0" fillId="0" borderId="0" xfId="3" applyNumberFormat="1" applyFont="1"/>
    <xf numFmtId="9" fontId="0" fillId="0" borderId="0" xfId="0" applyNumberFormat="1"/>
    <xf numFmtId="0" fontId="0" fillId="0" borderId="0" xfId="0" applyAlignment="1">
      <alignment horizontal="center" vertical="center" wrapText="1"/>
    </xf>
    <xf numFmtId="164" fontId="0" fillId="0" borderId="0" xfId="1" applyNumberFormat="1" applyFont="1"/>
    <xf numFmtId="165" fontId="0" fillId="0" borderId="0" xfId="2" applyNumberFormat="1" applyFont="1"/>
    <xf numFmtId="165" fontId="0" fillId="0" borderId="0" xfId="0" applyNumberFormat="1"/>
    <xf numFmtId="0" fontId="0" fillId="0" borderId="0" xfId="0" applyAlignment="1">
      <alignment horizontal="right"/>
    </xf>
    <xf numFmtId="166" fontId="0" fillId="0" borderId="0" xfId="3" applyNumberFormat="1" applyFont="1"/>
    <xf numFmtId="44" fontId="0" fillId="0" borderId="0" xfId="0" applyNumberFormat="1"/>
    <xf numFmtId="10" fontId="0" fillId="0" borderId="0" xfId="3" applyNumberFormat="1" applyFont="1" applyBorder="1"/>
    <xf numFmtId="10" fontId="0" fillId="0" borderId="0" xfId="0" applyNumberFormat="1"/>
    <xf numFmtId="43" fontId="0" fillId="0" borderId="0" xfId="1" applyFont="1"/>
    <xf numFmtId="0" fontId="0" fillId="0" borderId="0" xfId="0" applyAlignment="1">
      <alignment horizontal="center"/>
    </xf>
    <xf numFmtId="43" fontId="0" fillId="0" borderId="0" xfId="0" applyNumberFormat="1"/>
    <xf numFmtId="44" fontId="0" fillId="0" borderId="0" xfId="2" applyFont="1" applyBorder="1"/>
    <xf numFmtId="9" fontId="0" fillId="0" borderId="0" xfId="3" applyFont="1" applyBorder="1"/>
    <xf numFmtId="165" fontId="0" fillId="0" borderId="0" xfId="2" applyNumberFormat="1" applyFont="1" applyFill="1"/>
    <xf numFmtId="0" fontId="0" fillId="0" borderId="2" xfId="0" applyBorder="1"/>
    <xf numFmtId="9" fontId="3" fillId="0" borderId="0" xfId="3" applyFont="1"/>
    <xf numFmtId="0" fontId="3" fillId="0" borderId="0" xfId="0" applyFont="1"/>
    <xf numFmtId="0" fontId="0" fillId="2" borderId="0" xfId="0" applyFill="1"/>
    <xf numFmtId="9" fontId="0" fillId="0" borderId="0" xfId="3" applyFont="1" applyAlignment="1">
      <alignment horizontal="center"/>
    </xf>
    <xf numFmtId="10" fontId="3" fillId="0" borderId="0" xfId="3" applyNumberFormat="1" applyFont="1" applyBorder="1" applyAlignment="1">
      <alignment horizontal="center"/>
    </xf>
    <xf numFmtId="44" fontId="0" fillId="0" borderId="0" xfId="2" applyFont="1" applyBorder="1" applyAlignment="1">
      <alignment horizontal="center"/>
    </xf>
    <xf numFmtId="0" fontId="0" fillId="0" borderId="2" xfId="0" applyBorder="1" applyAlignment="1">
      <alignment horizontal="left"/>
    </xf>
    <xf numFmtId="44" fontId="3" fillId="0" borderId="2" xfId="2" applyFont="1" applyFill="1" applyBorder="1"/>
    <xf numFmtId="0" fontId="3" fillId="0" borderId="2" xfId="0" applyFont="1" applyBorder="1"/>
    <xf numFmtId="9" fontId="0" fillId="2" borderId="0" xfId="3" applyFont="1" applyFill="1"/>
    <xf numFmtId="0" fontId="6" fillId="0" borderId="0" xfId="0" applyFont="1"/>
    <xf numFmtId="0" fontId="0" fillId="0" borderId="4" xfId="0" applyBorder="1"/>
    <xf numFmtId="10" fontId="3" fillId="0" borderId="5" xfId="3" applyNumberFormat="1" applyFont="1" applyFill="1" applyBorder="1" applyAlignment="1">
      <alignment horizontal="center"/>
    </xf>
    <xf numFmtId="0" fontId="0" fillId="0" borderId="14" xfId="0" applyBorder="1"/>
    <xf numFmtId="0" fontId="0" fillId="0" borderId="15" xfId="0" applyBorder="1"/>
    <xf numFmtId="0" fontId="3" fillId="0" borderId="0" xfId="0" applyFont="1" applyAlignment="1">
      <alignment horizontal="center"/>
    </xf>
    <xf numFmtId="0" fontId="0" fillId="0" borderId="1" xfId="0" applyBorder="1"/>
    <xf numFmtId="44" fontId="3" fillId="0" borderId="2" xfId="0" applyNumberFormat="1" applyFont="1" applyBorder="1"/>
    <xf numFmtId="44" fontId="0" fillId="0" borderId="2" xfId="2" applyFont="1" applyBorder="1"/>
    <xf numFmtId="44" fontId="0" fillId="0" borderId="2" xfId="2" applyFont="1" applyBorder="1" applyAlignment="1">
      <alignment horizontal="center"/>
    </xf>
    <xf numFmtId="44" fontId="0" fillId="0" borderId="2" xfId="0" applyNumberFormat="1" applyBorder="1"/>
    <xf numFmtId="10" fontId="0" fillId="0" borderId="2" xfId="3" applyNumberFormat="1" applyFont="1" applyBorder="1" applyAlignment="1">
      <alignment horizontal="center"/>
    </xf>
    <xf numFmtId="44" fontId="0" fillId="0" borderId="2" xfId="0" applyNumberFormat="1" applyBorder="1" applyAlignment="1">
      <alignment horizontal="center"/>
    </xf>
    <xf numFmtId="165" fontId="0" fillId="0" borderId="2" xfId="0" applyNumberFormat="1" applyBorder="1"/>
    <xf numFmtId="9" fontId="0" fillId="0" borderId="2" xfId="0" applyNumberFormat="1" applyBorder="1"/>
    <xf numFmtId="43" fontId="3" fillId="0" borderId="2" xfId="0" applyNumberFormat="1" applyFont="1" applyBorder="1"/>
    <xf numFmtId="164" fontId="3" fillId="0" borderId="2" xfId="0" applyNumberFormat="1" applyFont="1" applyBorder="1"/>
    <xf numFmtId="0" fontId="3" fillId="0" borderId="2" xfId="0" applyFont="1" applyBorder="1" applyAlignment="1">
      <alignment horizontal="center"/>
    </xf>
    <xf numFmtId="9" fontId="0" fillId="0" borderId="2" xfId="3" applyFont="1" applyBorder="1"/>
    <xf numFmtId="165" fontId="3" fillId="0" borderId="2" xfId="0" applyNumberFormat="1" applyFont="1" applyBorder="1"/>
    <xf numFmtId="165" fontId="0" fillId="0" borderId="4" xfId="0" applyNumberFormat="1" applyBorder="1"/>
    <xf numFmtId="14" fontId="3" fillId="0" borderId="0" xfId="0" applyNumberFormat="1" applyFont="1"/>
    <xf numFmtId="14" fontId="3" fillId="0" borderId="0" xfId="0" applyNumberFormat="1" applyFont="1" applyAlignment="1">
      <alignment horizontal="center"/>
    </xf>
    <xf numFmtId="0" fontId="3" fillId="0" borderId="0" xfId="0" applyFont="1" applyAlignment="1">
      <alignment horizontal="left"/>
    </xf>
    <xf numFmtId="164" fontId="11" fillId="0" borderId="0" xfId="1" applyNumberFormat="1" applyFont="1"/>
    <xf numFmtId="164" fontId="11" fillId="0" borderId="0" xfId="0" applyNumberFormat="1" applyFont="1"/>
    <xf numFmtId="0" fontId="11" fillId="0" borderId="0" xfId="0" applyFont="1"/>
    <xf numFmtId="165" fontId="6" fillId="0" borderId="0" xfId="2" applyNumberFormat="1" applyFont="1"/>
    <xf numFmtId="164" fontId="6" fillId="0" borderId="0" xfId="1" applyNumberFormat="1" applyFont="1"/>
    <xf numFmtId="10" fontId="6" fillId="0" borderId="0" xfId="3" applyNumberFormat="1" applyFont="1"/>
    <xf numFmtId="10" fontId="13" fillId="0" borderId="0" xfId="3" applyNumberFormat="1" applyFont="1"/>
    <xf numFmtId="0" fontId="13" fillId="0" borderId="0" xfId="0" applyFont="1"/>
    <xf numFmtId="0" fontId="12" fillId="0" borderId="0" xfId="0" applyFont="1"/>
    <xf numFmtId="0" fontId="13" fillId="0" borderId="0" xfId="0" applyFont="1" applyAlignment="1">
      <alignment horizontal="left"/>
    </xf>
    <xf numFmtId="0" fontId="3" fillId="0" borderId="5" xfId="0" applyFont="1" applyBorder="1" applyAlignment="1">
      <alignment horizontal="left"/>
    </xf>
    <xf numFmtId="0" fontId="12" fillId="0" borderId="5" xfId="0" applyFont="1" applyBorder="1"/>
    <xf numFmtId="0" fontId="14" fillId="0" borderId="0" xfId="0" applyFont="1" applyAlignment="1">
      <alignment horizontal="right"/>
    </xf>
    <xf numFmtId="164" fontId="14" fillId="0" borderId="0" xfId="1" applyNumberFormat="1" applyFont="1"/>
    <xf numFmtId="9" fontId="14" fillId="0" borderId="0" xfId="0" applyNumberFormat="1" applyFont="1"/>
    <xf numFmtId="165" fontId="6" fillId="0" borderId="0" xfId="3" applyNumberFormat="1" applyFont="1"/>
    <xf numFmtId="167" fontId="0" fillId="0" borderId="0" xfId="1" applyNumberFormat="1" applyFont="1"/>
    <xf numFmtId="169" fontId="0" fillId="0" borderId="0" xfId="1" applyNumberFormat="1" applyFont="1"/>
    <xf numFmtId="169" fontId="0" fillId="0" borderId="2" xfId="1" applyNumberFormat="1" applyFont="1" applyBorder="1"/>
    <xf numFmtId="9" fontId="0" fillId="3" borderId="2" xfId="3" applyFont="1" applyFill="1" applyBorder="1" applyAlignment="1">
      <alignment horizontal="center"/>
    </xf>
    <xf numFmtId="168" fontId="14" fillId="0" borderId="0" xfId="1" applyNumberFormat="1" applyFont="1"/>
    <xf numFmtId="0" fontId="0" fillId="4" borderId="0" xfId="0" applyFill="1"/>
    <xf numFmtId="164" fontId="0" fillId="4" borderId="0" xfId="1" applyNumberFormat="1" applyFont="1" applyFill="1"/>
    <xf numFmtId="9" fontId="0" fillId="4" borderId="0" xfId="3" applyFont="1" applyFill="1"/>
    <xf numFmtId="43" fontId="0" fillId="4" borderId="0" xfId="0" applyNumberFormat="1" applyFill="1"/>
    <xf numFmtId="10" fontId="0" fillId="4" borderId="0" xfId="3" applyNumberFormat="1" applyFont="1" applyFill="1"/>
    <xf numFmtId="10" fontId="0" fillId="4" borderId="0" xfId="0" applyNumberFormat="1" applyFill="1" applyAlignment="1">
      <alignment horizontal="center"/>
    </xf>
    <xf numFmtId="0" fontId="0" fillId="4" borderId="0" xfId="0" applyFill="1" applyAlignment="1">
      <alignment horizontal="center" vertical="center" wrapText="1"/>
    </xf>
    <xf numFmtId="165" fontId="0" fillId="4" borderId="0" xfId="0" applyNumberFormat="1" applyFill="1"/>
    <xf numFmtId="165" fontId="0" fillId="4" borderId="0" xfId="2" applyNumberFormat="1" applyFont="1" applyFill="1"/>
    <xf numFmtId="0" fontId="8" fillId="5" borderId="2" xfId="0" applyFont="1" applyFill="1" applyBorder="1" applyAlignment="1">
      <alignment horizontal="left"/>
    </xf>
    <xf numFmtId="44" fontId="8" fillId="5" borderId="2" xfId="2" applyFont="1" applyFill="1" applyBorder="1" applyAlignment="1">
      <alignment horizontal="center"/>
    </xf>
    <xf numFmtId="44" fontId="8" fillId="5" borderId="2" xfId="2" applyFont="1" applyFill="1" applyBorder="1"/>
    <xf numFmtId="0" fontId="8" fillId="5" borderId="2" xfId="0" applyFont="1" applyFill="1" applyBorder="1"/>
    <xf numFmtId="164" fontId="3" fillId="0" borderId="5" xfId="1" applyNumberFormat="1" applyFont="1" applyFill="1" applyBorder="1"/>
    <xf numFmtId="165" fontId="3" fillId="0" borderId="5" xfId="2" applyNumberFormat="1" applyFont="1" applyFill="1" applyBorder="1"/>
    <xf numFmtId="9" fontId="3" fillId="0" borderId="5" xfId="3" applyFont="1" applyFill="1" applyBorder="1" applyAlignment="1">
      <alignment horizontal="center"/>
    </xf>
    <xf numFmtId="165" fontId="13" fillId="0" borderId="5" xfId="2" applyNumberFormat="1" applyFont="1" applyFill="1" applyBorder="1"/>
    <xf numFmtId="165" fontId="3" fillId="0" borderId="5" xfId="0" applyNumberFormat="1" applyFont="1" applyBorder="1"/>
    <xf numFmtId="0" fontId="3" fillId="0" borderId="5" xfId="0" applyFont="1" applyBorder="1"/>
    <xf numFmtId="164" fontId="3" fillId="0" borderId="6" xfId="1" applyNumberFormat="1" applyFont="1" applyBorder="1"/>
    <xf numFmtId="165" fontId="3" fillId="0" borderId="6" xfId="0" applyNumberFormat="1" applyFont="1" applyBorder="1"/>
    <xf numFmtId="44" fontId="3" fillId="0" borderId="6" xfId="0" applyNumberFormat="1" applyFont="1" applyBorder="1"/>
    <xf numFmtId="165" fontId="13" fillId="0" borderId="6" xfId="2" applyNumberFormat="1" applyFont="1" applyFill="1" applyBorder="1"/>
    <xf numFmtId="0" fontId="3" fillId="0" borderId="6" xfId="0" applyFont="1" applyBorder="1"/>
    <xf numFmtId="0" fontId="10" fillId="0" borderId="2" xfId="0" applyFont="1" applyBorder="1"/>
    <xf numFmtId="0" fontId="18" fillId="0" borderId="2" xfId="0" applyFont="1" applyBorder="1"/>
    <xf numFmtId="44" fontId="18" fillId="0" borderId="3" xfId="2" applyFont="1" applyFill="1" applyBorder="1" applyAlignment="1">
      <alignment horizontal="center"/>
    </xf>
    <xf numFmtId="10" fontId="18" fillId="0" borderId="2" xfId="0" applyNumberFormat="1" applyFont="1" applyBorder="1" applyAlignment="1">
      <alignment horizontal="center"/>
    </xf>
    <xf numFmtId="44" fontId="0" fillId="4" borderId="0" xfId="0" applyNumberFormat="1" applyFill="1"/>
    <xf numFmtId="44" fontId="0" fillId="4" borderId="0" xfId="2" applyFont="1" applyFill="1"/>
    <xf numFmtId="166" fontId="0" fillId="4" borderId="0" xfId="3" applyNumberFormat="1" applyFont="1" applyFill="1"/>
    <xf numFmtId="164" fontId="0" fillId="4" borderId="0" xfId="0" applyNumberFormat="1" applyFill="1"/>
    <xf numFmtId="0" fontId="3" fillId="0" borderId="1" xfId="0" applyFont="1" applyBorder="1"/>
    <xf numFmtId="165" fontId="14" fillId="0" borderId="0" xfId="2" applyNumberFormat="1" applyFont="1"/>
    <xf numFmtId="0" fontId="13" fillId="0" borderId="17" xfId="0" applyFont="1" applyBorder="1" applyAlignment="1">
      <alignment horizontal="left"/>
    </xf>
    <xf numFmtId="165" fontId="13" fillId="0" borderId="17" xfId="2" applyNumberFormat="1" applyFont="1" applyBorder="1"/>
    <xf numFmtId="164" fontId="13" fillId="0" borderId="17" xfId="1" applyNumberFormat="1" applyFont="1" applyBorder="1"/>
    <xf numFmtId="0" fontId="0" fillId="0" borderId="5" xfId="0" applyBorder="1"/>
    <xf numFmtId="165" fontId="6" fillId="0" borderId="5" xfId="2" applyNumberFormat="1" applyFont="1" applyBorder="1"/>
    <xf numFmtId="164" fontId="6" fillId="0" borderId="5" xfId="1" applyNumberFormat="1" applyFont="1" applyBorder="1"/>
    <xf numFmtId="0" fontId="3" fillId="0" borderId="17" xfId="0" applyFont="1" applyBorder="1" applyAlignment="1">
      <alignment horizontal="left"/>
    </xf>
    <xf numFmtId="164" fontId="3" fillId="0" borderId="17" xfId="0" applyNumberFormat="1" applyFont="1" applyBorder="1"/>
    <xf numFmtId="165" fontId="0" fillId="0" borderId="5" xfId="2" applyNumberFormat="1" applyFont="1" applyBorder="1"/>
    <xf numFmtId="164" fontId="11" fillId="0" borderId="5" xfId="0" applyNumberFormat="1" applyFont="1" applyBorder="1"/>
    <xf numFmtId="164" fontId="11" fillId="0" borderId="5" xfId="1" applyNumberFormat="1" applyFont="1" applyBorder="1"/>
    <xf numFmtId="0" fontId="12" fillId="0" borderId="17" xfId="0" applyFont="1" applyBorder="1"/>
    <xf numFmtId="164" fontId="12" fillId="0" borderId="17" xfId="0" applyNumberFormat="1" applyFont="1" applyBorder="1"/>
    <xf numFmtId="164" fontId="12" fillId="0" borderId="0" xfId="0" applyNumberFormat="1" applyFont="1"/>
    <xf numFmtId="0" fontId="3" fillId="0" borderId="17" xfId="0" applyFont="1" applyBorder="1"/>
    <xf numFmtId="167" fontId="0" fillId="0" borderId="5" xfId="1" applyNumberFormat="1" applyFont="1" applyBorder="1"/>
    <xf numFmtId="167" fontId="0" fillId="0" borderId="17" xfId="3" applyNumberFormat="1" applyFont="1" applyBorder="1"/>
    <xf numFmtId="9" fontId="3" fillId="0" borderId="0" xfId="0" applyNumberFormat="1" applyFont="1"/>
    <xf numFmtId="165" fontId="6" fillId="0" borderId="5" xfId="3" applyNumberFormat="1" applyFont="1" applyBorder="1"/>
    <xf numFmtId="6" fontId="6" fillId="0" borderId="0" xfId="0" applyNumberFormat="1" applyFont="1"/>
    <xf numFmtId="0" fontId="6" fillId="0" borderId="5" xfId="0" applyFont="1" applyBorder="1"/>
    <xf numFmtId="165" fontId="6" fillId="0" borderId="17" xfId="0" applyNumberFormat="1" applyFont="1" applyBorder="1"/>
    <xf numFmtId="0" fontId="13" fillId="0" borderId="17" xfId="0" applyFont="1" applyBorder="1"/>
    <xf numFmtId="165" fontId="0" fillId="0" borderId="5" xfId="0" applyNumberFormat="1" applyBorder="1"/>
    <xf numFmtId="0" fontId="0" fillId="0" borderId="17" xfId="0" applyBorder="1"/>
    <xf numFmtId="165" fontId="0" fillId="0" borderId="17" xfId="0" applyNumberFormat="1" applyBorder="1"/>
    <xf numFmtId="0" fontId="3" fillId="2" borderId="0" xfId="0" applyFont="1" applyFill="1" applyAlignment="1">
      <alignment horizontal="left"/>
    </xf>
    <xf numFmtId="14" fontId="3" fillId="2" borderId="0" xfId="0" applyNumberFormat="1" applyFont="1" applyFill="1"/>
    <xf numFmtId="14" fontId="3" fillId="2" borderId="0" xfId="0" applyNumberFormat="1" applyFont="1" applyFill="1" applyAlignment="1">
      <alignment horizontal="center"/>
    </xf>
    <xf numFmtId="9" fontId="3" fillId="2" borderId="0" xfId="3" applyFont="1" applyFill="1"/>
    <xf numFmtId="0" fontId="0" fillId="2" borderId="0" xfId="0" applyFill="1" applyAlignment="1">
      <alignment horizontal="left"/>
    </xf>
    <xf numFmtId="9" fontId="1" fillId="2" borderId="0" xfId="3" applyFont="1" applyFill="1"/>
    <xf numFmtId="9" fontId="4" fillId="0" borderId="5" xfId="3" applyFont="1" applyFill="1" applyBorder="1" applyAlignment="1">
      <alignment horizontal="center"/>
    </xf>
    <xf numFmtId="9" fontId="3" fillId="0" borderId="6" xfId="0" applyNumberFormat="1" applyFont="1" applyBorder="1" applyAlignment="1">
      <alignment horizontal="center"/>
    </xf>
    <xf numFmtId="165" fontId="0" fillId="0" borderId="0" xfId="1" applyNumberFormat="1" applyFont="1"/>
    <xf numFmtId="164" fontId="0" fillId="0" borderId="1" xfId="0" applyNumberFormat="1" applyBorder="1"/>
    <xf numFmtId="9" fontId="0" fillId="0" borderId="2" xfId="3" applyFont="1" applyBorder="1" applyAlignment="1">
      <alignment horizontal="right"/>
    </xf>
    <xf numFmtId="9" fontId="0" fillId="0" borderId="0" xfId="3" applyFont="1" applyBorder="1" applyAlignment="1">
      <alignment horizontal="center"/>
    </xf>
    <xf numFmtId="164" fontId="0" fillId="0" borderId="0" xfId="1" applyNumberFormat="1" applyFont="1" applyFill="1" applyBorder="1"/>
    <xf numFmtId="165" fontId="0" fillId="0" borderId="0" xfId="2" applyNumberFormat="1" applyFont="1" applyFill="1" applyBorder="1"/>
    <xf numFmtId="9" fontId="0" fillId="0" borderId="0" xfId="3" applyFont="1" applyFill="1" applyBorder="1" applyAlignment="1">
      <alignment horizontal="center"/>
    </xf>
    <xf numFmtId="165" fontId="0" fillId="0" borderId="0" xfId="2" applyNumberFormat="1" applyFont="1" applyFill="1" applyBorder="1" applyAlignment="1">
      <alignment horizontal="center"/>
    </xf>
    <xf numFmtId="164" fontId="0" fillId="0" borderId="0" xfId="1" applyNumberFormat="1" applyFont="1" applyBorder="1"/>
    <xf numFmtId="165" fontId="0" fillId="0" borderId="0" xfId="2" applyNumberFormat="1" applyFont="1" applyBorder="1"/>
    <xf numFmtId="165" fontId="6" fillId="0" borderId="0" xfId="2" applyNumberFormat="1" applyFont="1" applyFill="1" applyBorder="1"/>
    <xf numFmtId="9" fontId="22" fillId="0" borderId="0" xfId="3" applyFont="1" applyFill="1" applyBorder="1" applyAlignment="1">
      <alignment horizontal="center"/>
    </xf>
    <xf numFmtId="0" fontId="15" fillId="0" borderId="0" xfId="0" applyFont="1"/>
    <xf numFmtId="10" fontId="0" fillId="0" borderId="0" xfId="3" applyNumberFormat="1" applyFont="1" applyBorder="1" applyAlignment="1">
      <alignment horizontal="center"/>
    </xf>
    <xf numFmtId="170" fontId="0" fillId="0" borderId="0" xfId="0" applyNumberFormat="1"/>
    <xf numFmtId="170" fontId="0" fillId="0" borderId="0" xfId="3" applyNumberFormat="1" applyFont="1"/>
    <xf numFmtId="44" fontId="3" fillId="6" borderId="2" xfId="2" applyFont="1" applyFill="1" applyBorder="1" applyAlignment="1">
      <alignment horizontal="center"/>
    </xf>
    <xf numFmtId="0" fontId="3" fillId="6" borderId="2" xfId="0" applyFont="1" applyFill="1" applyBorder="1"/>
    <xf numFmtId="0" fontId="0" fillId="6" borderId="2" xfId="0" applyFill="1" applyBorder="1"/>
    <xf numFmtId="0" fontId="0" fillId="0" borderId="16" xfId="0" applyBorder="1"/>
    <xf numFmtId="0" fontId="0" fillId="0" borderId="2" xfId="0" applyBorder="1" applyAlignment="1">
      <alignment horizontal="right"/>
    </xf>
    <xf numFmtId="3" fontId="0" fillId="0" borderId="2" xfId="0" applyNumberFormat="1" applyBorder="1" applyAlignment="1">
      <alignment horizontal="center"/>
    </xf>
    <xf numFmtId="167" fontId="0" fillId="0" borderId="2" xfId="0" applyNumberFormat="1" applyBorder="1" applyAlignment="1">
      <alignment horizontal="center"/>
    </xf>
    <xf numFmtId="3" fontId="3" fillId="0" borderId="2" xfId="0" applyNumberFormat="1" applyFont="1" applyBorder="1" applyAlignment="1">
      <alignment horizontal="center"/>
    </xf>
    <xf numFmtId="167" fontId="3" fillId="0" borderId="2" xfId="0" applyNumberFormat="1" applyFont="1" applyBorder="1" applyAlignment="1">
      <alignment horizontal="center"/>
    </xf>
    <xf numFmtId="9" fontId="0" fillId="0" borderId="2" xfId="3" applyFont="1" applyBorder="1" applyAlignment="1">
      <alignment horizontal="center"/>
    </xf>
    <xf numFmtId="9" fontId="1" fillId="0" borderId="2" xfId="3" applyFont="1" applyBorder="1"/>
    <xf numFmtId="3" fontId="0" fillId="0" borderId="0" xfId="0" applyNumberFormat="1"/>
    <xf numFmtId="3" fontId="0" fillId="0" borderId="1" xfId="0" applyNumberFormat="1" applyBorder="1"/>
    <xf numFmtId="164" fontId="0" fillId="0" borderId="0" xfId="0" applyNumberFormat="1" applyAlignment="1">
      <alignment horizontal="center"/>
    </xf>
    <xf numFmtId="0" fontId="0" fillId="0" borderId="4" xfId="0" applyBorder="1" applyAlignment="1">
      <alignment horizontal="center"/>
    </xf>
    <xf numFmtId="9" fontId="0" fillId="2" borderId="0" xfId="0" applyNumberFormat="1" applyFill="1"/>
    <xf numFmtId="43" fontId="0" fillId="2" borderId="4" xfId="0" applyNumberFormat="1" applyFill="1" applyBorder="1"/>
    <xf numFmtId="165" fontId="0" fillId="0" borderId="3" xfId="0" applyNumberFormat="1" applyBorder="1"/>
    <xf numFmtId="3" fontId="3" fillId="0" borderId="1" xfId="0" applyNumberFormat="1" applyFont="1" applyBorder="1"/>
    <xf numFmtId="164" fontId="0" fillId="0" borderId="13" xfId="0" applyNumberFormat="1" applyBorder="1"/>
    <xf numFmtId="165" fontId="0" fillId="0" borderId="14" xfId="2" applyNumberFormat="1" applyFont="1" applyBorder="1"/>
    <xf numFmtId="0" fontId="3" fillId="0" borderId="5" xfId="0" applyFont="1" applyBorder="1" applyAlignment="1">
      <alignment horizontal="right"/>
    </xf>
    <xf numFmtId="3" fontId="0" fillId="0" borderId="5" xfId="0" applyNumberFormat="1" applyBorder="1"/>
    <xf numFmtId="9" fontId="0" fillId="0" borderId="5" xfId="3" applyFont="1" applyBorder="1" applyAlignment="1">
      <alignment horizontal="center"/>
    </xf>
    <xf numFmtId="0" fontId="0" fillId="0" borderId="5" xfId="0" applyBorder="1" applyAlignment="1">
      <alignment horizontal="center"/>
    </xf>
    <xf numFmtId="0" fontId="3" fillId="0" borderId="6" xfId="0" applyFont="1" applyBorder="1" applyAlignment="1">
      <alignment horizontal="right"/>
    </xf>
    <xf numFmtId="3" fontId="0" fillId="0" borderId="6" xfId="0" applyNumberFormat="1" applyBorder="1"/>
    <xf numFmtId="0" fontId="0" fillId="0" borderId="6" xfId="0" applyBorder="1"/>
    <xf numFmtId="164" fontId="0" fillId="0" borderId="6" xfId="1" applyNumberFormat="1" applyFont="1" applyBorder="1"/>
    <xf numFmtId="10" fontId="0" fillId="0" borderId="5" xfId="3" applyNumberFormat="1" applyFont="1" applyBorder="1"/>
    <xf numFmtId="165" fontId="0" fillId="0" borderId="6" xfId="2" applyNumberFormat="1" applyFont="1" applyBorder="1"/>
    <xf numFmtId="3" fontId="25" fillId="0" borderId="0" xfId="0" applyNumberFormat="1" applyFont="1" applyAlignment="1">
      <alignment horizontal="center"/>
    </xf>
    <xf numFmtId="3" fontId="0" fillId="0" borderId="2" xfId="0" applyNumberFormat="1" applyBorder="1"/>
    <xf numFmtId="43" fontId="0" fillId="0" borderId="2" xfId="1" applyFont="1" applyBorder="1" applyAlignment="1">
      <alignment horizontal="center"/>
    </xf>
    <xf numFmtId="3" fontId="24" fillId="0" borderId="0" xfId="0" applyNumberFormat="1" applyFont="1" applyAlignment="1">
      <alignment horizontal="left"/>
    </xf>
    <xf numFmtId="3" fontId="3" fillId="0" borderId="0" xfId="0" applyNumberFormat="1" applyFont="1"/>
    <xf numFmtId="3" fontId="3" fillId="0" borderId="0" xfId="0" applyNumberFormat="1" applyFont="1" applyAlignment="1">
      <alignment horizontal="center"/>
    </xf>
    <xf numFmtId="0" fontId="0" fillId="0" borderId="18" xfId="0" applyBorder="1"/>
    <xf numFmtId="3" fontId="0" fillId="0" borderId="18" xfId="0" applyNumberFormat="1" applyBorder="1"/>
    <xf numFmtId="43" fontId="0" fillId="0" borderId="18" xfId="1" applyFont="1" applyBorder="1" applyAlignment="1">
      <alignment horizontal="center"/>
    </xf>
    <xf numFmtId="3" fontId="0" fillId="0" borderId="18" xfId="0" applyNumberFormat="1" applyBorder="1" applyAlignment="1">
      <alignment horizontal="center"/>
    </xf>
    <xf numFmtId="1" fontId="0" fillId="0" borderId="0" xfId="0" applyNumberFormat="1"/>
    <xf numFmtId="3" fontId="0" fillId="0" borderId="16" xfId="0" applyNumberFormat="1" applyBorder="1"/>
    <xf numFmtId="10" fontId="0" fillId="0" borderId="2" xfId="3" applyNumberFormat="1" applyFont="1" applyBorder="1"/>
    <xf numFmtId="0" fontId="3" fillId="0" borderId="0" xfId="0" applyFont="1" applyAlignment="1">
      <alignment horizontal="right"/>
    </xf>
    <xf numFmtId="4" fontId="0" fillId="0" borderId="0" xfId="1" applyNumberFormat="1" applyFont="1" applyBorder="1" applyAlignment="1">
      <alignment horizontal="center"/>
    </xf>
    <xf numFmtId="43" fontId="0" fillId="0" borderId="0" xfId="1" applyFont="1" applyBorder="1"/>
    <xf numFmtId="9" fontId="3" fillId="0" borderId="0" xfId="3" applyFont="1" applyBorder="1" applyAlignment="1">
      <alignment horizontal="center"/>
    </xf>
    <xf numFmtId="0" fontId="26" fillId="0" borderId="0" xfId="0" applyFont="1"/>
    <xf numFmtId="0" fontId="27" fillId="0" borderId="0" xfId="0" applyFont="1"/>
    <xf numFmtId="9" fontId="6" fillId="0" borderId="0" xfId="0" applyNumberFormat="1" applyFont="1" applyAlignment="1">
      <alignment horizontal="center"/>
    </xf>
    <xf numFmtId="9" fontId="6" fillId="0" borderId="0" xfId="0" applyNumberFormat="1" applyFont="1"/>
    <xf numFmtId="0" fontId="16" fillId="0" borderId="2" xfId="0" applyFont="1" applyBorder="1" applyAlignment="1">
      <alignment horizontal="right"/>
    </xf>
    <xf numFmtId="164" fontId="1" fillId="0" borderId="2" xfId="1" applyNumberFormat="1" applyFont="1" applyBorder="1"/>
    <xf numFmtId="164" fontId="0" fillId="0" borderId="2" xfId="0" applyNumberFormat="1" applyBorder="1"/>
    <xf numFmtId="165" fontId="0" fillId="0" borderId="2" xfId="0" applyNumberFormat="1" applyBorder="1" applyAlignment="1">
      <alignment horizontal="right"/>
    </xf>
    <xf numFmtId="165" fontId="1" fillId="0" borderId="2" xfId="2" applyNumberFormat="1" applyFont="1" applyBorder="1" applyAlignment="1">
      <alignment horizontal="right"/>
    </xf>
    <xf numFmtId="165" fontId="3" fillId="0" borderId="2" xfId="0" applyNumberFormat="1" applyFont="1" applyBorder="1" applyAlignment="1">
      <alignment horizontal="right"/>
    </xf>
    <xf numFmtId="165" fontId="3" fillId="0" borderId="2" xfId="2" applyNumberFormat="1" applyFont="1" applyBorder="1" applyAlignment="1">
      <alignment horizontal="right"/>
    </xf>
    <xf numFmtId="9" fontId="3" fillId="0" borderId="2" xfId="3" applyFont="1" applyBorder="1" applyAlignment="1">
      <alignment horizontal="right"/>
    </xf>
    <xf numFmtId="164" fontId="1" fillId="0" borderId="2" xfId="1" applyNumberFormat="1" applyFont="1" applyFill="1" applyBorder="1"/>
    <xf numFmtId="44" fontId="3" fillId="0" borderId="2" xfId="2" applyFont="1" applyBorder="1"/>
    <xf numFmtId="0" fontId="16" fillId="0" borderId="2" xfId="0" applyFont="1" applyBorder="1" applyAlignment="1">
      <alignment horizontal="center"/>
    </xf>
    <xf numFmtId="44" fontId="8" fillId="5" borderId="0" xfId="2" applyFont="1" applyFill="1" applyBorder="1" applyAlignment="1">
      <alignment horizontal="center"/>
    </xf>
    <xf numFmtId="44" fontId="8" fillId="5" borderId="0" xfId="2" applyFont="1" applyFill="1" applyBorder="1"/>
    <xf numFmtId="9" fontId="4" fillId="0" borderId="0" xfId="3" applyFont="1" applyFill="1" applyBorder="1" applyAlignment="1">
      <alignment horizontal="center"/>
    </xf>
    <xf numFmtId="9" fontId="3" fillId="0" borderId="0" xfId="3" applyFont="1" applyFill="1" applyBorder="1" applyAlignment="1">
      <alignment horizontal="center"/>
    </xf>
    <xf numFmtId="10" fontId="0" fillId="0" borderId="0" xfId="3" applyNumberFormat="1" applyFont="1" applyFill="1" applyBorder="1" applyAlignment="1">
      <alignment horizontal="center"/>
    </xf>
    <xf numFmtId="164" fontId="3" fillId="0" borderId="0" xfId="1" applyNumberFormat="1" applyFont="1" applyFill="1" applyBorder="1" applyAlignment="1">
      <alignment horizontal="center" vertical="center"/>
    </xf>
    <xf numFmtId="165" fontId="3" fillId="0" borderId="0" xfId="2" applyNumberFormat="1" applyFont="1" applyFill="1" applyBorder="1" applyAlignment="1">
      <alignment horizontal="center" vertical="center"/>
    </xf>
    <xf numFmtId="44" fontId="0" fillId="0" borderId="0" xfId="2" applyFont="1" applyFill="1" applyBorder="1" applyAlignment="1">
      <alignment horizontal="center"/>
    </xf>
    <xf numFmtId="165" fontId="3" fillId="0" borderId="0" xfId="2" applyNumberFormat="1" applyFont="1" applyFill="1" applyBorder="1"/>
    <xf numFmtId="165" fontId="13" fillId="0" borderId="0" xfId="2" applyNumberFormat="1" applyFont="1" applyFill="1" applyBorder="1"/>
    <xf numFmtId="164" fontId="3" fillId="0" borderId="0" xfId="1" applyNumberFormat="1" applyFont="1" applyBorder="1"/>
    <xf numFmtId="0" fontId="3" fillId="0" borderId="6" xfId="0" applyFont="1" applyBorder="1" applyAlignment="1">
      <alignment horizontal="left"/>
    </xf>
    <xf numFmtId="3" fontId="0" fillId="0" borderId="2" xfId="0" applyNumberFormat="1" applyBorder="1" applyAlignment="1">
      <alignment horizontal="right"/>
    </xf>
    <xf numFmtId="9" fontId="3" fillId="0" borderId="2" xfId="0" applyNumberFormat="1" applyFont="1" applyBorder="1" applyAlignment="1">
      <alignment horizontal="right"/>
    </xf>
    <xf numFmtId="0" fontId="3" fillId="0" borderId="19" xfId="0" applyFont="1" applyBorder="1"/>
    <xf numFmtId="0" fontId="3" fillId="0" borderId="20" xfId="0" applyFont="1" applyBorder="1"/>
    <xf numFmtId="0" fontId="3" fillId="0" borderId="21" xfId="0" applyFont="1" applyBorder="1"/>
    <xf numFmtId="0" fontId="0" fillId="0" borderId="22" xfId="0" applyBorder="1"/>
    <xf numFmtId="165" fontId="0" fillId="0" borderId="23" xfId="0" applyNumberFormat="1" applyBorder="1"/>
    <xf numFmtId="0" fontId="3" fillId="0" borderId="22" xfId="0" applyFont="1" applyBorder="1" applyAlignment="1">
      <alignment horizontal="right"/>
    </xf>
    <xf numFmtId="165" fontId="0" fillId="0" borderId="23" xfId="2" applyNumberFormat="1" applyFont="1" applyBorder="1"/>
    <xf numFmtId="164" fontId="0" fillId="0" borderId="22" xfId="0" applyNumberFormat="1" applyBorder="1"/>
    <xf numFmtId="0" fontId="3" fillId="0" borderId="24" xfId="0" applyFont="1" applyBorder="1" applyAlignment="1">
      <alignment horizontal="right"/>
    </xf>
    <xf numFmtId="0" fontId="0" fillId="0" borderId="25" xfId="0" applyBorder="1"/>
    <xf numFmtId="165" fontId="0" fillId="0" borderId="25" xfId="0" applyNumberFormat="1" applyBorder="1"/>
    <xf numFmtId="165" fontId="0" fillId="0" borderId="26" xfId="0" applyNumberFormat="1" applyBorder="1"/>
    <xf numFmtId="0" fontId="0" fillId="0" borderId="19" xfId="0" applyBorder="1"/>
    <xf numFmtId="164" fontId="0" fillId="0" borderId="20" xfId="0" applyNumberFormat="1" applyBorder="1"/>
    <xf numFmtId="0" fontId="0" fillId="0" borderId="20" xfId="0" applyBorder="1"/>
    <xf numFmtId="0" fontId="0" fillId="0" borderId="21" xfId="0" applyBorder="1"/>
    <xf numFmtId="0" fontId="0" fillId="0" borderId="23" xfId="0" applyBorder="1"/>
    <xf numFmtId="44" fontId="0" fillId="0" borderId="23" xfId="0" applyNumberFormat="1" applyBorder="1"/>
    <xf numFmtId="0" fontId="0" fillId="0" borderId="24" xfId="0" applyBorder="1"/>
    <xf numFmtId="0" fontId="0" fillId="0" borderId="26" xfId="0" applyBorder="1"/>
    <xf numFmtId="3" fontId="0" fillId="0" borderId="0" xfId="0" applyNumberFormat="1" applyAlignment="1">
      <alignment horizontal="center"/>
    </xf>
    <xf numFmtId="9" fontId="3" fillId="0" borderId="2" xfId="3" applyFont="1" applyBorder="1" applyAlignment="1">
      <alignment horizontal="center"/>
    </xf>
    <xf numFmtId="43" fontId="28" fillId="0" borderId="2" xfId="1" applyFont="1" applyBorder="1"/>
    <xf numFmtId="0" fontId="16" fillId="0" borderId="0" xfId="0" applyFont="1"/>
    <xf numFmtId="0" fontId="16" fillId="0" borderId="0" xfId="0" applyFont="1" applyAlignment="1">
      <alignment horizontal="center"/>
    </xf>
    <xf numFmtId="164" fontId="0" fillId="4" borderId="0" xfId="1" applyNumberFormat="1" applyFont="1" applyFill="1" applyBorder="1"/>
    <xf numFmtId="9" fontId="0" fillId="4" borderId="0" xfId="3" applyFont="1" applyFill="1" applyBorder="1"/>
    <xf numFmtId="44" fontId="13" fillId="4" borderId="0" xfId="0" applyNumberFormat="1" applyFont="1" applyFill="1"/>
    <xf numFmtId="10" fontId="13" fillId="4" borderId="0" xfId="0" applyNumberFormat="1" applyFont="1" applyFill="1" applyAlignment="1">
      <alignment horizontal="left"/>
    </xf>
    <xf numFmtId="0" fontId="13" fillId="4" borderId="0" xfId="0" applyFont="1" applyFill="1" applyAlignment="1">
      <alignment horizontal="left" vertical="center"/>
    </xf>
    <xf numFmtId="10" fontId="0" fillId="4" borderId="0" xfId="3" applyNumberFormat="1" applyFont="1" applyFill="1" applyBorder="1"/>
    <xf numFmtId="165" fontId="0" fillId="4" borderId="0" xfId="2" applyNumberFormat="1" applyFont="1" applyFill="1" applyBorder="1"/>
    <xf numFmtId="43" fontId="28" fillId="0" borderId="2" xfId="0" applyNumberFormat="1" applyFont="1" applyBorder="1" applyAlignment="1">
      <alignment horizontal="center"/>
    </xf>
    <xf numFmtId="3" fontId="0" fillId="0" borderId="0" xfId="0" applyNumberFormat="1" applyAlignment="1">
      <alignment horizontal="left"/>
    </xf>
    <xf numFmtId="164" fontId="0" fillId="0" borderId="0" xfId="0" applyNumberFormat="1" applyAlignment="1">
      <alignment horizontal="left"/>
    </xf>
    <xf numFmtId="165" fontId="0" fillId="0" borderId="0" xfId="2" applyNumberFormat="1" applyFont="1" applyAlignment="1">
      <alignment horizontal="left"/>
    </xf>
    <xf numFmtId="165" fontId="0" fillId="0" borderId="5" xfId="2" applyNumberFormat="1" applyFont="1" applyBorder="1" applyAlignment="1">
      <alignment horizontal="left"/>
    </xf>
    <xf numFmtId="165" fontId="0" fillId="0" borderId="6" xfId="2" applyNumberFormat="1" applyFont="1" applyBorder="1" applyAlignment="1">
      <alignment horizontal="left"/>
    </xf>
    <xf numFmtId="164" fontId="0" fillId="0" borderId="0" xfId="1" applyNumberFormat="1" applyFont="1" applyAlignment="1">
      <alignment horizontal="left"/>
    </xf>
    <xf numFmtId="165" fontId="0" fillId="0" borderId="0" xfId="2" applyNumberFormat="1" applyFont="1" applyBorder="1" applyAlignment="1">
      <alignment horizontal="left"/>
    </xf>
    <xf numFmtId="165" fontId="0" fillId="0" borderId="5" xfId="0" applyNumberFormat="1" applyBorder="1" applyAlignment="1">
      <alignment horizontal="left"/>
    </xf>
    <xf numFmtId="5" fontId="0" fillId="0" borderId="0" xfId="2" applyNumberFormat="1" applyFont="1" applyBorder="1" applyAlignment="1">
      <alignment horizontal="center"/>
    </xf>
    <xf numFmtId="0" fontId="3" fillId="0" borderId="20" xfId="0" applyFont="1" applyBorder="1" applyAlignment="1">
      <alignment horizontal="right"/>
    </xf>
    <xf numFmtId="14" fontId="3" fillId="0" borderId="20" xfId="0" applyNumberFormat="1" applyFont="1" applyBorder="1" applyAlignment="1">
      <alignment horizontal="left"/>
    </xf>
    <xf numFmtId="0" fontId="8" fillId="5" borderId="0" xfId="0" applyFont="1" applyFill="1" applyAlignment="1">
      <alignment horizontal="left"/>
    </xf>
    <xf numFmtId="0" fontId="8" fillId="5" borderId="0" xfId="0" applyFont="1" applyFill="1"/>
    <xf numFmtId="165" fontId="3" fillId="0" borderId="0" xfId="0" applyNumberFormat="1" applyFont="1"/>
    <xf numFmtId="0" fontId="16" fillId="0" borderId="0" xfId="0" applyFont="1" applyAlignment="1">
      <alignment horizontal="left" vertical="center"/>
    </xf>
    <xf numFmtId="0" fontId="16" fillId="0" borderId="0" xfId="0" applyFont="1" applyAlignment="1">
      <alignment horizontal="center" vertical="center" wrapText="1"/>
    </xf>
    <xf numFmtId="0" fontId="21" fillId="0" borderId="0" xfId="0" applyFont="1" applyAlignment="1">
      <alignment horizontal="center" vertical="center" wrapText="1"/>
    </xf>
    <xf numFmtId="1" fontId="3" fillId="0" borderId="0" xfId="0" applyNumberFormat="1" applyFont="1"/>
    <xf numFmtId="0" fontId="4" fillId="0" borderId="0" xfId="0" applyFont="1"/>
    <xf numFmtId="9" fontId="4" fillId="0" borderId="0" xfId="0" applyNumberFormat="1" applyFont="1" applyAlignment="1">
      <alignment horizontal="center"/>
    </xf>
    <xf numFmtId="9" fontId="3" fillId="0" borderId="0" xfId="0" applyNumberFormat="1" applyFont="1" applyAlignment="1">
      <alignment horizontal="center"/>
    </xf>
    <xf numFmtId="0" fontId="30" fillId="0" borderId="0" xfId="0" applyFont="1"/>
    <xf numFmtId="10" fontId="0" fillId="0" borderId="23" xfId="3" applyNumberFormat="1" applyFont="1" applyBorder="1"/>
    <xf numFmtId="0" fontId="3" fillId="0" borderId="23" xfId="0" applyFont="1" applyBorder="1"/>
    <xf numFmtId="10" fontId="0" fillId="0" borderId="22" xfId="0" applyNumberFormat="1" applyBorder="1" applyAlignment="1">
      <alignment horizontal="center"/>
    </xf>
    <xf numFmtId="10" fontId="0" fillId="0" borderId="0" xfId="0" applyNumberFormat="1" applyAlignment="1">
      <alignment horizontal="center"/>
    </xf>
    <xf numFmtId="44" fontId="0" fillId="0" borderId="23" xfId="2" applyFont="1" applyBorder="1" applyAlignment="1">
      <alignment horizontal="center"/>
    </xf>
    <xf numFmtId="166" fontId="0" fillId="0" borderId="22" xfId="3" applyNumberFormat="1" applyFont="1" applyBorder="1" applyAlignment="1">
      <alignment horizontal="right"/>
    </xf>
    <xf numFmtId="0" fontId="0" fillId="0" borderId="22" xfId="0" applyBorder="1" applyAlignment="1">
      <alignment horizontal="center" vertical="center" wrapText="1"/>
    </xf>
    <xf numFmtId="0" fontId="3" fillId="0" borderId="0" xfId="0" applyFont="1" applyAlignment="1">
      <alignment horizontal="center" vertical="center" wrapText="1"/>
    </xf>
    <xf numFmtId="0" fontId="0" fillId="0" borderId="23" xfId="0" applyBorder="1" applyAlignment="1">
      <alignment horizontal="center" vertical="center" wrapText="1"/>
    </xf>
    <xf numFmtId="165" fontId="0" fillId="0" borderId="22" xfId="0" applyNumberFormat="1" applyBorder="1"/>
    <xf numFmtId="9" fontId="0" fillId="0" borderId="22" xfId="3" applyFont="1" applyBorder="1"/>
    <xf numFmtId="0" fontId="6" fillId="4" borderId="0" xfId="0" applyFont="1" applyFill="1"/>
    <xf numFmtId="164" fontId="3" fillId="4" borderId="0" xfId="0" applyNumberFormat="1" applyFont="1" applyFill="1"/>
    <xf numFmtId="10" fontId="0" fillId="4" borderId="0" xfId="0" applyNumberFormat="1" applyFill="1"/>
    <xf numFmtId="0" fontId="10" fillId="0" borderId="2" xfId="0" applyFont="1" applyBorder="1" applyAlignment="1">
      <alignment horizontal="center"/>
    </xf>
    <xf numFmtId="164" fontId="0" fillId="0" borderId="2" xfId="0" applyNumberFormat="1" applyBorder="1" applyAlignment="1">
      <alignment horizontal="right"/>
    </xf>
    <xf numFmtId="164" fontId="3" fillId="0" borderId="2" xfId="1" applyNumberFormat="1" applyFont="1" applyBorder="1"/>
    <xf numFmtId="9" fontId="3" fillId="0" borderId="2" xfId="3" applyFont="1" applyBorder="1" applyAlignment="1"/>
    <xf numFmtId="43" fontId="3" fillId="0" borderId="2" xfId="1" applyFont="1" applyBorder="1" applyAlignment="1">
      <alignment horizontal="right"/>
    </xf>
    <xf numFmtId="165" fontId="3" fillId="0" borderId="2" xfId="3" applyNumberFormat="1" applyFont="1" applyBorder="1" applyAlignment="1">
      <alignment horizontal="center"/>
    </xf>
    <xf numFmtId="0" fontId="7" fillId="0" borderId="0" xfId="0" applyFont="1"/>
    <xf numFmtId="0" fontId="16" fillId="0" borderId="0" xfId="0" applyFont="1" applyAlignment="1">
      <alignment horizontal="center" vertical="center"/>
    </xf>
    <xf numFmtId="164" fontId="0" fillId="0" borderId="25" xfId="1" applyNumberFormat="1" applyFont="1" applyBorder="1"/>
    <xf numFmtId="10" fontId="0" fillId="0" borderId="25" xfId="3" applyNumberFormat="1" applyFont="1" applyBorder="1"/>
    <xf numFmtId="164" fontId="3" fillId="0" borderId="0" xfId="1" applyNumberFormat="1" applyFont="1" applyFill="1" applyBorder="1"/>
    <xf numFmtId="165" fontId="3" fillId="0" borderId="0" xfId="2" applyNumberFormat="1" applyFont="1" applyBorder="1"/>
    <xf numFmtId="44" fontId="3" fillId="0" borderId="0" xfId="0" applyNumberFormat="1" applyFont="1"/>
    <xf numFmtId="0" fontId="10" fillId="0" borderId="23" xfId="0" applyFont="1" applyBorder="1"/>
    <xf numFmtId="10" fontId="18" fillId="0" borderId="23" xfId="0" applyNumberFormat="1" applyFont="1" applyBorder="1" applyAlignment="1">
      <alignment horizontal="center"/>
    </xf>
    <xf numFmtId="165" fontId="23" fillId="0" borderId="2" xfId="0" applyNumberFormat="1" applyFont="1" applyBorder="1"/>
    <xf numFmtId="165" fontId="18" fillId="0" borderId="2" xfId="0" applyNumberFormat="1" applyFont="1" applyBorder="1"/>
    <xf numFmtId="9" fontId="0" fillId="0" borderId="2" xfId="3" applyFont="1" applyFill="1" applyBorder="1"/>
    <xf numFmtId="0" fontId="8" fillId="7" borderId="27" xfId="0" applyFont="1" applyFill="1" applyBorder="1" applyAlignment="1">
      <alignment horizontal="center"/>
    </xf>
    <xf numFmtId="0" fontId="9" fillId="4" borderId="0" xfId="0" applyFont="1" applyFill="1"/>
    <xf numFmtId="0" fontId="3" fillId="4" borderId="0" xfId="0" applyFont="1" applyFill="1"/>
    <xf numFmtId="0" fontId="17" fillId="4" borderId="0" xfId="0" applyFont="1" applyFill="1" applyAlignment="1">
      <alignment horizontal="left"/>
    </xf>
    <xf numFmtId="3" fontId="3" fillId="4" borderId="0" xfId="0" applyNumberFormat="1" applyFont="1" applyFill="1" applyAlignment="1">
      <alignment horizontal="center"/>
    </xf>
    <xf numFmtId="167" fontId="3" fillId="4" borderId="0" xfId="0" applyNumberFormat="1" applyFont="1" applyFill="1" applyAlignment="1">
      <alignment horizontal="center"/>
    </xf>
    <xf numFmtId="0" fontId="0" fillId="4" borderId="0" xfId="0" applyFill="1" applyAlignment="1">
      <alignment horizontal="left"/>
    </xf>
    <xf numFmtId="44" fontId="0" fillId="4" borderId="0" xfId="2" applyFont="1" applyFill="1" applyBorder="1"/>
    <xf numFmtId="44" fontId="0" fillId="4" borderId="0" xfId="0" applyNumberFormat="1" applyFill="1" applyAlignment="1">
      <alignment horizontal="center"/>
    </xf>
    <xf numFmtId="0" fontId="5" fillId="4" borderId="0" xfId="0" applyFont="1" applyFill="1" applyAlignment="1">
      <alignment horizontal="left"/>
    </xf>
    <xf numFmtId="44" fontId="18" fillId="0" borderId="2" xfId="2" applyFont="1" applyFill="1" applyBorder="1" applyAlignment="1">
      <alignment horizontal="center"/>
    </xf>
    <xf numFmtId="0" fontId="18" fillId="4" borderId="0" xfId="0" applyFont="1" applyFill="1"/>
    <xf numFmtId="0" fontId="18" fillId="0" borderId="0" xfId="0" applyFont="1"/>
    <xf numFmtId="0" fontId="0" fillId="0" borderId="3" xfId="0" applyBorder="1"/>
    <xf numFmtId="0" fontId="0" fillId="0" borderId="13" xfId="0" applyBorder="1"/>
    <xf numFmtId="8" fontId="0" fillId="0" borderId="0" xfId="0" applyNumberFormat="1"/>
    <xf numFmtId="3" fontId="0" fillId="0" borderId="10" xfId="0" applyNumberFormat="1" applyBorder="1"/>
    <xf numFmtId="0" fontId="0" fillId="0" borderId="12" xfId="0" applyBorder="1"/>
    <xf numFmtId="164" fontId="0" fillId="0" borderId="4" xfId="1" applyNumberFormat="1" applyFont="1" applyBorder="1"/>
    <xf numFmtId="0" fontId="0" fillId="0" borderId="1" xfId="0" applyBorder="1" applyAlignment="1">
      <alignment horizontal="left"/>
    </xf>
    <xf numFmtId="3" fontId="0" fillId="0" borderId="13" xfId="0" applyNumberFormat="1" applyBorder="1"/>
    <xf numFmtId="164" fontId="0" fillId="0" borderId="15" xfId="0" applyNumberFormat="1" applyBorder="1"/>
    <xf numFmtId="0" fontId="3" fillId="3" borderId="2" xfId="0" applyFont="1" applyFill="1" applyBorder="1" applyProtection="1">
      <protection locked="0"/>
    </xf>
    <xf numFmtId="44" fontId="1" fillId="3" borderId="2" xfId="2" applyFont="1" applyFill="1" applyBorder="1" applyAlignment="1" applyProtection="1">
      <alignment horizontal="center"/>
      <protection locked="0"/>
    </xf>
    <xf numFmtId="10" fontId="0" fillId="3" borderId="2" xfId="0" applyNumberFormat="1" applyFill="1" applyBorder="1" applyAlignment="1" applyProtection="1">
      <alignment horizontal="center"/>
      <protection locked="0"/>
    </xf>
    <xf numFmtId="44" fontId="3" fillId="6" borderId="2" xfId="2" applyFont="1" applyFill="1" applyBorder="1" applyAlignment="1" applyProtection="1">
      <alignment horizontal="center"/>
    </xf>
    <xf numFmtId="0" fontId="0" fillId="3" borderId="2" xfId="0" applyFill="1" applyBorder="1" applyProtection="1">
      <protection locked="0"/>
    </xf>
    <xf numFmtId="44" fontId="1" fillId="3" borderId="3" xfId="2" applyFont="1" applyFill="1" applyBorder="1" applyAlignment="1" applyProtection="1">
      <alignment horizontal="center"/>
      <protection locked="0"/>
    </xf>
    <xf numFmtId="0" fontId="37" fillId="7" borderId="2" xfId="0" applyFont="1" applyFill="1" applyBorder="1" applyAlignment="1">
      <alignment horizontal="center"/>
    </xf>
    <xf numFmtId="0" fontId="38" fillId="3" borderId="2" xfId="0" applyFont="1" applyFill="1" applyBorder="1" applyAlignment="1">
      <alignment horizontal="center"/>
    </xf>
    <xf numFmtId="0" fontId="36" fillId="7" borderId="7" xfId="0" applyFont="1" applyFill="1" applyBorder="1" applyAlignment="1">
      <alignment horizontal="center"/>
    </xf>
    <xf numFmtId="0" fontId="36" fillId="7" borderId="8" xfId="0" applyFont="1" applyFill="1" applyBorder="1" applyAlignment="1">
      <alignment horizontal="center"/>
    </xf>
    <xf numFmtId="0" fontId="36" fillId="7" borderId="9" xfId="0" applyFont="1" applyFill="1" applyBorder="1" applyAlignment="1">
      <alignment horizontal="center"/>
    </xf>
    <xf numFmtId="10" fontId="37" fillId="7" borderId="2" xfId="0" applyNumberFormat="1" applyFont="1" applyFill="1" applyBorder="1" applyAlignment="1">
      <alignment horizontal="center"/>
    </xf>
    <xf numFmtId="0" fontId="3" fillId="0" borderId="2" xfId="0" applyFont="1" applyBorder="1" applyAlignment="1">
      <alignment horizontal="center"/>
    </xf>
    <xf numFmtId="165" fontId="0" fillId="0" borderId="2" xfId="0" applyNumberFormat="1" applyBorder="1"/>
    <xf numFmtId="165" fontId="3" fillId="0" borderId="2" xfId="0" applyNumberFormat="1" applyFont="1" applyBorder="1"/>
    <xf numFmtId="9" fontId="3" fillId="0" borderId="2" xfId="3" applyFont="1" applyBorder="1" applyAlignment="1">
      <alignment horizontal="right"/>
    </xf>
    <xf numFmtId="0" fontId="3" fillId="0" borderId="0" xfId="0" applyFont="1"/>
    <xf numFmtId="0" fontId="35" fillId="9" borderId="7" xfId="0" applyFont="1" applyFill="1" applyBorder="1" applyAlignment="1">
      <alignment horizontal="center"/>
    </xf>
    <xf numFmtId="0" fontId="35" fillId="9" borderId="8" xfId="0" applyFont="1" applyFill="1" applyBorder="1" applyAlignment="1">
      <alignment horizontal="center"/>
    </xf>
    <xf numFmtId="0" fontId="35" fillId="9" borderId="9" xfId="0" applyFont="1" applyFill="1" applyBorder="1" applyAlignment="1">
      <alignment horizontal="center"/>
    </xf>
    <xf numFmtId="0" fontId="33" fillId="8" borderId="7" xfId="0" applyFont="1" applyFill="1" applyBorder="1" applyAlignment="1">
      <alignment horizontal="center"/>
    </xf>
    <xf numFmtId="0" fontId="33" fillId="8" borderId="8" xfId="0" applyFont="1" applyFill="1" applyBorder="1" applyAlignment="1">
      <alignment horizontal="center"/>
    </xf>
    <xf numFmtId="0" fontId="33" fillId="8" borderId="9" xfId="0" applyFont="1" applyFill="1" applyBorder="1" applyAlignment="1">
      <alignment horizontal="center"/>
    </xf>
    <xf numFmtId="0" fontId="3" fillId="0" borderId="0" xfId="0" applyFont="1" applyAlignment="1">
      <alignment horizontal="center"/>
    </xf>
    <xf numFmtId="10" fontId="8" fillId="5" borderId="10" xfId="0" applyNumberFormat="1" applyFont="1" applyFill="1" applyBorder="1" applyAlignment="1">
      <alignment horizontal="center"/>
    </xf>
    <xf numFmtId="10" fontId="8" fillId="5" borderId="11" xfId="0" applyNumberFormat="1" applyFont="1" applyFill="1" applyBorder="1" applyAlignment="1">
      <alignment horizontal="center"/>
    </xf>
    <xf numFmtId="10" fontId="8" fillId="5" borderId="12" xfId="0" applyNumberFormat="1" applyFont="1" applyFill="1" applyBorder="1" applyAlignment="1">
      <alignment horizontal="center"/>
    </xf>
    <xf numFmtId="0" fontId="8" fillId="5" borderId="0" xfId="0" applyFont="1" applyFill="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10" fontId="8" fillId="5" borderId="0" xfId="0" applyNumberFormat="1" applyFont="1" applyFill="1" applyAlignment="1">
      <alignment horizontal="center"/>
    </xf>
    <xf numFmtId="0" fontId="33" fillId="0" borderId="7" xfId="0" applyFont="1" applyBorder="1" applyAlignment="1">
      <alignment horizontal="center"/>
    </xf>
    <xf numFmtId="0" fontId="33" fillId="0" borderId="8" xfId="0" applyFont="1" applyBorder="1" applyAlignment="1">
      <alignment horizontal="center"/>
    </xf>
    <xf numFmtId="0" fontId="33" fillId="0" borderId="9" xfId="0" applyFont="1" applyBorder="1" applyAlignment="1">
      <alignment horizontal="center"/>
    </xf>
    <xf numFmtId="0" fontId="35" fillId="8" borderId="7" xfId="0" applyFont="1" applyFill="1" applyBorder="1" applyAlignment="1">
      <alignment horizontal="center"/>
    </xf>
    <xf numFmtId="0" fontId="35" fillId="8" borderId="8" xfId="0" applyFont="1" applyFill="1" applyBorder="1" applyAlignment="1">
      <alignment horizontal="center"/>
    </xf>
    <xf numFmtId="0" fontId="35" fillId="8" borderId="9" xfId="0" applyFont="1" applyFill="1" applyBorder="1" applyAlignment="1">
      <alignment horizontal="center"/>
    </xf>
    <xf numFmtId="0" fontId="34" fillId="7" borderId="7" xfId="0" applyFont="1" applyFill="1" applyBorder="1" applyAlignment="1">
      <alignment horizontal="center"/>
    </xf>
    <xf numFmtId="0" fontId="34" fillId="7" borderId="8" xfId="0" applyFont="1" applyFill="1" applyBorder="1" applyAlignment="1">
      <alignment horizontal="center"/>
    </xf>
    <xf numFmtId="0" fontId="34" fillId="7" borderId="9" xfId="0" applyFont="1" applyFill="1" applyBorder="1" applyAlignment="1">
      <alignment horizontal="center"/>
    </xf>
    <xf numFmtId="0" fontId="3" fillId="3" borderId="2" xfId="0" applyFont="1" applyFill="1" applyBorder="1" applyAlignment="1" applyProtection="1">
      <alignment horizontal="left"/>
      <protection locked="0"/>
    </xf>
    <xf numFmtId="0" fontId="0" fillId="3" borderId="2" xfId="0" applyFill="1" applyBorder="1" applyAlignment="1" applyProtection="1">
      <alignment horizontal="left"/>
      <protection locked="0"/>
    </xf>
    <xf numFmtId="0" fontId="25" fillId="0" borderId="20" xfId="0" applyFont="1" applyBorder="1"/>
    <xf numFmtId="0" fontId="0" fillId="0" borderId="14" xfId="0" applyBorder="1" applyAlignment="1">
      <alignment horizontal="center" vertical="center"/>
    </xf>
    <xf numFmtId="3" fontId="25" fillId="0" borderId="0" xfId="0" applyNumberFormat="1" applyFont="1" applyAlignment="1">
      <alignment horizontal="center"/>
    </xf>
    <xf numFmtId="0" fontId="25" fillId="0" borderId="0" xfId="0" applyFont="1" applyAlignment="1">
      <alignment horizontal="center"/>
    </xf>
    <xf numFmtId="3" fontId="3" fillId="0" borderId="10" xfId="0" applyNumberFormat="1" applyFont="1" applyBorder="1" applyAlignment="1">
      <alignment horizontal="center"/>
    </xf>
    <xf numFmtId="3" fontId="3" fillId="0" borderId="11" xfId="0" applyNumberFormat="1" applyFont="1" applyBorder="1" applyAlignment="1">
      <alignment horizontal="center"/>
    </xf>
    <xf numFmtId="3" fontId="3" fillId="0" borderId="12" xfId="0" applyNumberFormat="1" applyFont="1" applyBorder="1" applyAlignment="1">
      <alignment horizontal="center"/>
    </xf>
    <xf numFmtId="0" fontId="0" fillId="0" borderId="0" xfId="0" applyAlignment="1">
      <alignment horizontal="center"/>
    </xf>
    <xf numFmtId="0" fontId="3" fillId="0" borderId="1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cellXfs>
  <cellStyles count="8">
    <cellStyle name="Comma" xfId="1" builtinId="3"/>
    <cellStyle name="Comma 2" xfId="5" xr:uid="{D0699FAB-6D03-4341-AF3F-AC4ED1D386D3}"/>
    <cellStyle name="Currency" xfId="2" builtinId="4"/>
    <cellStyle name="Currency 2" xfId="6" xr:uid="{B9E808F9-2533-46EB-95DD-1F9A3BB61B94}"/>
    <cellStyle name="Normal" xfId="0" builtinId="0"/>
    <cellStyle name="Normal 2" xfId="4" xr:uid="{B330BDC7-B7DB-4232-AA6F-8D61637D96A0}"/>
    <cellStyle name="Percent" xfId="3" builtinId="5"/>
    <cellStyle name="Percent 2" xfId="7" xr:uid="{688EDB54-5E44-4216-AFDF-74C410FA4160}"/>
  </cellStyles>
  <dxfs count="43">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right/>
        <top/>
        <bottom/>
        <vertical/>
        <horizontal/>
      </border>
    </dxf>
    <dxf>
      <font>
        <color theme="0"/>
      </font>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66CCFF"/>
      <color rgb="FF95D4FF"/>
      <color rgb="FF00FFFF"/>
      <color rgb="FFFFFFCC"/>
      <color rgb="FF99FFCC"/>
      <color rgb="FF0000FF"/>
      <color rgb="FFADD8E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Card</a:t>
            </a:r>
            <a:r>
              <a:rPr lang="en-US" baseline="0"/>
              <a:t> Type Mix </a:t>
            </a:r>
            <a:endParaRPr lang="en-US"/>
          </a:p>
        </c:rich>
      </c:tx>
      <c:layout>
        <c:manualLayout>
          <c:xMode val="edge"/>
          <c:yMode val="edge"/>
          <c:x val="0.3936480797333366"/>
          <c:y val="4.6681068495396653E-2"/>
        </c:manualLayout>
      </c:layout>
      <c:overlay val="0"/>
      <c:spPr>
        <a:noFill/>
        <a:ln>
          <a:noFill/>
        </a:ln>
        <a:effectLst/>
      </c:spPr>
    </c:title>
    <c:autoTitleDeleted val="0"/>
    <c:plotArea>
      <c:layout>
        <c:manualLayout>
          <c:layoutTarget val="inner"/>
          <c:xMode val="edge"/>
          <c:yMode val="edge"/>
          <c:x val="3.1632345105687736E-2"/>
          <c:y val="0.22442887826297422"/>
          <c:w val="0.80926490451632949"/>
          <c:h val="0.63520009986411619"/>
        </c:manualLayout>
      </c:layout>
      <c:lineChart>
        <c:grouping val="standard"/>
        <c:varyColors val="0"/>
        <c:ser>
          <c:idx val="3"/>
          <c:order val="0"/>
          <c:tx>
            <c:strRef>
              <c:f>'Shift Calcs &amp; Graphs'!$A$51</c:f>
              <c:strCache>
                <c:ptCount val="1"/>
                <c:pt idx="0">
                  <c:v>All Credit</c:v>
                </c:pt>
              </c:strCache>
            </c:strRef>
          </c:tx>
          <c:marker>
            <c:symbol val="none"/>
          </c:marker>
          <c:cat>
            <c:numRef>
              <c:f>'Shift Calcs &amp; Graphs'!$B$42:$M$42</c:f>
              <c:numCache>
                <c:formatCode>m/d/yyyy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f>'Shift Calcs &amp; Graphs'!$B$51:$M$51</c:f>
              <c:numCache>
                <c:formatCode>0%</c:formatCode>
                <c:ptCount val="12"/>
                <c:pt idx="0">
                  <c:v>0.98675479911842501</c:v>
                </c:pt>
                <c:pt idx="1">
                  <c:v>0.98779976168535877</c:v>
                </c:pt>
                <c:pt idx="2">
                  <c:v>0.98992009781213031</c:v>
                </c:pt>
                <c:pt idx="3">
                  <c:v>0.98943675863619884</c:v>
                </c:pt>
                <c:pt idx="4">
                  <c:v>0.98862135600322243</c:v>
                </c:pt>
                <c:pt idx="5">
                  <c:v>0.98774087222151874</c:v>
                </c:pt>
                <c:pt idx="6">
                  <c:v>0.99100678360570793</c:v>
                </c:pt>
                <c:pt idx="7">
                  <c:v>0.98720074653300827</c:v>
                </c:pt>
                <c:pt idx="8">
                  <c:v>0.98576757539861615</c:v>
                </c:pt>
                <c:pt idx="9">
                  <c:v>0.98718770599478756</c:v>
                </c:pt>
                <c:pt idx="10">
                  <c:v>0.98957126525585504</c:v>
                </c:pt>
                <c:pt idx="11">
                  <c:v>0.98962840189023549</c:v>
                </c:pt>
              </c:numCache>
            </c:numRef>
          </c:val>
          <c:smooth val="0"/>
          <c:extLst>
            <c:ext xmlns:c16="http://schemas.microsoft.com/office/drawing/2014/chart" uri="{C3380CC4-5D6E-409C-BE32-E72D297353CC}">
              <c16:uniqueId val="{0000000B-26B4-4F09-9340-0C4DC7211F05}"/>
            </c:ext>
          </c:extLst>
        </c:ser>
        <c:ser>
          <c:idx val="0"/>
          <c:order val="1"/>
          <c:tx>
            <c:strRef>
              <c:f>'Shift Calcs &amp; Graphs'!$A$52</c:f>
              <c:strCache>
                <c:ptCount val="1"/>
                <c:pt idx="0">
                  <c:v>Debit</c:v>
                </c:pt>
              </c:strCache>
            </c:strRef>
          </c:tx>
          <c:marker>
            <c:symbol val="none"/>
          </c:marker>
          <c:cat>
            <c:numRef>
              <c:f>'Shift Calcs &amp; Graphs'!$B$42:$M$42</c:f>
              <c:numCache>
                <c:formatCode>m/d/yyyy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f>'Shift Calcs &amp; Graphs'!$B$52:$M$52</c:f>
              <c:numCache>
                <c:formatCode>0%</c:formatCode>
                <c:ptCount val="12"/>
                <c:pt idx="0">
                  <c:v>1.3245200881575044E-2</c:v>
                </c:pt>
                <c:pt idx="1">
                  <c:v>1.220023831464128E-2</c:v>
                </c:pt>
                <c:pt idx="2">
                  <c:v>1.0079902187869664E-2</c:v>
                </c:pt>
                <c:pt idx="3">
                  <c:v>1.0563241363801166E-2</c:v>
                </c:pt>
                <c:pt idx="4">
                  <c:v>1.1378643996777545E-2</c:v>
                </c:pt>
                <c:pt idx="5">
                  <c:v>1.2259127778481257E-2</c:v>
                </c:pt>
                <c:pt idx="6">
                  <c:v>8.9932163942920418E-3</c:v>
                </c:pt>
                <c:pt idx="7">
                  <c:v>1.2799253466991704E-2</c:v>
                </c:pt>
                <c:pt idx="8">
                  <c:v>1.4232424601383877E-2</c:v>
                </c:pt>
                <c:pt idx="9">
                  <c:v>1.2812294005212527E-2</c:v>
                </c:pt>
                <c:pt idx="10">
                  <c:v>1.0428734744145065E-2</c:v>
                </c:pt>
                <c:pt idx="11">
                  <c:v>1.0371598109764516E-2</c:v>
                </c:pt>
              </c:numCache>
            </c:numRef>
          </c:val>
          <c:smooth val="0"/>
          <c:extLst>
            <c:ext xmlns:c16="http://schemas.microsoft.com/office/drawing/2014/chart" uri="{C3380CC4-5D6E-409C-BE32-E72D297353CC}">
              <c16:uniqueId val="{00000018-26B4-4F09-9340-0C4DC7211F05}"/>
            </c:ext>
          </c:extLst>
        </c:ser>
        <c:dLbls>
          <c:showLegendKey val="0"/>
          <c:showVal val="0"/>
          <c:showCatName val="0"/>
          <c:showSerName val="0"/>
          <c:showPercent val="0"/>
          <c:showBubbleSize val="0"/>
        </c:dLbls>
        <c:smooth val="0"/>
        <c:axId val="530142976"/>
        <c:axId val="530143392"/>
      </c:lineChart>
      <c:dateAx>
        <c:axId val="5301429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3392"/>
        <c:crosses val="autoZero"/>
        <c:auto val="1"/>
        <c:lblOffset val="100"/>
        <c:baseTimeUnit val="months"/>
      </c:dateAx>
      <c:valAx>
        <c:axId val="530143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2976"/>
        <c:crosses val="autoZero"/>
        <c:crossBetween val="between"/>
      </c:valAx>
    </c:plotArea>
    <c:legend>
      <c:legendPos val="r"/>
      <c:layout>
        <c:manualLayout>
          <c:xMode val="edge"/>
          <c:yMode val="edge"/>
          <c:x val="0.86930659508843922"/>
          <c:y val="0.72109305080440511"/>
          <c:w val="0.12444312657163052"/>
          <c:h val="0.2106575843077973"/>
        </c:manualLayout>
      </c:layout>
      <c:overlay val="0"/>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Interchange Cost % </a:t>
            </a:r>
          </a:p>
        </c:rich>
      </c:tx>
      <c:layout>
        <c:manualLayout>
          <c:xMode val="edge"/>
          <c:yMode val="edge"/>
          <c:x val="0.39146843191145853"/>
          <c:y val="4.6681243834606881E-2"/>
        </c:manualLayout>
      </c:layout>
      <c:overlay val="0"/>
      <c:spPr>
        <a:noFill/>
        <a:ln>
          <a:noFill/>
        </a:ln>
        <a:effectLst/>
      </c:spPr>
    </c:title>
    <c:autoTitleDeleted val="0"/>
    <c:plotArea>
      <c:layout>
        <c:manualLayout>
          <c:layoutTarget val="inner"/>
          <c:xMode val="edge"/>
          <c:yMode val="edge"/>
          <c:x val="4.1716043251014044E-2"/>
          <c:y val="0.18725013933156689"/>
          <c:w val="0.796356117957434"/>
          <c:h val="0.64820858429479389"/>
        </c:manualLayout>
      </c:layout>
      <c:lineChart>
        <c:grouping val="standard"/>
        <c:varyColors val="0"/>
        <c:ser>
          <c:idx val="1"/>
          <c:order val="0"/>
          <c:tx>
            <c:strRef>
              <c:f>'Shift Calcs &amp; Graphs'!$A$77</c:f>
              <c:strCache>
                <c:ptCount val="1"/>
                <c:pt idx="0">
                  <c:v>All including  Assessment &amp;Fees</c:v>
                </c:pt>
              </c:strCache>
            </c:strRef>
          </c:tx>
          <c:marker>
            <c:symbol val="none"/>
          </c:marker>
          <c:dLbls>
            <c:dLbl>
              <c:idx val="0"/>
              <c:layout>
                <c:manualLayout>
                  <c:x val="-4.9179281800652015E-2"/>
                  <c:y val="-6.21355043250225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2C-4559-A90D-EA3467523BCF}"/>
                </c:ext>
              </c:extLst>
            </c:dLbl>
            <c:dLbl>
              <c:idx val="1"/>
              <c:delete val="1"/>
              <c:extLst>
                <c:ext xmlns:c15="http://schemas.microsoft.com/office/drawing/2012/chart" uri="{CE6537A1-D6FC-4f65-9D91-7224C49458BB}"/>
                <c:ext xmlns:c16="http://schemas.microsoft.com/office/drawing/2014/chart" uri="{C3380CC4-5D6E-409C-BE32-E72D297353CC}">
                  <c16:uniqueId val="{00000001-582C-4559-A90D-EA3467523BCF}"/>
                </c:ext>
              </c:extLst>
            </c:dLbl>
            <c:dLbl>
              <c:idx val="2"/>
              <c:delete val="1"/>
              <c:extLst>
                <c:ext xmlns:c15="http://schemas.microsoft.com/office/drawing/2012/chart" uri="{CE6537A1-D6FC-4f65-9D91-7224C49458BB}"/>
                <c:ext xmlns:c16="http://schemas.microsoft.com/office/drawing/2014/chart" uri="{C3380CC4-5D6E-409C-BE32-E72D297353CC}">
                  <c16:uniqueId val="{00000002-582C-4559-A90D-EA3467523BCF}"/>
                </c:ext>
              </c:extLst>
            </c:dLbl>
            <c:dLbl>
              <c:idx val="3"/>
              <c:delete val="1"/>
              <c:extLst>
                <c:ext xmlns:c15="http://schemas.microsoft.com/office/drawing/2012/chart" uri="{CE6537A1-D6FC-4f65-9D91-7224C49458BB}"/>
                <c:ext xmlns:c16="http://schemas.microsoft.com/office/drawing/2014/chart" uri="{C3380CC4-5D6E-409C-BE32-E72D297353CC}">
                  <c16:uniqueId val="{00000003-582C-4559-A90D-EA3467523BCF}"/>
                </c:ext>
              </c:extLst>
            </c:dLbl>
            <c:dLbl>
              <c:idx val="4"/>
              <c:delete val="1"/>
              <c:extLst>
                <c:ext xmlns:c15="http://schemas.microsoft.com/office/drawing/2012/chart" uri="{CE6537A1-D6FC-4f65-9D91-7224C49458BB}"/>
                <c:ext xmlns:c16="http://schemas.microsoft.com/office/drawing/2014/chart" uri="{C3380CC4-5D6E-409C-BE32-E72D297353CC}">
                  <c16:uniqueId val="{00000004-582C-4559-A90D-EA3467523BCF}"/>
                </c:ext>
              </c:extLst>
            </c:dLbl>
            <c:dLbl>
              <c:idx val="5"/>
              <c:delete val="1"/>
              <c:extLst>
                <c:ext xmlns:c15="http://schemas.microsoft.com/office/drawing/2012/chart" uri="{CE6537A1-D6FC-4f65-9D91-7224C49458BB}"/>
                <c:ext xmlns:c16="http://schemas.microsoft.com/office/drawing/2014/chart" uri="{C3380CC4-5D6E-409C-BE32-E72D297353CC}">
                  <c16:uniqueId val="{00000005-582C-4559-A90D-EA3467523BCF}"/>
                </c:ext>
              </c:extLst>
            </c:dLbl>
            <c:dLbl>
              <c:idx val="6"/>
              <c:delete val="1"/>
              <c:extLst>
                <c:ext xmlns:c15="http://schemas.microsoft.com/office/drawing/2012/chart" uri="{CE6537A1-D6FC-4f65-9D91-7224C49458BB}"/>
                <c:ext xmlns:c16="http://schemas.microsoft.com/office/drawing/2014/chart" uri="{C3380CC4-5D6E-409C-BE32-E72D297353CC}">
                  <c16:uniqueId val="{00000006-582C-4559-A90D-EA3467523BCF}"/>
                </c:ext>
              </c:extLst>
            </c:dLbl>
            <c:dLbl>
              <c:idx val="7"/>
              <c:delete val="1"/>
              <c:extLst>
                <c:ext xmlns:c15="http://schemas.microsoft.com/office/drawing/2012/chart" uri="{CE6537A1-D6FC-4f65-9D91-7224C49458BB}"/>
                <c:ext xmlns:c16="http://schemas.microsoft.com/office/drawing/2014/chart" uri="{C3380CC4-5D6E-409C-BE32-E72D297353CC}">
                  <c16:uniqueId val="{00000007-582C-4559-A90D-EA3467523BCF}"/>
                </c:ext>
              </c:extLst>
            </c:dLbl>
            <c:dLbl>
              <c:idx val="8"/>
              <c:delete val="1"/>
              <c:extLst>
                <c:ext xmlns:c15="http://schemas.microsoft.com/office/drawing/2012/chart" uri="{CE6537A1-D6FC-4f65-9D91-7224C49458BB}"/>
                <c:ext xmlns:c16="http://schemas.microsoft.com/office/drawing/2014/chart" uri="{C3380CC4-5D6E-409C-BE32-E72D297353CC}">
                  <c16:uniqueId val="{00000008-582C-4559-A90D-EA3467523BCF}"/>
                </c:ext>
              </c:extLst>
            </c:dLbl>
            <c:dLbl>
              <c:idx val="9"/>
              <c:delete val="1"/>
              <c:extLst>
                <c:ext xmlns:c15="http://schemas.microsoft.com/office/drawing/2012/chart" uri="{CE6537A1-D6FC-4f65-9D91-7224C49458BB}"/>
                <c:ext xmlns:c16="http://schemas.microsoft.com/office/drawing/2014/chart" uri="{C3380CC4-5D6E-409C-BE32-E72D297353CC}">
                  <c16:uniqueId val="{00000009-582C-4559-A90D-EA3467523BCF}"/>
                </c:ext>
              </c:extLst>
            </c:dLbl>
            <c:dLbl>
              <c:idx val="10"/>
              <c:delete val="1"/>
              <c:extLst>
                <c:ext xmlns:c15="http://schemas.microsoft.com/office/drawing/2012/chart" uri="{CE6537A1-D6FC-4f65-9D91-7224C49458BB}"/>
                <c:ext xmlns:c16="http://schemas.microsoft.com/office/drawing/2014/chart" uri="{C3380CC4-5D6E-409C-BE32-E72D297353CC}">
                  <c16:uniqueId val="{0000000A-582C-4559-A90D-EA3467523BC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trendline>
            <c:trendlineType val="linear"/>
            <c:dispRSqr val="0"/>
            <c:dispEq val="0"/>
          </c:trendline>
          <c:cat>
            <c:numRef>
              <c:f>'Shift Calcs &amp; Graphs'!$B$71:$M$71</c:f>
              <c:numCache>
                <c:formatCode>m/d/yyyy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f>'Shift Calcs &amp; Graphs'!$B$77:$M$77</c:f>
              <c:numCache>
                <c:formatCode>0.00%</c:formatCode>
                <c:ptCount val="12"/>
                <c:pt idx="0">
                  <c:v>2.3953957049594694E-2</c:v>
                </c:pt>
                <c:pt idx="1">
                  <c:v>2.2580125549365979E-2</c:v>
                </c:pt>
                <c:pt idx="2">
                  <c:v>2.1923441103269464E-2</c:v>
                </c:pt>
                <c:pt idx="3">
                  <c:v>2.4216468165024908E-2</c:v>
                </c:pt>
                <c:pt idx="4">
                  <c:v>2.3018544825142491E-2</c:v>
                </c:pt>
                <c:pt idx="5">
                  <c:v>2.401324252207461E-2</c:v>
                </c:pt>
                <c:pt idx="6">
                  <c:v>2.1740701619684877E-2</c:v>
                </c:pt>
                <c:pt idx="7">
                  <c:v>2.3545270868999241E-2</c:v>
                </c:pt>
                <c:pt idx="8">
                  <c:v>2.3223892134792416E-2</c:v>
                </c:pt>
                <c:pt idx="9">
                  <c:v>2.3021041952385281E-2</c:v>
                </c:pt>
                <c:pt idx="10">
                  <c:v>2.3016947217359859E-2</c:v>
                </c:pt>
                <c:pt idx="11">
                  <c:v>2.3252484172718878E-2</c:v>
                </c:pt>
              </c:numCache>
            </c:numRef>
          </c:val>
          <c:smooth val="0"/>
          <c:extLst>
            <c:ext xmlns:c16="http://schemas.microsoft.com/office/drawing/2014/chart" uri="{C3380CC4-5D6E-409C-BE32-E72D297353CC}">
              <c16:uniqueId val="{0000000C-582C-4559-A90D-EA3467523BCF}"/>
            </c:ext>
          </c:extLst>
        </c:ser>
        <c:dLbls>
          <c:showLegendKey val="0"/>
          <c:showVal val="0"/>
          <c:showCatName val="0"/>
          <c:showSerName val="0"/>
          <c:showPercent val="0"/>
          <c:showBubbleSize val="0"/>
        </c:dLbls>
        <c:smooth val="0"/>
        <c:axId val="530142976"/>
        <c:axId val="530143392"/>
      </c:lineChart>
      <c:dateAx>
        <c:axId val="5301429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3392"/>
        <c:crosses val="autoZero"/>
        <c:auto val="1"/>
        <c:lblOffset val="100"/>
        <c:baseTimeUnit val="months"/>
      </c:dateAx>
      <c:valAx>
        <c:axId val="5301433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297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Projected</a:t>
            </a:r>
            <a:r>
              <a:rPr lang="en-US" sz="1100" baseline="0"/>
              <a:t> I</a:t>
            </a:r>
            <a:r>
              <a:rPr lang="en-US" sz="1100"/>
              <a:t>nterchange Cost Increase/decrease %</a:t>
            </a:r>
          </a:p>
          <a:p>
            <a:pPr>
              <a:defRPr sz="1100" b="0" i="0" u="none" strike="noStrike" kern="1200" spc="0" baseline="0">
                <a:solidFill>
                  <a:schemeClr val="tx1">
                    <a:lumMod val="65000"/>
                    <a:lumOff val="35000"/>
                  </a:schemeClr>
                </a:solidFill>
                <a:latin typeface="+mn-lt"/>
                <a:ea typeface="+mn-ea"/>
                <a:cs typeface="+mn-cs"/>
              </a:defRPr>
            </a:pPr>
            <a:r>
              <a:rPr lang="en-US" sz="1100"/>
              <a:t>based on selected</a:t>
            </a:r>
            <a:r>
              <a:rPr lang="en-US" sz="1100" baseline="0"/>
              <a:t> shifted %. I</a:t>
            </a:r>
            <a:r>
              <a:rPr lang="en-US" sz="1100"/>
              <a:t>ncrements</a:t>
            </a:r>
            <a:r>
              <a:rPr lang="en-US" sz="1100" baseline="0"/>
              <a:t> in </a:t>
            </a:r>
            <a:r>
              <a:rPr lang="en-US" sz="1100"/>
              <a:t>mix shift (Credit vs. Debit) </a:t>
            </a:r>
          </a:p>
        </c:rich>
      </c:tx>
      <c:layout>
        <c:manualLayout>
          <c:xMode val="edge"/>
          <c:yMode val="edge"/>
          <c:x val="0.27234374166664682"/>
          <c:y val="5.5616375346851959E-2"/>
        </c:manualLayout>
      </c:layout>
      <c:overlay val="0"/>
      <c:spPr>
        <a:noFill/>
        <a:ln>
          <a:noFill/>
        </a:ln>
        <a:effectLst/>
      </c:spPr>
    </c:title>
    <c:autoTitleDeleted val="0"/>
    <c:plotArea>
      <c:layout>
        <c:manualLayout>
          <c:layoutTarget val="inner"/>
          <c:xMode val="edge"/>
          <c:yMode val="edge"/>
          <c:x val="0.12856369692152303"/>
          <c:y val="0.24391444920051156"/>
          <c:w val="0.796356117957434"/>
          <c:h val="0.64820858429479389"/>
        </c:manualLayout>
      </c:layout>
      <c:lineChart>
        <c:grouping val="standard"/>
        <c:varyColors val="0"/>
        <c:ser>
          <c:idx val="1"/>
          <c:order val="0"/>
          <c:tx>
            <c:strRef>
              <c:f>'Shift Calcs &amp; Graphs'!$P$72</c:f>
              <c:strCache>
                <c:ptCount val="1"/>
                <c:pt idx="0">
                  <c:v>% Processing Cost Decrease/Increase</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'Shift Calcs &amp; Graphs'!$Q$72:$AB$72</c:f>
              <c:numCache>
                <c:formatCode>0.0%</c:formatCode>
                <c:ptCount val="12"/>
                <c:pt idx="0">
                  <c:v>-0.28689066191398155</c:v>
                </c:pt>
                <c:pt idx="1">
                  <c:v>-0.57293568377680415</c:v>
                </c:pt>
                <c:pt idx="2">
                  <c:v>-0.8589807056396267</c:v>
                </c:pt>
                <c:pt idx="3">
                  <c:v>-1.1450257275024494</c:v>
                </c:pt>
                <c:pt idx="4">
                  <c:v>-1.4310707493652721</c:v>
                </c:pt>
                <c:pt idx="5">
                  <c:v>-1.7171157712280947</c:v>
                </c:pt>
                <c:pt idx="6">
                  <c:v>-2.0031607930909172</c:v>
                </c:pt>
                <c:pt idx="7">
                  <c:v>-2.2892058149537395</c:v>
                </c:pt>
                <c:pt idx="8">
                  <c:v>-2.5752508368165623</c:v>
                </c:pt>
                <c:pt idx="9">
                  <c:v>-2.8612958586793846</c:v>
                </c:pt>
                <c:pt idx="10">
                  <c:v>-3.1473408805422065</c:v>
                </c:pt>
                <c:pt idx="11">
                  <c:v>-3.4333859024050293</c:v>
                </c:pt>
              </c:numCache>
            </c:numRef>
          </c:val>
          <c:smooth val="0"/>
          <c:extLst>
            <c:ext xmlns:c16="http://schemas.microsoft.com/office/drawing/2014/chart" uri="{C3380CC4-5D6E-409C-BE32-E72D297353CC}">
              <c16:uniqueId val="{00000000-0DEA-405E-A559-9A7AF55D6B3D}"/>
            </c:ext>
          </c:extLst>
        </c:ser>
        <c:dLbls>
          <c:showLegendKey val="0"/>
          <c:showVal val="0"/>
          <c:showCatName val="0"/>
          <c:showSerName val="0"/>
          <c:showPercent val="0"/>
          <c:showBubbleSize val="0"/>
        </c:dLbls>
        <c:smooth val="0"/>
        <c:axId val="530142976"/>
        <c:axId val="530143392"/>
      </c:lineChart>
      <c:catAx>
        <c:axId val="530142976"/>
        <c:scaling>
          <c:orientation val="minMax"/>
        </c:scaling>
        <c:delete val="0"/>
        <c:axPos val="b"/>
        <c:numFmt formatCode="m/d/yyyy"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3392"/>
        <c:crosses val="autoZero"/>
        <c:auto val="1"/>
        <c:lblAlgn val="ctr"/>
        <c:lblOffset val="100"/>
        <c:noMultiLvlLbl val="0"/>
      </c:catAx>
      <c:valAx>
        <c:axId val="53014339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297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Projected</a:t>
            </a:r>
            <a:r>
              <a:rPr lang="en-US" baseline="0"/>
              <a:t> Card Mix Post Shift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'Shift Calcs &amp; Graphs'!$P$51</c:f>
              <c:strCache>
                <c:ptCount val="1"/>
                <c:pt idx="0">
                  <c:v>All Credit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'Shift Calcs &amp; Graphs'!$Q$51:$AB$51</c:f>
              <c:numCache>
                <c:formatCode>0%</c:formatCode>
                <c:ptCount val="12"/>
                <c:pt idx="0">
                  <c:v>0.98357017281823533</c:v>
                </c:pt>
                <c:pt idx="1">
                  <c:v>0.97159778504438687</c:v>
                </c:pt>
                <c:pt idx="2">
                  <c:v>0.89531131203459147</c:v>
                </c:pt>
                <c:pt idx="3">
                  <c:v>1.0620953678691265</c:v>
                </c:pt>
                <c:pt idx="4">
                  <c:v>1.0239459862524496</c:v>
                </c:pt>
                <c:pt idx="5">
                  <c:v>1.0148330444533207</c:v>
                </c:pt>
                <c:pt idx="6">
                  <c:v>1.0107442043494883</c:v>
                </c:pt>
                <c:pt idx="7">
                  <c:v>1.0084224835137403</c:v>
                </c:pt>
                <c:pt idx="8">
                  <c:v>1.0069258688320115</c:v>
                </c:pt>
                <c:pt idx="9">
                  <c:v>1.0058808789777474</c:v>
                </c:pt>
                <c:pt idx="10">
                  <c:v>1.0051098881588429</c:v>
                </c:pt>
                <c:pt idx="11">
                  <c:v>1.0045176220777963</c:v>
                </c:pt>
              </c:numCache>
            </c:numRef>
          </c:val>
          <c:smooth val="0"/>
          <c:extLst>
            <c:ext xmlns:c16="http://schemas.microsoft.com/office/drawing/2014/chart" uri="{C3380CC4-5D6E-409C-BE32-E72D297353CC}">
              <c16:uniqueId val="{00000000-520B-4A20-A53B-3D9F799E1EA9}"/>
            </c:ext>
          </c:extLst>
        </c:ser>
        <c:ser>
          <c:idx val="1"/>
          <c:order val="1"/>
          <c:tx>
            <c:strRef>
              <c:f>'Shift Calcs &amp; Graphs'!$P$52</c:f>
              <c:strCache>
                <c:ptCount val="1"/>
                <c:pt idx="0">
                  <c:v>Debit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'Shift Calcs &amp; Graphs'!$Q$52:$AB$52</c:f>
              <c:numCache>
                <c:formatCode>0%</c:formatCode>
                <c:ptCount val="12"/>
                <c:pt idx="0">
                  <c:v>1.6429827181764663E-2</c:v>
                </c:pt>
                <c:pt idx="1">
                  <c:v>2.8402214955613118E-2</c:v>
                </c:pt>
                <c:pt idx="2">
                  <c:v>0.10468868796540845</c:v>
                </c:pt>
                <c:pt idx="3">
                  <c:v>-6.2095367869126665E-2</c:v>
                </c:pt>
                <c:pt idx="4">
                  <c:v>-2.3945986252449713E-2</c:v>
                </c:pt>
                <c:pt idx="5">
                  <c:v>-1.4833044453320626E-2</c:v>
                </c:pt>
                <c:pt idx="6">
                  <c:v>-1.0744204349488222E-2</c:v>
                </c:pt>
                <c:pt idx="7">
                  <c:v>-8.4224835137403573E-3</c:v>
                </c:pt>
                <c:pt idx="8">
                  <c:v>-6.9258688320115967E-3</c:v>
                </c:pt>
                <c:pt idx="9">
                  <c:v>-5.8808789777473353E-3</c:v>
                </c:pt>
                <c:pt idx="10">
                  <c:v>-5.1098881588430775E-3</c:v>
                </c:pt>
                <c:pt idx="11">
                  <c:v>-4.5176220777964002E-3</c:v>
                </c:pt>
              </c:numCache>
            </c:numRef>
          </c:val>
          <c:smooth val="0"/>
          <c:extLst>
            <c:ext xmlns:c16="http://schemas.microsoft.com/office/drawing/2014/chart" uri="{C3380CC4-5D6E-409C-BE32-E72D297353CC}">
              <c16:uniqueId val="{00000001-520B-4A20-A53B-3D9F799E1EA9}"/>
            </c:ext>
          </c:extLst>
        </c:ser>
        <c:dLbls>
          <c:dLblPos val="ctr"/>
          <c:showLegendKey val="0"/>
          <c:showVal val="1"/>
          <c:showCatName val="0"/>
          <c:showSerName val="0"/>
          <c:showPercent val="0"/>
          <c:showBubbleSize val="0"/>
        </c:dLbls>
        <c:marker val="1"/>
        <c:smooth val="0"/>
        <c:axId val="1202315567"/>
        <c:axId val="815643663"/>
      </c:lineChart>
      <c:catAx>
        <c:axId val="1202315567"/>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5643663"/>
        <c:crosses val="autoZero"/>
        <c:auto val="1"/>
        <c:lblAlgn val="ctr"/>
        <c:lblOffset val="100"/>
        <c:noMultiLvlLbl val="0"/>
      </c:catAx>
      <c:valAx>
        <c:axId val="815643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0231556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675962784489918E-2"/>
          <c:y val="8.997647703458958E-2"/>
          <c:w val="0.93030996112391462"/>
          <c:h val="0.80272751452332991"/>
        </c:manualLayout>
      </c:layout>
      <c:barChart>
        <c:barDir val="col"/>
        <c:grouping val="clustered"/>
        <c:varyColors val="0"/>
        <c:ser>
          <c:idx val="0"/>
          <c:order val="0"/>
          <c:tx>
            <c:strRef>
              <c:f>'PPT Variation'!$A$8</c:f>
              <c:strCache>
                <c:ptCount val="1"/>
                <c:pt idx="0">
                  <c:v>All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'PPT Variation'!$B$1:$M$1</c:f>
              <c:numCache>
                <c:formatCode>m/d/yyyy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f>'PPT Variation'!$B$8:$M$8</c:f>
              <c:numCache>
                <c:formatCode>_("$"* #,##0_);_("$"* \(#,##0\);_("$"* "-"??_);_(@_)</c:formatCode>
                <c:ptCount val="12"/>
                <c:pt idx="0">
                  <c:v>5442.5622389706205</c:v>
                </c:pt>
                <c:pt idx="1">
                  <c:v>5318.8435882585036</c:v>
                </c:pt>
                <c:pt idx="2">
                  <c:v>5444.790054227934</c:v>
                </c:pt>
                <c:pt idx="3">
                  <c:v>5423.4640611933</c:v>
                </c:pt>
                <c:pt idx="4">
                  <c:v>5196.5095981032955</c:v>
                </c:pt>
                <c:pt idx="5">
                  <c:v>5242.6207108490835</c:v>
                </c:pt>
                <c:pt idx="6">
                  <c:v>5433.9016773823969</c:v>
                </c:pt>
                <c:pt idx="7">
                  <c:v>5227.934811927923</c:v>
                </c:pt>
                <c:pt idx="8">
                  <c:v>5256.6158276913075</c:v>
                </c:pt>
                <c:pt idx="9">
                  <c:v>5431.1512405214999</c:v>
                </c:pt>
                <c:pt idx="10">
                  <c:v>5504.8265105825367</c:v>
                </c:pt>
                <c:pt idx="11">
                  <c:v>5818.6581890757889</c:v>
                </c:pt>
              </c:numCache>
            </c:numRef>
          </c:val>
          <c:extLst>
            <c:ext xmlns:c16="http://schemas.microsoft.com/office/drawing/2014/chart" uri="{C3380CC4-5D6E-409C-BE32-E72D297353CC}">
              <c16:uniqueId val="{00000000-4AB4-424B-A094-B6683ED6CCDD}"/>
            </c:ext>
          </c:extLst>
        </c:ser>
        <c:dLbls>
          <c:showLegendKey val="0"/>
          <c:showVal val="0"/>
          <c:showCatName val="0"/>
          <c:showSerName val="0"/>
          <c:showPercent val="0"/>
          <c:showBubbleSize val="0"/>
        </c:dLbls>
        <c:gapWidth val="150"/>
        <c:axId val="1414868000"/>
        <c:axId val="1414871744"/>
      </c:barChart>
      <c:lineChart>
        <c:grouping val="standard"/>
        <c:varyColors val="0"/>
        <c:ser>
          <c:idx val="1"/>
          <c:order val="1"/>
          <c:tx>
            <c:strRef>
              <c:f>'PPT Variation'!$A$9</c:f>
              <c:strCache>
                <c:ptCount val="1"/>
                <c:pt idx="0">
                  <c:v>PPT % variation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2.016800917074095E-2"/>
                  <c:y val="-8.9590505302865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98-427D-936C-009F2D3C5BD2}"/>
                </c:ext>
              </c:extLst>
            </c:dLbl>
            <c:dLbl>
              <c:idx val="2"/>
              <c:layout>
                <c:manualLayout>
                  <c:x val="-2.5931608265548311E-2"/>
                  <c:y val="-5.52708662877035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ED-408C-9721-ACDA6815AC66}"/>
                </c:ext>
              </c:extLst>
            </c:dLbl>
            <c:dLbl>
              <c:idx val="3"/>
              <c:layout>
                <c:manualLayout>
                  <c:x val="-1.1633966858733281E-2"/>
                  <c:y val="-4.67873013582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98-427D-936C-009F2D3C5BD2}"/>
                </c:ext>
              </c:extLst>
            </c:dLbl>
            <c:dLbl>
              <c:idx val="4"/>
              <c:layout>
                <c:manualLayout>
                  <c:x val="-2.6787255576813291E-2"/>
                  <c:y val="-4.20115233368885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98-427D-936C-009F2D3C5BD2}"/>
                </c:ext>
              </c:extLst>
            </c:dLbl>
            <c:dLbl>
              <c:idx val="5"/>
              <c:layout>
                <c:manualLayout>
                  <c:x val="-1.4279134699479189E-2"/>
                  <c:y val="-8.23241571077204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98-427D-936C-009F2D3C5BD2}"/>
                </c:ext>
              </c:extLst>
            </c:dLbl>
            <c:dLbl>
              <c:idx val="6"/>
              <c:layout>
                <c:manualLayout>
                  <c:x val="-1.4969991254164299E-2"/>
                  <c:y val="-0.19174416305712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98-427D-936C-009F2D3C5BD2}"/>
                </c:ext>
              </c:extLst>
            </c:dLbl>
            <c:dLbl>
              <c:idx val="7"/>
              <c:layout>
                <c:manualLayout>
                  <c:x val="1.9161800449669295E-2"/>
                  <c:y val="-0.138820066275690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CA-4F3B-B590-0B6AB6E65509}"/>
                </c:ext>
              </c:extLst>
            </c:dLbl>
            <c:dLbl>
              <c:idx val="8"/>
              <c:layout>
                <c:manualLayout>
                  <c:x val="-1.9707006228627724E-2"/>
                  <c:y val="-0.1909564817577642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CA-4F3B-B590-0B6AB6E65509}"/>
                </c:ext>
              </c:extLst>
            </c:dLbl>
            <c:dLbl>
              <c:idx val="9"/>
              <c:layout>
                <c:manualLayout>
                  <c:x val="-1.0400612933897102E-2"/>
                  <c:y val="-2.81560410721736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98-427D-936C-009F2D3C5BD2}"/>
                </c:ext>
              </c:extLst>
            </c:dLbl>
            <c:dLbl>
              <c:idx val="10"/>
              <c:layout>
                <c:manualLayout>
                  <c:x val="-1.2483354737536359E-2"/>
                  <c:y val="-6.7249494030456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98-427D-936C-009F2D3C5BD2}"/>
                </c:ext>
              </c:extLst>
            </c:dLbl>
            <c:dLbl>
              <c:idx val="11"/>
              <c:layout>
                <c:manualLayout>
                  <c:x val="-1.9535085292196396E-2"/>
                  <c:y val="-6.3185964954735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98-427D-936C-009F2D3C5BD2}"/>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'PPT Variation'!$B$1:$M$1</c:f>
              <c:numCache>
                <c:formatCode>m/d/yyyy</c:formatCode>
                <c:ptCount val="12"/>
                <c:pt idx="0">
                  <c:v>44927</c:v>
                </c:pt>
                <c:pt idx="1">
                  <c:v>44958</c:v>
                </c:pt>
                <c:pt idx="2">
                  <c:v>44986</c:v>
                </c:pt>
                <c:pt idx="3">
                  <c:v>45017</c:v>
                </c:pt>
                <c:pt idx="4">
                  <c:v>45047</c:v>
                </c:pt>
                <c:pt idx="5">
                  <c:v>45078</c:v>
                </c:pt>
                <c:pt idx="6">
                  <c:v>45108</c:v>
                </c:pt>
                <c:pt idx="7">
                  <c:v>45139</c:v>
                </c:pt>
                <c:pt idx="8">
                  <c:v>45170</c:v>
                </c:pt>
                <c:pt idx="9">
                  <c:v>45200</c:v>
                </c:pt>
                <c:pt idx="10">
                  <c:v>45231</c:v>
                </c:pt>
                <c:pt idx="11">
                  <c:v>45261</c:v>
                </c:pt>
              </c:numCache>
            </c:numRef>
          </c:cat>
          <c:val>
            <c:numRef>
              <c:f>'PPT Variation'!$B$9:$M$9</c:f>
              <c:numCache>
                <c:formatCode>0.0%</c:formatCode>
                <c:ptCount val="12"/>
                <c:pt idx="1">
                  <c:v>-2.2731692405141279E-2</c:v>
                </c:pt>
                <c:pt idx="2">
                  <c:v>2.3679294921824967E-2</c:v>
                </c:pt>
                <c:pt idx="3">
                  <c:v>-3.9167704947731252E-3</c:v>
                </c:pt>
                <c:pt idx="4">
                  <c:v>-4.1846771828717322E-2</c:v>
                </c:pt>
                <c:pt idx="5">
                  <c:v>8.8734778364727429E-3</c:v>
                </c:pt>
                <c:pt idx="6">
                  <c:v>3.6485753420512745E-2</c:v>
                </c:pt>
                <c:pt idx="7">
                  <c:v>-3.7904047162239385E-2</c:v>
                </c:pt>
                <c:pt idx="8">
                  <c:v>5.4861081469390616E-3</c:v>
                </c:pt>
                <c:pt idx="9">
                  <c:v>3.3202999525047572E-2</c:v>
                </c:pt>
                <c:pt idx="10">
                  <c:v>1.3565313650511168E-2</c:v>
                </c:pt>
                <c:pt idx="11">
                  <c:v>5.7010275962364743E-2</c:v>
                </c:pt>
              </c:numCache>
            </c:numRef>
          </c:val>
          <c:smooth val="0"/>
          <c:extLst>
            <c:ext xmlns:c16="http://schemas.microsoft.com/office/drawing/2014/chart" uri="{C3380CC4-5D6E-409C-BE32-E72D297353CC}">
              <c16:uniqueId val="{00000001-4AB4-424B-A094-B6683ED6CCDD}"/>
            </c:ext>
          </c:extLst>
        </c:ser>
        <c:dLbls>
          <c:showLegendKey val="0"/>
          <c:showVal val="0"/>
          <c:showCatName val="0"/>
          <c:showSerName val="0"/>
          <c:showPercent val="0"/>
          <c:showBubbleSize val="0"/>
        </c:dLbls>
        <c:marker val="1"/>
        <c:smooth val="0"/>
        <c:axId val="875451568"/>
        <c:axId val="875469872"/>
      </c:lineChart>
      <c:dateAx>
        <c:axId val="1414868000"/>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14871744"/>
        <c:crosses val="autoZero"/>
        <c:auto val="1"/>
        <c:lblOffset val="100"/>
        <c:baseTimeUnit val="months"/>
      </c:dateAx>
      <c:valAx>
        <c:axId val="14148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414868000"/>
        <c:crosses val="autoZero"/>
        <c:crossBetween val="between"/>
      </c:valAx>
      <c:valAx>
        <c:axId val="87546987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75451568"/>
        <c:crosses val="max"/>
        <c:crossBetween val="between"/>
      </c:valAx>
      <c:dateAx>
        <c:axId val="875451568"/>
        <c:scaling>
          <c:orientation val="minMax"/>
        </c:scaling>
        <c:delete val="1"/>
        <c:axPos val="b"/>
        <c:numFmt formatCode="m/d/yyyy" sourceLinked="1"/>
        <c:majorTickMark val="out"/>
        <c:minorTickMark val="none"/>
        <c:tickLblPos val="nextTo"/>
        <c:crossAx val="875469872"/>
        <c:crosses val="autoZero"/>
        <c:auto val="1"/>
        <c:lblOffset val="100"/>
        <c:baseTimeUnit val="months"/>
      </c:dateAx>
      <c:spPr>
        <a:noFill/>
        <a:ln>
          <a:noFill/>
        </a:ln>
        <a:effectLst/>
      </c:spPr>
    </c:plotArea>
    <c:legend>
      <c:legendPos val="b"/>
      <c:layout>
        <c:manualLayout>
          <c:xMode val="edge"/>
          <c:yMode val="edge"/>
          <c:x val="0.84523085138310983"/>
          <c:y val="3.4543936689666183E-2"/>
          <c:w val="0.13437515081382137"/>
          <c:h val="0.1418432437536231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158199</xdr:colOff>
      <xdr:row>83</xdr:row>
      <xdr:rowOff>99084</xdr:rowOff>
    </xdr:from>
    <xdr:to>
      <xdr:col>5</xdr:col>
      <xdr:colOff>619896</xdr:colOff>
      <xdr:row>94</xdr:row>
      <xdr:rowOff>180661</xdr:rowOff>
    </xdr:to>
    <xdr:graphicFrame macro="">
      <xdr:nvGraphicFramePr>
        <xdr:cNvPr id="2" name="Chart 1">
          <a:extLst>
            <a:ext uri="{FF2B5EF4-FFF2-40B4-BE49-F238E27FC236}">
              <a16:creationId xmlns:a16="http://schemas.microsoft.com/office/drawing/2014/main" id="{0FCDD7D3-765D-4368-A4AC-1003DA0FD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97</xdr:row>
      <xdr:rowOff>9461</xdr:rowOff>
    </xdr:from>
    <xdr:to>
      <xdr:col>5</xdr:col>
      <xdr:colOff>583406</xdr:colOff>
      <xdr:row>112</xdr:row>
      <xdr:rowOff>106997</xdr:rowOff>
    </xdr:to>
    <xdr:graphicFrame macro="">
      <xdr:nvGraphicFramePr>
        <xdr:cNvPr id="3" name="Chart 2">
          <a:extLst>
            <a:ext uri="{FF2B5EF4-FFF2-40B4-BE49-F238E27FC236}">
              <a16:creationId xmlns:a16="http://schemas.microsoft.com/office/drawing/2014/main" id="{51C118A4-FC7E-4763-B7C4-C664337E9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18806</xdr:colOff>
      <xdr:row>97</xdr:row>
      <xdr:rowOff>7102</xdr:rowOff>
    </xdr:from>
    <xdr:to>
      <xdr:col>13</xdr:col>
      <xdr:colOff>884011</xdr:colOff>
      <xdr:row>112</xdr:row>
      <xdr:rowOff>145144</xdr:rowOff>
    </xdr:to>
    <xdr:graphicFrame macro="">
      <xdr:nvGraphicFramePr>
        <xdr:cNvPr id="5" name="Chart 4">
          <a:extLst>
            <a:ext uri="{FF2B5EF4-FFF2-40B4-BE49-F238E27FC236}">
              <a16:creationId xmlns:a16="http://schemas.microsoft.com/office/drawing/2014/main" id="{0B93200C-748E-4023-AB09-D2A2A1DE7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152401</xdr:colOff>
      <xdr:row>82</xdr:row>
      <xdr:rowOff>48984</xdr:rowOff>
    </xdr:from>
    <xdr:to>
      <xdr:col>13</xdr:col>
      <xdr:colOff>707571</xdr:colOff>
      <xdr:row>95</xdr:row>
      <xdr:rowOff>163286</xdr:rowOff>
    </xdr:to>
    <xdr:graphicFrame macro="">
      <xdr:nvGraphicFramePr>
        <xdr:cNvPr id="6" name="Chart 5">
          <a:extLst>
            <a:ext uri="{FF2B5EF4-FFF2-40B4-BE49-F238E27FC236}">
              <a16:creationId xmlns:a16="http://schemas.microsoft.com/office/drawing/2014/main" id="{15894865-58E7-35B7-B918-D13BB983D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10</xdr:row>
      <xdr:rowOff>47625</xdr:rowOff>
    </xdr:from>
    <xdr:to>
      <xdr:col>14</xdr:col>
      <xdr:colOff>554719</xdr:colOff>
      <xdr:row>34</xdr:row>
      <xdr:rowOff>103868</xdr:rowOff>
    </xdr:to>
    <xdr:graphicFrame macro="">
      <xdr:nvGraphicFramePr>
        <xdr:cNvPr id="3" name="Chart 2">
          <a:extLst>
            <a:ext uri="{FF2B5EF4-FFF2-40B4-BE49-F238E27FC236}">
              <a16:creationId xmlns:a16="http://schemas.microsoft.com/office/drawing/2014/main" id="{FF9150F1-8AC5-4321-89AD-1DFC1AC62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DF9D-4DC4-4BE8-8C54-B4D84FAA42C5}">
  <sheetPr>
    <tabColor rgb="FF66CCFF"/>
  </sheetPr>
  <dimension ref="A1:AK85"/>
  <sheetViews>
    <sheetView showGridLines="0" tabSelected="1" zoomScale="80" zoomScaleNormal="80" workbookViewId="0">
      <selection activeCell="F37" sqref="F37"/>
    </sheetView>
  </sheetViews>
  <sheetFormatPr defaultRowHeight="14.6" outlineLevelCol="1"/>
  <cols>
    <col min="1" max="1" width="4.23046875" customWidth="1"/>
    <col min="2" max="3" width="20.69140625" customWidth="1"/>
    <col min="4" max="4" width="22.15234375" bestFit="1" customWidth="1"/>
    <col min="5" max="5" width="24.23046875" customWidth="1"/>
    <col min="6" max="6" width="20.69140625" customWidth="1"/>
    <col min="7" max="8" width="4.23046875" customWidth="1"/>
    <col min="9" max="9" width="15" hidden="1" customWidth="1" outlineLevel="1"/>
    <col min="10" max="10" width="15.69140625" hidden="1" customWidth="1" outlineLevel="1"/>
    <col min="11" max="11" width="20.69140625" hidden="1" customWidth="1" outlineLevel="1"/>
    <col min="12" max="12" width="23.53515625" hidden="1" customWidth="1" outlineLevel="1"/>
    <col min="13" max="13" width="4.23046875" customWidth="1" collapsed="1"/>
  </cols>
  <sheetData>
    <row r="1" spans="1:37" ht="15" thickBot="1">
      <c r="A1" s="78"/>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row>
    <row r="2" spans="1:37" ht="31.3" thickBot="1">
      <c r="A2" s="78"/>
      <c r="B2" s="356" t="str">
        <f>"Pricing Proposal for"&amp;" "&amp;'Input-Metrics-Profitability'!D6</f>
        <v>Pricing Proposal for PURE</v>
      </c>
      <c r="C2" s="357"/>
      <c r="D2" s="357"/>
      <c r="E2" s="357"/>
      <c r="F2" s="358"/>
      <c r="G2" s="327"/>
      <c r="H2" s="327"/>
      <c r="I2" s="327"/>
      <c r="J2" s="327"/>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row>
    <row r="3" spans="1:37">
      <c r="A3" s="78"/>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row>
    <row r="4" spans="1:37" ht="18.45">
      <c r="A4" s="78"/>
      <c r="B4" s="354" t="s">
        <v>231</v>
      </c>
      <c r="C4" s="354"/>
      <c r="D4" s="354"/>
      <c r="E4" s="354"/>
      <c r="F4" s="354"/>
      <c r="G4" s="78"/>
      <c r="H4" s="78"/>
      <c r="I4" s="355" t="s">
        <v>309</v>
      </c>
      <c r="J4" s="355"/>
      <c r="K4" s="355"/>
      <c r="L4" s="355"/>
      <c r="M4" s="78"/>
      <c r="N4" s="78"/>
      <c r="O4" s="78"/>
      <c r="P4" s="78"/>
      <c r="Q4" s="78"/>
      <c r="R4" s="78"/>
      <c r="S4" s="78"/>
      <c r="T4" s="78"/>
      <c r="U4" s="78"/>
      <c r="V4" s="78"/>
      <c r="W4" s="78"/>
      <c r="X4" s="78"/>
      <c r="Y4" s="78"/>
      <c r="Z4" s="78"/>
      <c r="AA4" s="78"/>
      <c r="AB4" s="78"/>
      <c r="AC4" s="78"/>
      <c r="AD4" s="78"/>
      <c r="AE4" s="78"/>
      <c r="AF4" s="78"/>
      <c r="AG4" s="78"/>
      <c r="AH4" s="78"/>
      <c r="AI4" s="78"/>
      <c r="AJ4" s="78"/>
      <c r="AK4" s="78"/>
    </row>
    <row r="5" spans="1:37">
      <c r="A5" s="78"/>
      <c r="B5" s="102" t="s">
        <v>42</v>
      </c>
      <c r="C5" s="308" t="s">
        <v>227</v>
      </c>
      <c r="D5" s="308" t="s">
        <v>228</v>
      </c>
      <c r="E5" s="308" t="s">
        <v>229</v>
      </c>
      <c r="F5" s="308" t="s">
        <v>307</v>
      </c>
      <c r="G5" s="78"/>
      <c r="H5" s="78"/>
      <c r="I5" s="102" t="s">
        <v>42</v>
      </c>
      <c r="J5" s="308" t="s">
        <v>227</v>
      </c>
      <c r="K5" s="308" t="s">
        <v>228</v>
      </c>
      <c r="L5" s="308" t="s">
        <v>229</v>
      </c>
      <c r="M5" s="78"/>
      <c r="N5" s="78"/>
      <c r="O5" s="78"/>
      <c r="P5" s="78"/>
      <c r="Q5" s="78"/>
      <c r="R5" s="78"/>
      <c r="S5" s="78"/>
      <c r="T5" s="78"/>
      <c r="U5" s="78"/>
      <c r="V5" s="78"/>
      <c r="W5" s="78"/>
      <c r="X5" s="78"/>
      <c r="Y5" s="78"/>
      <c r="Z5" s="78"/>
      <c r="AA5" s="78"/>
      <c r="AB5" s="78"/>
      <c r="AC5" s="78"/>
      <c r="AD5" s="78"/>
      <c r="AE5" s="78"/>
      <c r="AF5" s="78"/>
      <c r="AG5" s="78"/>
      <c r="AH5" s="78"/>
      <c r="AI5" s="78"/>
      <c r="AJ5" s="78"/>
      <c r="AK5" s="78"/>
    </row>
    <row r="6" spans="1:37">
      <c r="A6" s="78"/>
      <c r="B6" s="22" t="s">
        <v>226</v>
      </c>
      <c r="C6" s="167">
        <f>SUM('Input-Metrics-Profitability'!$D$27:$D$28)</f>
        <v>126925</v>
      </c>
      <c r="D6" s="168">
        <f>SUM('Input-Metrics-Profitability'!$E$27:$E$28)</f>
        <v>690464977.89000022</v>
      </c>
      <c r="E6" s="168">
        <f>D6/C6</f>
        <v>5439.9446751231062</v>
      </c>
      <c r="F6" s="168">
        <f>SUM('Input-Metrics-Profitability'!K27:K28)-SUM('Input-Metrics-Profitability'!I27:I28)-((SUM('Input-Metrics-Profitability'!I32:I33)*(SUM('Input-Metrics-Profitability'!G27:G28))))</f>
        <v>1120461.7809480987</v>
      </c>
      <c r="G6" s="78"/>
      <c r="H6" s="78"/>
      <c r="I6" s="22" t="s">
        <v>226</v>
      </c>
      <c r="J6" s="167">
        <f>SUM(Calculations!$M$28:$M$29)</f>
        <v>63462.5</v>
      </c>
      <c r="K6" s="168">
        <f>SUM(Calculations!$N$28:$N$29)</f>
        <v>345232488.94500011</v>
      </c>
      <c r="L6" s="168">
        <f>K6/J6</f>
        <v>5439.9446751231062</v>
      </c>
      <c r="M6" s="78"/>
      <c r="N6" s="78"/>
      <c r="O6" s="78"/>
      <c r="P6" s="78"/>
      <c r="Q6" s="78"/>
      <c r="R6" s="78"/>
      <c r="S6" s="78"/>
      <c r="T6" s="78"/>
      <c r="U6" s="78"/>
      <c r="V6" s="78"/>
      <c r="W6" s="78"/>
      <c r="X6" s="78"/>
      <c r="Y6" s="78"/>
      <c r="Z6" s="78"/>
      <c r="AA6" s="78"/>
      <c r="AB6" s="78"/>
      <c r="AC6" s="78"/>
      <c r="AD6" s="78"/>
      <c r="AE6" s="78"/>
      <c r="AF6" s="78"/>
      <c r="AG6" s="78"/>
      <c r="AH6" s="78"/>
      <c r="AI6" s="78"/>
      <c r="AJ6" s="78"/>
      <c r="AK6" s="78"/>
    </row>
    <row r="7" spans="1:37">
      <c r="A7" s="78"/>
      <c r="B7" s="22" t="s">
        <v>24</v>
      </c>
      <c r="C7" s="167">
        <f>SUM('Input-Metrics-Profitability'!$D$29:$D$31)</f>
        <v>2546</v>
      </c>
      <c r="D7" s="168">
        <f>SUM('Input-Metrics-Profitability'!$E$29:$E$31)</f>
        <v>8184438.9100000001</v>
      </c>
      <c r="E7" s="168">
        <f>D7/C7</f>
        <v>3214.6264375490969</v>
      </c>
      <c r="F7" s="168">
        <f>SUM('Input-Metrics-Profitability'!K29:K31)-SUM('Input-Metrics-Profitability'!I29:I31)-(SUM('Input-Metrics-Profitability'!I32:I33)*(SUM('Input-Metrics-Profitability'!G29:G31)))</f>
        <v>13281.413671672795</v>
      </c>
      <c r="G7" s="78"/>
      <c r="H7" s="78"/>
      <c r="I7" s="22" t="s">
        <v>24</v>
      </c>
      <c r="J7" s="167">
        <f>SUM(Calculations!$M$30:$M$32)</f>
        <v>40623.500000000007</v>
      </c>
      <c r="K7" s="168">
        <f>SUM(Calculations!$N$30:$N$32)</f>
        <v>215323932.27700007</v>
      </c>
      <c r="L7" s="168">
        <f>K7/J7</f>
        <v>5300.4771198198096</v>
      </c>
      <c r="M7" s="78"/>
      <c r="N7" s="78"/>
      <c r="O7" s="78"/>
      <c r="P7" s="78"/>
      <c r="Q7" s="78"/>
      <c r="R7" s="78"/>
      <c r="S7" s="78"/>
      <c r="T7" s="78"/>
      <c r="U7" s="78"/>
      <c r="V7" s="78"/>
      <c r="W7" s="78"/>
      <c r="X7" s="78"/>
      <c r="Y7" s="78"/>
      <c r="Z7" s="78"/>
      <c r="AA7" s="78"/>
      <c r="AB7" s="78"/>
      <c r="AC7" s="78"/>
      <c r="AD7" s="78"/>
      <c r="AE7" s="78"/>
      <c r="AF7" s="78"/>
      <c r="AG7" s="78"/>
      <c r="AH7" s="78"/>
      <c r="AI7" s="78"/>
      <c r="AJ7" s="78"/>
      <c r="AK7" s="78"/>
    </row>
    <row r="8" spans="1:37">
      <c r="A8" s="78"/>
      <c r="B8" s="22" t="s">
        <v>31</v>
      </c>
      <c r="C8" s="167">
        <f>'Input-Metrics-Profitability'!$D$38</f>
        <v>158449</v>
      </c>
      <c r="D8" s="168">
        <f>'Input-Metrics-Profitability'!$E$38</f>
        <v>842568374.91999972</v>
      </c>
      <c r="E8" s="168">
        <f>D8/C8</f>
        <v>5317.5998265687995</v>
      </c>
      <c r="F8" s="168">
        <f>'Input-Metrics-Profitability'!K38-'Input-Metrics-Profitability'!I38</f>
        <v>-3168.98</v>
      </c>
      <c r="G8" s="78"/>
      <c r="H8" s="78"/>
      <c r="I8" s="22" t="s">
        <v>31</v>
      </c>
      <c r="J8" s="167">
        <f>Calculations!$M$35</f>
        <v>183834</v>
      </c>
      <c r="K8" s="168">
        <f>Calculations!N35</f>
        <v>980661370.49799967</v>
      </c>
      <c r="L8" s="168">
        <f>K8/J8</f>
        <v>5334.494002730723</v>
      </c>
      <c r="M8" s="78"/>
      <c r="N8" s="78"/>
      <c r="O8" s="78"/>
      <c r="P8" s="78"/>
      <c r="Q8" s="78"/>
      <c r="R8" s="78"/>
      <c r="S8" s="78"/>
      <c r="T8" s="78"/>
      <c r="U8" s="78"/>
      <c r="V8" s="78"/>
      <c r="W8" s="78"/>
      <c r="X8" s="78"/>
      <c r="Y8" s="78"/>
      <c r="Z8" s="78"/>
      <c r="AA8" s="78"/>
      <c r="AB8" s="78"/>
      <c r="AC8" s="78"/>
      <c r="AD8" s="78"/>
      <c r="AE8" s="78"/>
      <c r="AF8" s="78"/>
      <c r="AG8" s="78"/>
      <c r="AH8" s="78"/>
      <c r="AI8" s="78"/>
      <c r="AJ8" s="78"/>
      <c r="AK8" s="78"/>
    </row>
    <row r="9" spans="1:37">
      <c r="A9" s="78"/>
      <c r="B9" s="31" t="s">
        <v>230</v>
      </c>
      <c r="C9" s="169">
        <f>SUM(C6:C8)</f>
        <v>287920</v>
      </c>
      <c r="D9" s="170">
        <f>SUM(D6:D8)</f>
        <v>1541217791.7199998</v>
      </c>
      <c r="E9" s="170">
        <f>D9/C9</f>
        <v>5352.9375928035561</v>
      </c>
      <c r="F9" s="170">
        <f>SUM(F6:F8)</f>
        <v>1130574.2146197716</v>
      </c>
      <c r="G9" s="78"/>
      <c r="H9" s="78"/>
      <c r="I9" s="31" t="s">
        <v>230</v>
      </c>
      <c r="J9" s="169">
        <f>SUM(J6:J8)</f>
        <v>287920</v>
      </c>
      <c r="K9" s="170">
        <f>SUM(K6:K8)</f>
        <v>1541217791.7199998</v>
      </c>
      <c r="L9" s="170">
        <f>K9/J9</f>
        <v>5352.9375928035561</v>
      </c>
      <c r="M9" s="78"/>
      <c r="N9" s="78"/>
      <c r="O9" s="78"/>
      <c r="P9" s="78"/>
      <c r="Q9" s="78"/>
      <c r="R9" s="78"/>
      <c r="S9" s="78"/>
      <c r="T9" s="78"/>
      <c r="U9" s="78"/>
      <c r="V9" s="78"/>
      <c r="W9" s="78"/>
      <c r="X9" s="78"/>
      <c r="Y9" s="78"/>
      <c r="Z9" s="78"/>
      <c r="AA9" s="78"/>
      <c r="AB9" s="78"/>
      <c r="AC9" s="78"/>
      <c r="AD9" s="78"/>
      <c r="AE9" s="78"/>
      <c r="AF9" s="78"/>
      <c r="AG9" s="78"/>
      <c r="AH9" s="78"/>
      <c r="AI9" s="78"/>
      <c r="AJ9" s="78"/>
      <c r="AK9" s="78"/>
    </row>
    <row r="10" spans="1:37" ht="10" customHeight="1">
      <c r="A10" s="78"/>
      <c r="B10" s="328"/>
      <c r="C10" s="330"/>
      <c r="D10" s="331"/>
      <c r="E10" s="331"/>
      <c r="F10" s="331"/>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row>
    <row r="11" spans="1:37" ht="10" customHeight="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row>
    <row r="12" spans="1:37" ht="18.45">
      <c r="A12" s="78"/>
      <c r="B12" s="354" t="s">
        <v>82</v>
      </c>
      <c r="C12" s="354"/>
      <c r="D12" s="354"/>
      <c r="E12" s="354"/>
      <c r="F12" s="354"/>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row>
    <row r="13" spans="1:37">
      <c r="A13" s="78"/>
      <c r="B13" s="31" t="s">
        <v>42</v>
      </c>
      <c r="C13" s="40" t="s">
        <v>43</v>
      </c>
      <c r="D13" s="40" t="s">
        <v>60</v>
      </c>
      <c r="E13" s="40" t="s">
        <v>44</v>
      </c>
      <c r="F13" s="31" t="s">
        <v>45</v>
      </c>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row>
    <row r="14" spans="1:37">
      <c r="A14" s="78"/>
      <c r="B14" s="31" t="s">
        <v>47</v>
      </c>
      <c r="C14" s="22" t="str">
        <f>'Input-Metrics-Profitability'!$AN$8</f>
        <v>% of Principal</v>
      </c>
      <c r="D14" s="29" t="str">
        <f>'Input-Metrics-Profitability'!$AO$8</f>
        <v>CFEE</v>
      </c>
      <c r="E14" s="42" t="str">
        <f>IF($C$14="% of Principal","N/A",IF($C$14="Cost + %","N/A",IF($C$14="Flat Fee $",'Input-Metrics-Profitability'!$AP$8,IF('ACI Summary'!$C$14="Cost + $",'Input-Metrics-Profitability'!$AP$8))))</f>
        <v>N/A</v>
      </c>
      <c r="F14" s="44">
        <f>IF($C$14="% of Principal",'Input-Metrics-Profitability'!$AQ$8,IF($C$14="Cost + %",'Input-Metrics-Profitability'!$AQ$8,IF($C$14="Flat Fee $","N/A",IF($C$14="Cost + $","N/A"))))</f>
        <v>2.9499999999999998E-2</v>
      </c>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row>
    <row r="15" spans="1:37">
      <c r="A15" s="78"/>
      <c r="B15" s="31" t="s">
        <v>48</v>
      </c>
      <c r="C15" s="22" t="str">
        <f>'Input-Metrics-Profitability'!$AN$9</f>
        <v>% of Principal</v>
      </c>
      <c r="D15" s="29" t="str">
        <f>'Input-Metrics-Profitability'!$AO$9</f>
        <v>CFEE</v>
      </c>
      <c r="E15" s="42" t="str">
        <f>IF($C$15="% of Principal","N/A",IF($C$15="Cost + %","N/A",IF($C$15="Flat Fee $",'Input-Metrics-Profitability'!$AP$9,IF($C$15="Cost + $",'Input-Metrics-Profitability'!$AP$9))))</f>
        <v>N/A</v>
      </c>
      <c r="F15" s="44">
        <f>IF($C$15="% of Principal",'Input-Metrics-Profitability'!$AQ$9,IF($C$15="Cost + %",'Input-Metrics-Profitability'!$AQ$9,IF($C$15="Flat Fee $","N/A",IF($C$15="Cost + $","N/A"))))</f>
        <v>2.9499999999999998E-2</v>
      </c>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row>
    <row r="16" spans="1:37">
      <c r="A16" s="78"/>
      <c r="B16" s="31" t="s">
        <v>41</v>
      </c>
      <c r="C16" s="22" t="str">
        <f>'Input-Metrics-Profitability'!$AN$11</f>
        <v>Flat Fee $</v>
      </c>
      <c r="D16" s="29" t="str">
        <f>'Input-Metrics-Profitability'!$AO$11</f>
        <v>CFEE</v>
      </c>
      <c r="E16" s="42">
        <f>IF($C$16="% of Principal","N/A",IF($C$16="Cost + %","N/A",IF($C$16="Flat Fee $",'Input-Metrics-Profitability'!$AP$11,IF($C$16="Cost + $",'Input-Metrics-Profitability'!$AP$11))))</f>
        <v>7</v>
      </c>
      <c r="F16" s="44" t="str">
        <f>IF($C$16="% of Principal",'Input-Metrics-Profitability'!$AQ$11,IF($C$16="Cost + %",'Input-Metrics-Profitability'!$AQ$11,IF($C$16="Flat Fee $","N/A",IF($C$16="Cost + $","N/A"))))</f>
        <v>N/A</v>
      </c>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row>
    <row r="17" spans="1:37">
      <c r="A17" s="78"/>
      <c r="B17" s="31" t="s">
        <v>31</v>
      </c>
      <c r="C17" s="22" t="str">
        <f>'Input-Metrics-Profitability'!$AN$12</f>
        <v>Flat Fee $</v>
      </c>
      <c r="D17" s="29" t="str">
        <f>'Input-Metrics-Profitability'!$AO$12</f>
        <v>CFEE</v>
      </c>
      <c r="E17" s="41">
        <f>'Input-Metrics-Profitability'!$AP$12</f>
        <v>0.05</v>
      </c>
      <c r="F17" s="45" t="str">
        <f>'Input-Metrics-Profitability'!$AQ$12</f>
        <v>N/A</v>
      </c>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row>
    <row r="18" spans="1:37" ht="10" customHeight="1">
      <c r="A18" s="78"/>
      <c r="B18" s="328"/>
      <c r="C18" s="78"/>
      <c r="D18" s="332"/>
      <c r="E18" s="333"/>
      <c r="F18" s="334"/>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row>
    <row r="19" spans="1:37" ht="10" customHeight="1">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row>
    <row r="20" spans="1:37" ht="18.45">
      <c r="A20" s="78"/>
      <c r="B20" s="359" t="s">
        <v>81</v>
      </c>
      <c r="C20" s="359"/>
      <c r="D20" s="359"/>
      <c r="E20" s="359"/>
      <c r="F20" s="359"/>
      <c r="G20" s="78"/>
      <c r="H20" s="78"/>
      <c r="I20" s="355" t="s">
        <v>310</v>
      </c>
      <c r="J20" s="355"/>
      <c r="K20" s="355"/>
      <c r="L20" s="355"/>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row>
    <row r="21" spans="1:37">
      <c r="A21" s="78"/>
      <c r="B21" s="48"/>
      <c r="C21" s="50" t="s">
        <v>69</v>
      </c>
      <c r="D21" s="50" t="s">
        <v>31</v>
      </c>
      <c r="E21" s="360" t="s">
        <v>70</v>
      </c>
      <c r="F21" s="360"/>
      <c r="G21" s="78"/>
      <c r="H21" s="78"/>
      <c r="I21" s="48"/>
      <c r="J21" s="50" t="s">
        <v>69</v>
      </c>
      <c r="K21" s="50" t="s">
        <v>31</v>
      </c>
      <c r="L21" s="50" t="s">
        <v>70</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row>
    <row r="22" spans="1:37">
      <c r="A22" s="78"/>
      <c r="B22" s="49" t="s">
        <v>65</v>
      </c>
      <c r="C22" s="46">
        <f>'Input-Metrics-Profitability'!$AN$19</f>
        <v>20386538.847755004</v>
      </c>
      <c r="D22" s="46">
        <f>'Input-Metrics-Profitability'!$AO$19</f>
        <v>7922.4500000000007</v>
      </c>
      <c r="E22" s="361">
        <f>'Input-Metrics-Profitability'!$AP$19</f>
        <v>20394461.297755003</v>
      </c>
      <c r="F22" s="361"/>
      <c r="G22" s="78"/>
      <c r="H22" s="78"/>
      <c r="I22" s="49" t="s">
        <v>65</v>
      </c>
      <c r="J22" s="46">
        <f>Calculations!$N$71</f>
        <v>10468722.923877502</v>
      </c>
      <c r="K22" s="46">
        <f>Calculations!$N$72</f>
        <v>9191.7000000000007</v>
      </c>
      <c r="L22" s="46">
        <f>Calculations!N73</f>
        <v>10477914.623877501</v>
      </c>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row>
    <row r="23" spans="1:37">
      <c r="A23" s="78"/>
      <c r="B23" s="49" t="s">
        <v>67</v>
      </c>
      <c r="C23" s="52">
        <f>'Input-Metrics-Profitability'!$AN$20</f>
        <v>4247441.500862902</v>
      </c>
      <c r="D23" s="52">
        <f>'Input-Metrics-Profitability'!$AO$20</f>
        <v>1584.4900000000007</v>
      </c>
      <c r="E23" s="362">
        <f>'Input-Metrics-Profitability'!$AP$20</f>
        <v>4249025.9908629023</v>
      </c>
      <c r="F23" s="362"/>
      <c r="G23" s="78"/>
      <c r="H23" s="78"/>
      <c r="I23" s="49" t="s">
        <v>67</v>
      </c>
      <c r="J23" s="52">
        <f>Calculations!$P$71</f>
        <v>1840717.295945266</v>
      </c>
      <c r="K23" s="52">
        <f>Calculations!$P$72</f>
        <v>1838.3400000000001</v>
      </c>
      <c r="L23" s="52">
        <f>Calculations!$P$73</f>
        <v>1842555.6359452661</v>
      </c>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row>
    <row r="24" spans="1:37">
      <c r="A24" s="78"/>
      <c r="B24" s="49" t="s">
        <v>30</v>
      </c>
      <c r="C24" s="221">
        <f>'Input-Metrics-Profitability'!$AN$21</f>
        <v>0.20834539558590331</v>
      </c>
      <c r="D24" s="221">
        <f>'Input-Metrics-Profitability'!$AO$21</f>
        <v>0.20000000000000007</v>
      </c>
      <c r="E24" s="363">
        <f>'Input-Metrics-Profitability'!$AP$21</f>
        <v>0.20834215372634676</v>
      </c>
      <c r="F24" s="363"/>
      <c r="G24" s="78"/>
      <c r="H24" s="78"/>
      <c r="I24" s="49" t="s">
        <v>30</v>
      </c>
      <c r="J24" s="221">
        <f>J23/J22</f>
        <v>0.17583016661439008</v>
      </c>
      <c r="K24" s="221">
        <f>K23/K22</f>
        <v>0.2</v>
      </c>
      <c r="L24" s="221">
        <f>L23/L22</f>
        <v>0.17585136948399779</v>
      </c>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row>
    <row r="25" spans="1:37">
      <c r="A25" s="78"/>
      <c r="B25" s="31" t="s">
        <v>68</v>
      </c>
      <c r="C25" s="52">
        <f>'Input-Metrics-Profitability'!$AN$23</f>
        <v>3113698.3062431328</v>
      </c>
      <c r="D25" s="52">
        <f>'Input-Metrics-Profitability'!$AO$23</f>
        <v>4753.4700000000012</v>
      </c>
      <c r="E25" s="362">
        <f>'Input-Metrics-Profitability'!$AP$23</f>
        <v>3118451.776243133</v>
      </c>
      <c r="F25" s="362"/>
      <c r="G25" s="78"/>
      <c r="H25" s="78"/>
      <c r="I25" s="31" t="s">
        <v>68</v>
      </c>
      <c r="J25" s="52">
        <f>'Input-Metrics-Profitability'!$AG$23</f>
        <v>706974.1013254968</v>
      </c>
      <c r="K25" s="52">
        <f>'Input-Metrics-Profitability'!$AH$23</f>
        <v>5007.32</v>
      </c>
      <c r="L25" s="52">
        <f>'Input-Metrics-Profitability'!$AI$23</f>
        <v>711981.42132549686</v>
      </c>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row>
    <row r="26" spans="1:37" ht="10" customHeight="1">
      <c r="A26" s="78"/>
      <c r="B26" s="328"/>
      <c r="C26" s="85"/>
      <c r="D26" s="85"/>
      <c r="E26" s="85"/>
      <c r="F26" s="85"/>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row>
    <row r="27" spans="1:37" ht="10" customHeight="1">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row>
    <row r="28" spans="1:37" ht="18.45">
      <c r="A28" s="78"/>
      <c r="B28" s="354" t="s">
        <v>83</v>
      </c>
      <c r="C28" s="354"/>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row>
    <row r="29" spans="1:37">
      <c r="A29" s="78"/>
      <c r="B29" s="22" t="s">
        <v>84</v>
      </c>
      <c r="C29" s="46">
        <f>'Input-Metrics-Profitability'!$AN$36</f>
        <v>5935.8030638521404</v>
      </c>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row>
    <row r="30" spans="1:37">
      <c r="A30" s="78"/>
      <c r="B30" s="22" t="s">
        <v>85</v>
      </c>
      <c r="C30" s="47">
        <f>'Input-Metrics-Profitability'!$AN$37</f>
        <v>6.9999999999999993E-2</v>
      </c>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row>
    <row r="31" spans="1:37">
      <c r="A31" s="78"/>
      <c r="B31" s="22" t="s">
        <v>86</v>
      </c>
      <c r="C31" s="47">
        <f>'Input-Metrics-Profitability'!$AN$38</f>
        <v>0.98828534209978014</v>
      </c>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row>
    <row r="32" spans="1:37">
      <c r="A32" s="78"/>
      <c r="B32" s="22" t="s">
        <v>87</v>
      </c>
      <c r="C32" s="47">
        <f>'Input-Metrics-Profitability'!$AN$39</f>
        <v>1.1714657900219687E-2</v>
      </c>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row>
    <row r="33" spans="1:37">
      <c r="A33" s="78"/>
      <c r="B33" s="166" t="s">
        <v>224</v>
      </c>
      <c r="C33" s="47">
        <f>'Input-Metrics-Profitability'!$AN$40</f>
        <v>0.01</v>
      </c>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row>
    <row r="34" spans="1:37">
      <c r="A34" s="78"/>
      <c r="B34" s="166" t="s">
        <v>225</v>
      </c>
      <c r="C34" s="47">
        <f>'Input-Metrics-Profitability'!$AN$41</f>
        <v>0.01</v>
      </c>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row>
    <row r="35" spans="1:37" ht="10" customHeight="1">
      <c r="A35" s="78"/>
      <c r="B35" s="335"/>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row>
    <row r="36" spans="1:37" ht="10"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row>
    <row r="37" spans="1:37" ht="18.45">
      <c r="A37" s="78"/>
      <c r="B37" s="354" t="s">
        <v>185</v>
      </c>
      <c r="C37" s="354"/>
      <c r="D37" s="354"/>
      <c r="E37" s="354"/>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row>
    <row r="38" spans="1:37">
      <c r="A38" s="78"/>
      <c r="B38" s="326" t="s">
        <v>308</v>
      </c>
      <c r="C38" s="326" t="s">
        <v>37</v>
      </c>
      <c r="D38" s="326" t="s">
        <v>191</v>
      </c>
      <c r="E38" s="326" t="s">
        <v>192</v>
      </c>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row>
    <row r="39" spans="1:37">
      <c r="A39" s="78"/>
      <c r="B39" s="52" t="s">
        <v>72</v>
      </c>
      <c r="C39" s="324"/>
      <c r="D39" s="323"/>
      <c r="E39" s="46">
        <f>IF('Input-Metrics-Profitability'!$D$11="Repricing",((('Input-Metrics-Profitability'!AP20-'Input-Metrics-Profitability'!J20)/12)*'Input-Metrics-Profitability'!$D$12),'Input-Metrics-Profitability'!$AP$19/12*'Input-Metrics-Profitability'!$D$12)</f>
        <v>9355355.3287293985</v>
      </c>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row>
    <row r="40" spans="1:37">
      <c r="A40" s="78"/>
      <c r="B40" s="52" t="s">
        <v>73</v>
      </c>
      <c r="C40" s="324">
        <f>'Input-Metrics-Profitability'!J19/12</f>
        <v>1439667.4601259893</v>
      </c>
      <c r="D40" s="46">
        <f>IF('Input-Metrics-Profitability'!$AP$23&lt;0,0,('Input-Metrics-Profitability'!AP20-'Input-Metrics-Profitability'!J20)/12)</f>
        <v>259870.98135359443</v>
      </c>
      <c r="E40" s="46"/>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row>
    <row r="41" spans="1:37">
      <c r="A41" s="78"/>
      <c r="B41" s="52" t="s">
        <v>74</v>
      </c>
      <c r="C41" s="324"/>
      <c r="D41" s="46">
        <f>IF('Input-Metrics-Profitability'!$AP$23&lt;0,0,IF('Input-Metrics-Profitability'!$D$12&lt;13,('Input-Metrics-Profitability'!AP23/12*'Input-Metrics-Profitability'!D12),('Input-Metrics-Profitability'!AP20-'Input-Metrics-Profitability'!J20)))</f>
        <v>3118451.776243133</v>
      </c>
      <c r="E41" s="46"/>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row>
    <row r="42" spans="1:37">
      <c r="A42" s="78"/>
      <c r="B42" s="52" t="s">
        <v>189</v>
      </c>
      <c r="C42" s="324"/>
      <c r="D42" s="325">
        <f>IF('Input-Metrics-Profitability'!$AP$23&lt;0,0,1)</f>
        <v>1</v>
      </c>
      <c r="E42" s="51"/>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row>
    <row r="43" spans="1:37">
      <c r="A43" s="78"/>
      <c r="B43" s="52" t="s">
        <v>75</v>
      </c>
      <c r="C43" s="324"/>
      <c r="D43" s="46">
        <f>IF('Input-Metrics-Profitability'!$AP$23&lt;0,0,IF('Input-Metrics-Profitability'!$D$12&gt;23,'Input-Metrics-Profitability'!AP23,IF('Input-Metrics-Profitability'!$D$12&lt;13,0,('Input-Metrics-Profitability'!$AP$23/12)*('Input-Metrics-Profitability'!D12-12))))</f>
        <v>3118451.776243133</v>
      </c>
      <c r="E43" s="46"/>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row>
    <row r="44" spans="1:37">
      <c r="A44" s="78"/>
      <c r="B44" s="52" t="s">
        <v>76</v>
      </c>
      <c r="C44" s="324"/>
      <c r="D44" s="325">
        <f>IF('Input-Metrics-Profitability'!D12&lt;13,0,D42)</f>
        <v>1</v>
      </c>
      <c r="E44" s="51"/>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row>
    <row r="45" spans="1:37">
      <c r="A45" s="78"/>
      <c r="B45" s="52" t="s">
        <v>77</v>
      </c>
      <c r="C45" s="324"/>
      <c r="D45" s="46">
        <f>IF('Input-Metrics-Profitability'!$D$12&lt;13,'ACI Summary'!D41,IF('Input-Metrics-Profitability'!D12&gt;23,('ACI Summary'!D41+'ACI Summary'!D43)*0.446,((D41*D42*0.9339)+(D43*D44*1.0165))*0.446))</f>
        <v>2781658.9844088745</v>
      </c>
      <c r="E45" s="46"/>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row>
    <row r="46" spans="1:37">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row>
    <row r="47" spans="1:37" ht="7.5" customHeight="1">
      <c r="A47" s="78"/>
      <c r="B47" s="78"/>
      <c r="C47" s="78"/>
      <c r="D47" s="85"/>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row>
    <row r="48" spans="1:37">
      <c r="A48" s="78"/>
      <c r="B48" s="32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row>
    <row r="49" spans="1:37">
      <c r="A49" s="78"/>
      <c r="B49" s="329"/>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row>
    <row r="50" spans="1:37">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row>
    <row r="51" spans="1:37">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row>
    <row r="52" spans="1:37">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row>
    <row r="53" spans="1:37">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row>
    <row r="54" spans="1:37">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row>
    <row r="55" spans="1:37">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row>
    <row r="56" spans="1:37">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row>
    <row r="57" spans="1:3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row>
    <row r="58" spans="1:37">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row>
    <row r="59" spans="1:37">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row>
    <row r="60" spans="1:37">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row>
    <row r="61" spans="1:37">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row>
    <row r="62" spans="1:37">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row>
    <row r="63" spans="1:37">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row>
    <row r="64" spans="1:37">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row>
    <row r="65" spans="1:37">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row>
    <row r="66" spans="1:37">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row>
    <row r="67" spans="1:3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row>
    <row r="68" spans="1:37">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row>
    <row r="69" spans="1:37">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row>
    <row r="70" spans="1:37">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row>
    <row r="71" spans="1:37">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row>
    <row r="72" spans="1:37">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row>
    <row r="73" spans="1:37">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row>
    <row r="74" spans="1:37">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row>
    <row r="75" spans="1:37">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row>
    <row r="76" spans="1:37">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row>
    <row r="77" spans="1:3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row>
    <row r="78" spans="1:37">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row>
    <row r="79" spans="1:37">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row>
    <row r="80" spans="1:37">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row>
    <row r="81" spans="1:37">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row>
    <row r="82" spans="1:37">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row>
    <row r="83" spans="1:37">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row>
    <row r="84" spans="1:37">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row>
    <row r="85" spans="1:37">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row>
  </sheetData>
  <mergeCells count="13">
    <mergeCell ref="B37:E37"/>
    <mergeCell ref="I4:L4"/>
    <mergeCell ref="I20:L20"/>
    <mergeCell ref="B2:F2"/>
    <mergeCell ref="B12:F12"/>
    <mergeCell ref="B28:C28"/>
    <mergeCell ref="B20:F20"/>
    <mergeCell ref="E21:F21"/>
    <mergeCell ref="E22:F22"/>
    <mergeCell ref="E23:F23"/>
    <mergeCell ref="E24:F24"/>
    <mergeCell ref="E25:F25"/>
    <mergeCell ref="B4:F4"/>
  </mergeCells>
  <pageMargins left="0.7" right="0.7" top="0.75" bottom="0.75" header="0.3" footer="0.3"/>
  <ignoredErrors>
    <ignoredError sqref="E9" formula="1"/>
  </ignoredErrors>
  <extLst>
    <ext xmlns:x14="http://schemas.microsoft.com/office/spreadsheetml/2009/9/main" uri="{78C0D931-6437-407d-A8EE-F0AAD7539E65}">
      <x14:conditionalFormattings>
        <x14:conditionalFormatting xmlns:xm="http://schemas.microsoft.com/office/excel/2006/main">
          <x14:cfRule type="expression" priority="1" id="{AA5A0A5D-5045-49C7-9CEF-4FE4B350ADE8}">
            <xm:f>'Input-Metrics-Profitability'!$D$11="Repricing"</xm:f>
            <x14:dxf>
              <font>
                <color theme="0"/>
              </font>
              <fill>
                <patternFill>
                  <bgColor theme="0"/>
                </patternFill>
              </fill>
            </x14:dxf>
          </x14:cfRule>
          <xm:sqref>C39:C45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414BF-AA68-4493-86CF-066393EC5FC1}">
  <dimension ref="B3:Q40"/>
  <sheetViews>
    <sheetView workbookViewId="0">
      <selection activeCell="G30" sqref="G30"/>
    </sheetView>
  </sheetViews>
  <sheetFormatPr defaultRowHeight="14.6"/>
  <cols>
    <col min="3" max="3" width="19.23046875" customWidth="1"/>
    <col min="4" max="4" width="12.53515625" bestFit="1" customWidth="1"/>
    <col min="5" max="5" width="10.07421875" bestFit="1" customWidth="1"/>
    <col min="6" max="6" width="14.61328125" bestFit="1" customWidth="1"/>
  </cols>
  <sheetData>
    <row r="3" spans="3:17">
      <c r="C3" t="s">
        <v>195</v>
      </c>
    </row>
    <row r="4" spans="3:17">
      <c r="C4" s="22" t="s">
        <v>72</v>
      </c>
      <c r="D4" s="165" t="s">
        <v>196</v>
      </c>
      <c r="E4" s="115"/>
      <c r="F4" s="115"/>
      <c r="G4" s="115"/>
      <c r="H4" s="115"/>
      <c r="I4" s="115"/>
      <c r="J4" s="115"/>
      <c r="K4" s="115"/>
      <c r="L4" s="115"/>
      <c r="M4" s="115"/>
      <c r="N4" s="339"/>
      <c r="Q4" t="s">
        <v>33</v>
      </c>
    </row>
    <row r="5" spans="3:17">
      <c r="C5" s="22" t="s">
        <v>197</v>
      </c>
      <c r="D5" s="165" t="s">
        <v>198</v>
      </c>
      <c r="E5" s="115"/>
      <c r="F5" s="115"/>
      <c r="G5" s="115"/>
      <c r="H5" s="115"/>
      <c r="I5" s="115"/>
      <c r="J5" s="115"/>
      <c r="K5" s="115"/>
      <c r="L5" s="115"/>
      <c r="M5" s="115"/>
      <c r="N5" s="339"/>
      <c r="Q5" t="s">
        <v>199</v>
      </c>
    </row>
    <row r="6" spans="3:17">
      <c r="C6" s="166" t="s">
        <v>200</v>
      </c>
      <c r="D6" s="165" t="s">
        <v>201</v>
      </c>
      <c r="E6" s="115"/>
      <c r="F6" s="115"/>
      <c r="G6" s="115"/>
      <c r="H6" s="115"/>
      <c r="I6" s="115"/>
      <c r="J6" s="115"/>
      <c r="K6" s="115"/>
      <c r="L6" s="115"/>
      <c r="M6" s="115"/>
      <c r="N6" s="339"/>
    </row>
    <row r="7" spans="3:17">
      <c r="C7" s="166" t="s">
        <v>202</v>
      </c>
      <c r="D7" s="165" t="s">
        <v>203</v>
      </c>
      <c r="E7" s="115"/>
      <c r="F7" s="115"/>
      <c r="G7" s="115"/>
      <c r="H7" s="115"/>
      <c r="I7" s="115"/>
      <c r="J7" s="115"/>
      <c r="K7" s="115"/>
      <c r="L7" s="115"/>
      <c r="M7" s="115"/>
      <c r="N7" s="339"/>
    </row>
    <row r="8" spans="3:17">
      <c r="C8" s="166" t="s">
        <v>204</v>
      </c>
      <c r="D8" s="340" t="s">
        <v>205</v>
      </c>
      <c r="E8" s="36"/>
      <c r="F8" s="36"/>
      <c r="G8" s="36"/>
      <c r="H8" s="36"/>
      <c r="I8" s="36"/>
      <c r="J8" s="36"/>
      <c r="K8" s="36"/>
      <c r="L8" s="36"/>
      <c r="M8" s="36"/>
      <c r="N8" s="37"/>
    </row>
    <row r="9" spans="3:17">
      <c r="C9" s="29" t="s">
        <v>206</v>
      </c>
      <c r="D9" s="165" t="s">
        <v>207</v>
      </c>
      <c r="E9" s="115"/>
      <c r="F9" s="115"/>
      <c r="G9" s="115"/>
      <c r="H9" s="115"/>
      <c r="I9" s="115"/>
      <c r="J9" s="115"/>
      <c r="K9" s="115"/>
      <c r="L9" s="115"/>
      <c r="M9" s="115"/>
      <c r="N9" s="339"/>
    </row>
    <row r="10" spans="3:17">
      <c r="C10" s="29" t="s">
        <v>208</v>
      </c>
      <c r="D10" s="165" t="s">
        <v>209</v>
      </c>
      <c r="E10" s="115"/>
      <c r="F10" s="115"/>
      <c r="G10" s="115"/>
      <c r="H10" s="115"/>
      <c r="I10" s="115"/>
      <c r="J10" s="115"/>
      <c r="K10" s="115"/>
      <c r="L10" s="115"/>
      <c r="M10" s="115"/>
      <c r="N10" s="339"/>
    </row>
    <row r="11" spans="3:17">
      <c r="C11" s="2"/>
    </row>
    <row r="13" spans="3:17">
      <c r="C13" t="s">
        <v>210</v>
      </c>
    </row>
    <row r="14" spans="3:17">
      <c r="C14" s="22" t="s">
        <v>211</v>
      </c>
      <c r="D14" s="165" t="s">
        <v>212</v>
      </c>
      <c r="E14" s="115"/>
      <c r="F14" s="115"/>
      <c r="G14" s="115"/>
      <c r="H14" s="115"/>
      <c r="I14" s="115"/>
      <c r="J14" s="115"/>
      <c r="K14" s="115"/>
      <c r="L14" s="115"/>
      <c r="M14" s="115"/>
      <c r="N14" s="339"/>
    </row>
    <row r="17" spans="2:14">
      <c r="C17" t="s">
        <v>213</v>
      </c>
    </row>
    <row r="18" spans="2:14">
      <c r="C18" s="22" t="s">
        <v>211</v>
      </c>
      <c r="D18" s="165" t="s">
        <v>214</v>
      </c>
      <c r="E18" s="115"/>
      <c r="F18" s="115"/>
      <c r="G18" s="115"/>
      <c r="H18" s="115"/>
      <c r="I18" s="115"/>
      <c r="J18" s="115"/>
      <c r="K18" s="115"/>
      <c r="L18" s="115"/>
      <c r="M18" s="115"/>
      <c r="N18" s="339"/>
    </row>
    <row r="19" spans="2:14">
      <c r="C19" s="22" t="s">
        <v>73</v>
      </c>
      <c r="D19" s="165" t="s">
        <v>215</v>
      </c>
      <c r="E19" s="115"/>
      <c r="F19" s="115"/>
      <c r="G19" s="115"/>
      <c r="H19" s="115"/>
      <c r="I19" s="115"/>
      <c r="J19" s="115"/>
      <c r="K19" s="115"/>
      <c r="L19" s="115"/>
      <c r="M19" s="115"/>
      <c r="N19" s="339"/>
    </row>
    <row r="20" spans="2:14">
      <c r="C20" s="166" t="s">
        <v>200</v>
      </c>
      <c r="D20" s="165" t="s">
        <v>216</v>
      </c>
      <c r="E20" s="115"/>
      <c r="F20" s="115"/>
      <c r="G20" s="115"/>
      <c r="H20" s="115"/>
      <c r="I20" s="115"/>
      <c r="J20" s="115"/>
      <c r="K20" s="115"/>
      <c r="L20" s="115"/>
      <c r="M20" s="115"/>
      <c r="N20" s="339"/>
    </row>
    <row r="21" spans="2:14">
      <c r="B21" t="s">
        <v>217</v>
      </c>
      <c r="C21" s="166" t="s">
        <v>202</v>
      </c>
      <c r="D21" s="165" t="s">
        <v>218</v>
      </c>
      <c r="E21" s="115"/>
      <c r="F21" s="115"/>
      <c r="G21" s="115"/>
      <c r="H21" s="115"/>
      <c r="I21" s="115"/>
      <c r="J21" s="115"/>
      <c r="K21" s="115"/>
      <c r="L21" s="115"/>
      <c r="M21" s="115"/>
      <c r="N21" s="339"/>
    </row>
    <row r="22" spans="2:14">
      <c r="C22" s="166" t="s">
        <v>189</v>
      </c>
      <c r="D22" s="165" t="s">
        <v>219</v>
      </c>
      <c r="E22" s="115"/>
      <c r="F22" s="115"/>
      <c r="G22" s="115"/>
      <c r="H22" s="115"/>
      <c r="I22" s="115"/>
      <c r="J22" s="115"/>
      <c r="K22" s="115"/>
      <c r="L22" s="115"/>
      <c r="M22" s="115"/>
      <c r="N22" s="339"/>
    </row>
    <row r="23" spans="2:14">
      <c r="C23" s="166" t="s">
        <v>220</v>
      </c>
      <c r="D23" s="165" t="s">
        <v>221</v>
      </c>
      <c r="E23" s="115"/>
      <c r="F23" s="115"/>
      <c r="G23" s="115"/>
      <c r="H23" s="115"/>
      <c r="I23" s="115"/>
      <c r="J23" s="115"/>
      <c r="K23" s="115"/>
      <c r="L23" s="115"/>
      <c r="M23" s="115"/>
      <c r="N23" s="339"/>
    </row>
    <row r="24" spans="2:14">
      <c r="B24" t="s">
        <v>217</v>
      </c>
      <c r="C24" s="166" t="s">
        <v>222</v>
      </c>
      <c r="D24" s="165" t="s">
        <v>223</v>
      </c>
      <c r="E24" s="115"/>
      <c r="F24" s="115"/>
      <c r="G24" s="115"/>
      <c r="H24" s="115"/>
      <c r="I24" s="115"/>
      <c r="J24" s="115"/>
      <c r="K24" s="115"/>
      <c r="L24" s="115"/>
      <c r="M24" s="115"/>
      <c r="N24" s="339"/>
    </row>
    <row r="25" spans="2:14">
      <c r="C25" s="166" t="s">
        <v>76</v>
      </c>
      <c r="D25" s="165" t="s">
        <v>219</v>
      </c>
      <c r="E25" s="36"/>
      <c r="F25" s="36"/>
      <c r="G25" s="36"/>
      <c r="H25" s="36"/>
      <c r="I25" s="36"/>
      <c r="J25" s="36"/>
      <c r="K25" s="36"/>
      <c r="L25" s="36"/>
      <c r="M25" s="36"/>
      <c r="N25" s="37"/>
    </row>
    <row r="29" spans="2:14">
      <c r="C29" s="338" t="s">
        <v>311</v>
      </c>
    </row>
    <row r="30" spans="2:14">
      <c r="C30" t="s">
        <v>312</v>
      </c>
      <c r="D30" s="341">
        <v>0.03</v>
      </c>
    </row>
    <row r="31" spans="2:14">
      <c r="C31" t="s">
        <v>313</v>
      </c>
      <c r="D31" s="15">
        <v>7.4999999999999997E-2</v>
      </c>
    </row>
    <row r="33" spans="3:6">
      <c r="C33" t="s">
        <v>314</v>
      </c>
      <c r="D33" t="s">
        <v>315</v>
      </c>
      <c r="E33" t="s">
        <v>316</v>
      </c>
    </row>
    <row r="34" spans="3:6">
      <c r="C34" s="8">
        <v>100000</v>
      </c>
      <c r="D34" s="3">
        <f>C34*$D$31</f>
        <v>7500</v>
      </c>
      <c r="E34" s="8">
        <f>D34*$D$30</f>
        <v>225</v>
      </c>
    </row>
    <row r="35" spans="3:6">
      <c r="C35" s="8">
        <v>500000</v>
      </c>
      <c r="D35" s="3">
        <f t="shared" ref="D35:D37" si="0">C35*$D$31</f>
        <v>37500</v>
      </c>
      <c r="E35" s="8">
        <f t="shared" ref="E35:E37" si="1">D35*$D$30</f>
        <v>1125</v>
      </c>
    </row>
    <row r="36" spans="3:6">
      <c r="C36" s="8">
        <v>1000000</v>
      </c>
      <c r="D36" s="3">
        <f t="shared" si="0"/>
        <v>75000</v>
      </c>
      <c r="E36" s="8">
        <f t="shared" si="1"/>
        <v>2250</v>
      </c>
    </row>
    <row r="37" spans="3:6">
      <c r="C37" s="8">
        <v>5000000</v>
      </c>
      <c r="D37" s="3">
        <f t="shared" si="0"/>
        <v>375000</v>
      </c>
      <c r="E37" s="8">
        <f t="shared" si="1"/>
        <v>11250</v>
      </c>
    </row>
    <row r="39" spans="3:6">
      <c r="F39" s="8"/>
    </row>
    <row r="40" spans="3:6">
      <c r="D4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A3ED-3F17-40CC-868D-E31620F363D8}">
  <sheetPr>
    <tabColor rgb="FF99FFCC"/>
  </sheetPr>
  <dimension ref="A1:AB64"/>
  <sheetViews>
    <sheetView showGridLines="0" zoomScale="80" zoomScaleNormal="80" workbookViewId="0">
      <selection activeCell="C34" sqref="C34"/>
    </sheetView>
  </sheetViews>
  <sheetFormatPr defaultRowHeight="14.6"/>
  <cols>
    <col min="1" max="2" width="4.3046875" customWidth="1"/>
    <col min="3" max="3" width="22.69140625" customWidth="1"/>
    <col min="4" max="4" width="14.53515625" customWidth="1"/>
    <col min="5" max="5" width="16.3046875" customWidth="1"/>
    <col min="6" max="6" width="12.53515625" customWidth="1"/>
    <col min="7" max="8" width="16.15234375" customWidth="1"/>
    <col min="9" max="9" width="17.3046875" customWidth="1"/>
    <col min="10" max="10" width="18.15234375" customWidth="1"/>
    <col min="11" max="11" width="12.84375" customWidth="1"/>
    <col min="12" max="15" width="4.3046875" customWidth="1"/>
    <col min="16" max="16" width="23.3046875" bestFit="1" customWidth="1"/>
    <col min="17" max="17" width="16.15234375" bestFit="1" customWidth="1"/>
    <col min="18" max="18" width="18.15234375" bestFit="1" customWidth="1"/>
    <col min="19" max="19" width="14.84375" customWidth="1"/>
    <col min="20" max="20" width="14.3046875" customWidth="1"/>
    <col min="21" max="22" width="4.3046875" customWidth="1"/>
    <col min="23" max="24" width="14.3046875" customWidth="1"/>
    <col min="25" max="25" width="20.3046875" customWidth="1"/>
    <col min="26" max="26" width="10" bestFit="1" customWidth="1"/>
    <col min="28" max="28" width="15.3046875" bestFit="1" customWidth="1"/>
  </cols>
  <sheetData>
    <row r="1" spans="1:28">
      <c r="A1" s="78"/>
      <c r="B1" s="78"/>
      <c r="C1" s="78"/>
      <c r="D1" s="78"/>
      <c r="E1" s="78"/>
      <c r="F1" s="78"/>
      <c r="G1" s="78"/>
      <c r="H1" s="78"/>
      <c r="I1" s="78"/>
      <c r="J1" s="78"/>
      <c r="K1" s="78"/>
      <c r="L1" s="78"/>
      <c r="M1" s="78"/>
      <c r="N1" s="78"/>
      <c r="O1" s="78"/>
      <c r="P1" s="78"/>
      <c r="Q1" s="78"/>
      <c r="R1" s="78"/>
      <c r="S1" s="78"/>
      <c r="T1" s="78"/>
      <c r="U1" s="78"/>
      <c r="V1" s="78"/>
      <c r="W1" s="78"/>
      <c r="X1" s="78"/>
      <c r="Y1" s="78"/>
      <c r="Z1" s="78"/>
      <c r="AA1" s="78"/>
      <c r="AB1" s="78"/>
    </row>
    <row r="2" spans="1:28" ht="15" thickBot="1">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row>
    <row r="3" spans="1:28" ht="21" thickBot="1">
      <c r="A3" s="78"/>
      <c r="B3" s="365" t="s">
        <v>126</v>
      </c>
      <c r="C3" s="366"/>
      <c r="D3" s="366"/>
      <c r="E3" s="366"/>
      <c r="F3" s="366"/>
      <c r="G3" s="366"/>
      <c r="H3" s="366"/>
      <c r="I3" s="366"/>
      <c r="J3" s="366"/>
      <c r="K3" s="366"/>
      <c r="L3" s="367"/>
      <c r="M3" s="78"/>
      <c r="N3" s="78"/>
      <c r="O3" s="368" t="s">
        <v>186</v>
      </c>
      <c r="P3" s="369"/>
      <c r="Q3" s="369"/>
      <c r="R3" s="369"/>
      <c r="S3" s="369"/>
      <c r="T3" s="369"/>
      <c r="U3" s="370"/>
      <c r="V3" s="78"/>
      <c r="W3" s="78"/>
      <c r="X3" s="78"/>
      <c r="Y3" s="78"/>
      <c r="Z3" s="78"/>
      <c r="AA3" s="78"/>
      <c r="AB3" s="78"/>
    </row>
    <row r="4" spans="1:28" ht="15" thickBot="1">
      <c r="A4" s="78"/>
      <c r="B4" s="78"/>
      <c r="C4" s="78"/>
      <c r="D4" s="78"/>
      <c r="E4" s="78"/>
      <c r="F4" s="78"/>
      <c r="G4" s="78"/>
      <c r="H4" s="78"/>
      <c r="I4" s="78"/>
      <c r="J4" s="78"/>
      <c r="K4" s="78"/>
      <c r="L4" s="78"/>
      <c r="M4" s="78"/>
      <c r="N4" s="78"/>
      <c r="O4" s="78"/>
      <c r="P4" s="78"/>
      <c r="Q4" s="78"/>
      <c r="R4" s="78"/>
      <c r="S4" s="78"/>
      <c r="T4" s="78"/>
      <c r="U4" s="78"/>
      <c r="V4" s="78"/>
      <c r="W4" s="78"/>
      <c r="X4" s="78"/>
      <c r="Y4" s="78"/>
      <c r="Z4" s="78"/>
      <c r="AA4" s="78"/>
      <c r="AB4" s="78"/>
    </row>
    <row r="5" spans="1:28">
      <c r="A5" s="78"/>
      <c r="B5" s="251"/>
      <c r="C5" s="253"/>
      <c r="D5" s="253"/>
      <c r="E5" s="253"/>
      <c r="F5" s="253"/>
      <c r="G5" s="253"/>
      <c r="H5" s="253"/>
      <c r="I5" s="253"/>
      <c r="J5" s="253"/>
      <c r="K5" s="253"/>
      <c r="L5" s="254"/>
      <c r="M5" s="78"/>
      <c r="N5" s="78"/>
      <c r="O5" s="251"/>
      <c r="P5" s="253"/>
      <c r="Q5" s="253"/>
      <c r="R5" s="253"/>
      <c r="S5" s="253"/>
      <c r="T5" s="253"/>
      <c r="U5" s="254"/>
      <c r="V5" s="78"/>
      <c r="W5" s="78"/>
      <c r="X5" s="78"/>
      <c r="Y5" s="78"/>
      <c r="Z5" s="78"/>
      <c r="AA5" s="78"/>
      <c r="AB5" s="78"/>
    </row>
    <row r="6" spans="1:28">
      <c r="A6" s="78"/>
      <c r="B6" s="242"/>
      <c r="C6" t="s">
        <v>51</v>
      </c>
      <c r="D6" s="364" t="str">
        <f>'Input-Metrics-Profitability'!D6</f>
        <v>PURE</v>
      </c>
      <c r="E6" s="364"/>
      <c r="F6" s="364"/>
      <c r="G6" s="364"/>
      <c r="H6" s="364"/>
      <c r="I6" s="364"/>
      <c r="L6" s="255"/>
      <c r="M6" s="78"/>
      <c r="N6" s="78"/>
      <c r="O6" s="242"/>
      <c r="T6" s="36"/>
      <c r="U6" s="255"/>
      <c r="V6" s="78"/>
      <c r="W6" s="78"/>
      <c r="X6" s="78"/>
      <c r="Y6" s="78"/>
      <c r="Z6" s="78"/>
      <c r="AA6" s="78"/>
      <c r="AB6" s="78"/>
    </row>
    <row r="7" spans="1:28">
      <c r="A7" s="78"/>
      <c r="B7" s="242"/>
      <c r="C7" s="22" t="s">
        <v>50</v>
      </c>
      <c r="D7" s="22" t="str">
        <f>'Input-Metrics-Profitability'!$D$8</f>
        <v>L12 Mar 2024</v>
      </c>
      <c r="E7" s="24"/>
      <c r="F7" s="87" t="s">
        <v>42</v>
      </c>
      <c r="G7" s="88" t="s">
        <v>43</v>
      </c>
      <c r="H7" s="88" t="s">
        <v>60</v>
      </c>
      <c r="I7" s="89" t="s">
        <v>44</v>
      </c>
      <c r="J7" s="90" t="s">
        <v>45</v>
      </c>
      <c r="L7" s="255"/>
      <c r="M7" s="78"/>
      <c r="N7" s="78"/>
      <c r="O7" s="242"/>
      <c r="P7" s="87" t="s">
        <v>42</v>
      </c>
      <c r="Q7" s="88" t="s">
        <v>43</v>
      </c>
      <c r="R7" s="88" t="s">
        <v>60</v>
      </c>
      <c r="S7" s="89" t="s">
        <v>44</v>
      </c>
      <c r="T7" s="90" t="s">
        <v>45</v>
      </c>
      <c r="U7" s="321"/>
      <c r="V7" s="78"/>
      <c r="W7" s="78"/>
      <c r="X7" s="78"/>
      <c r="Y7" s="78"/>
      <c r="Z7" s="78"/>
      <c r="AA7" s="78"/>
      <c r="AB7" s="78"/>
    </row>
    <row r="8" spans="1:28">
      <c r="A8" s="78"/>
      <c r="B8" s="242"/>
      <c r="C8" s="22" t="s">
        <v>124</v>
      </c>
      <c r="D8" s="22" t="str">
        <f>'Input-Metrics-Profitability'!$D$10</f>
        <v>Greg Halligan</v>
      </c>
      <c r="F8" s="103" t="s">
        <v>47</v>
      </c>
      <c r="G8" s="102" t="str">
        <f>'Input-Metrics-Profitability'!H8</f>
        <v>Cost + %</v>
      </c>
      <c r="H8" s="102" t="str">
        <f>'Input-Metrics-Profitability'!I8</f>
        <v>CFEE</v>
      </c>
      <c r="I8" s="336">
        <f>'Input-Metrics-Profitability'!J8</f>
        <v>1.95</v>
      </c>
      <c r="J8" s="105">
        <f>'Input-Metrics-Profitability'!K8</f>
        <v>1.6227641036510301E-3</v>
      </c>
      <c r="L8" s="255"/>
      <c r="M8" s="78"/>
      <c r="N8" s="78"/>
      <c r="O8" s="242"/>
      <c r="P8" s="103" t="s">
        <v>47</v>
      </c>
      <c r="Q8" s="103" t="str">
        <f>'Input-Metrics-Profitability'!AN8</f>
        <v>% of Principal</v>
      </c>
      <c r="R8" s="103" t="str">
        <f>'Input-Metrics-Profitability'!AO8</f>
        <v>CFEE</v>
      </c>
      <c r="S8" s="104">
        <f>'Input-Metrics-Profitability'!AP8</f>
        <v>2</v>
      </c>
      <c r="T8" s="105">
        <f>'Input-Metrics-Profitability'!AQ8</f>
        <v>2.9499999999999998E-2</v>
      </c>
      <c r="U8" s="322"/>
      <c r="V8" s="78"/>
      <c r="W8" s="78"/>
      <c r="X8" s="78"/>
      <c r="Y8" s="78"/>
      <c r="Z8" s="78"/>
      <c r="AA8" s="78"/>
      <c r="AB8" s="78"/>
    </row>
    <row r="9" spans="1:28">
      <c r="A9" s="78"/>
      <c r="B9" s="242"/>
      <c r="C9" s="22" t="s">
        <v>36</v>
      </c>
      <c r="D9" s="22" t="str">
        <f>'Input-Metrics-Profitability'!$D$11</f>
        <v>Repricing</v>
      </c>
      <c r="F9" s="103" t="s">
        <v>48</v>
      </c>
      <c r="G9" s="102" t="str">
        <f>'Input-Metrics-Profitability'!H9</f>
        <v>Cost + %</v>
      </c>
      <c r="H9" s="102" t="str">
        <f>'Input-Metrics-Profitability'!I9</f>
        <v>CFEE</v>
      </c>
      <c r="I9" s="336">
        <f>'Input-Metrics-Profitability'!J9</f>
        <v>1.95</v>
      </c>
      <c r="J9" s="105">
        <f>'Input-Metrics-Profitability'!K9</f>
        <v>1.622764103651034E-3</v>
      </c>
      <c r="L9" s="255"/>
      <c r="M9" s="78"/>
      <c r="N9" s="78"/>
      <c r="O9" s="296"/>
      <c r="P9" s="103" t="s">
        <v>48</v>
      </c>
      <c r="Q9" s="103" t="str">
        <f>'Input-Metrics-Profitability'!AN9</f>
        <v>% of Principal</v>
      </c>
      <c r="R9" s="103" t="str">
        <f>'Input-Metrics-Profitability'!AO9</f>
        <v>CFEE</v>
      </c>
      <c r="S9" s="104">
        <f>'Input-Metrics-Profitability'!AP9</f>
        <v>2</v>
      </c>
      <c r="T9" s="105">
        <f>'Input-Metrics-Profitability'!AQ9</f>
        <v>2.9499999999999998E-2</v>
      </c>
      <c r="U9" s="322"/>
      <c r="V9" s="83"/>
      <c r="W9" s="83"/>
      <c r="X9" s="78"/>
      <c r="Y9" s="78"/>
      <c r="Z9" s="78"/>
      <c r="AA9" s="78"/>
      <c r="AB9" s="78"/>
    </row>
    <row r="10" spans="1:28">
      <c r="A10" s="78"/>
      <c r="B10" s="242"/>
      <c r="C10" s="22" t="s">
        <v>193</v>
      </c>
      <c r="D10" s="29">
        <f>'Input-Metrics-Profitability'!$D$12</f>
        <v>36</v>
      </c>
      <c r="E10" s="314"/>
      <c r="F10" s="22" t="s">
        <v>62</v>
      </c>
      <c r="G10" s="102" t="str">
        <f>'Input-Metrics-Profitability'!H10</f>
        <v>Cost + %</v>
      </c>
      <c r="H10" s="102" t="str">
        <f>'Input-Metrics-Profitability'!I10</f>
        <v>CFEE</v>
      </c>
      <c r="I10" s="336">
        <f>'Input-Metrics-Profitability'!J10</f>
        <v>1.95</v>
      </c>
      <c r="J10" s="105">
        <f>'Input-Metrics-Profitability'!K10</f>
        <v>1.622764103651034E-3</v>
      </c>
      <c r="L10" s="255"/>
      <c r="M10" s="78"/>
      <c r="N10" s="78"/>
      <c r="O10" s="296"/>
      <c r="P10" s="22" t="s">
        <v>62</v>
      </c>
      <c r="Q10" s="103" t="str">
        <f>'Input-Metrics-Profitability'!AN10</f>
        <v>Flat Fee $</v>
      </c>
      <c r="R10" s="103" t="str">
        <f>'Input-Metrics-Profitability'!AO10</f>
        <v>CFEE</v>
      </c>
      <c r="S10" s="104">
        <f>'Input-Metrics-Profitability'!AP10</f>
        <v>7</v>
      </c>
      <c r="T10" s="105">
        <f>'Input-Metrics-Profitability'!AQ10</f>
        <v>1.4999999999999999E-2</v>
      </c>
      <c r="U10" s="322"/>
      <c r="V10" s="83"/>
      <c r="W10" s="83"/>
      <c r="X10" s="78"/>
      <c r="Y10" s="78"/>
      <c r="Z10" s="78"/>
      <c r="AA10" s="78"/>
      <c r="AB10" s="78"/>
    </row>
    <row r="11" spans="1:28">
      <c r="A11" s="78"/>
      <c r="B11" s="242"/>
      <c r="F11" s="29" t="s">
        <v>41</v>
      </c>
      <c r="G11" s="102" t="str">
        <f>'Input-Metrics-Profitability'!H11</f>
        <v>Cost + %</v>
      </c>
      <c r="H11" s="102" t="str">
        <f>'Input-Metrics-Profitability'!I11</f>
        <v>CFEE</v>
      </c>
      <c r="I11" s="336">
        <f>'Input-Metrics-Profitability'!J11</f>
        <v>1.95</v>
      </c>
      <c r="J11" s="105">
        <f>'Input-Metrics-Profitability'!K11</f>
        <v>1.622764103651034E-3</v>
      </c>
      <c r="L11" s="255"/>
      <c r="M11" s="78"/>
      <c r="N11" s="78"/>
      <c r="O11" s="296"/>
      <c r="P11" s="29" t="s">
        <v>41</v>
      </c>
      <c r="Q11" s="103" t="str">
        <f>'Input-Metrics-Profitability'!AN11</f>
        <v>Flat Fee $</v>
      </c>
      <c r="R11" s="103" t="str">
        <f>'Input-Metrics-Profitability'!AO11</f>
        <v>CFEE</v>
      </c>
      <c r="S11" s="104">
        <f>'Input-Metrics-Profitability'!AP11</f>
        <v>7</v>
      </c>
      <c r="T11" s="105">
        <f>'Input-Metrics-Profitability'!AQ11</f>
        <v>1.7500000000000002E-2</v>
      </c>
      <c r="U11" s="322"/>
      <c r="V11" s="83"/>
      <c r="W11" s="83"/>
      <c r="X11" s="78"/>
      <c r="Y11" s="78"/>
      <c r="Z11" s="78"/>
      <c r="AA11" s="78"/>
      <c r="AB11" s="78"/>
    </row>
    <row r="12" spans="1:28">
      <c r="A12" s="78"/>
      <c r="B12" s="242"/>
      <c r="C12" s="360" t="s">
        <v>55</v>
      </c>
      <c r="D12" s="360"/>
      <c r="F12" s="29" t="s">
        <v>31</v>
      </c>
      <c r="G12" s="102" t="str">
        <f>'Input-Metrics-Profitability'!H12</f>
        <v>Flat Fee $</v>
      </c>
      <c r="H12" s="102" t="str">
        <f>'Input-Metrics-Profitability'!I12</f>
        <v>CFEE</v>
      </c>
      <c r="I12" s="336">
        <f>'Input-Metrics-Profitability'!J12</f>
        <v>0.02</v>
      </c>
      <c r="J12" s="105" t="str">
        <f>'Input-Metrics-Profitability'!K12</f>
        <v>N/A</v>
      </c>
      <c r="L12" s="255"/>
      <c r="M12" s="78"/>
      <c r="N12" s="78"/>
      <c r="O12" s="242"/>
      <c r="P12" s="29" t="s">
        <v>31</v>
      </c>
      <c r="Q12" s="103" t="str">
        <f>'Input-Metrics-Profitability'!AN12</f>
        <v>Flat Fee $</v>
      </c>
      <c r="R12" s="103" t="str">
        <f>'Input-Metrics-Profitability'!AO12</f>
        <v>CFEE</v>
      </c>
      <c r="S12" s="104">
        <f>'Input-Metrics-Profitability'!AP12</f>
        <v>0.05</v>
      </c>
      <c r="T12" s="45" t="str">
        <f>'Input-Metrics-Profitability'!AQ12</f>
        <v>N/A</v>
      </c>
      <c r="U12" s="255"/>
      <c r="V12" s="78"/>
      <c r="W12" s="78"/>
      <c r="X12" s="78"/>
      <c r="Y12" s="78"/>
      <c r="Z12" s="78"/>
      <c r="AA12" s="78"/>
      <c r="AB12" s="78"/>
    </row>
    <row r="13" spans="1:28">
      <c r="A13" s="78"/>
      <c r="B13" s="242"/>
      <c r="C13" s="22" t="s">
        <v>39</v>
      </c>
      <c r="D13" s="171">
        <f>'Input-Metrics-Profitability'!D16</f>
        <v>0.5466900132133129</v>
      </c>
      <c r="J13" s="11"/>
      <c r="K13" s="27"/>
      <c r="L13" s="255"/>
      <c r="M13" s="78"/>
      <c r="N13" s="78"/>
      <c r="O13" s="296"/>
      <c r="P13" s="297"/>
      <c r="Q13" s="297"/>
      <c r="R13" s="297"/>
      <c r="S13" s="28"/>
      <c r="T13" s="28"/>
      <c r="U13" s="298"/>
      <c r="V13" s="83"/>
      <c r="W13" s="83"/>
      <c r="X13" s="78"/>
      <c r="Y13" s="78"/>
      <c r="Z13" s="78"/>
      <c r="AA13" s="78"/>
      <c r="AB13" s="78"/>
    </row>
    <row r="14" spans="1:28">
      <c r="A14" s="78"/>
      <c r="B14" s="242"/>
      <c r="C14" s="22" t="s">
        <v>40</v>
      </c>
      <c r="D14" s="171">
        <f>'Input-Metrics-Profitability'!D17</f>
        <v>0.45330998678668699</v>
      </c>
      <c r="L14" s="255"/>
      <c r="M14" s="78"/>
      <c r="N14" s="78"/>
      <c r="O14" s="296"/>
      <c r="U14" s="255"/>
      <c r="V14" s="83"/>
      <c r="W14" s="83"/>
      <c r="X14" s="78"/>
      <c r="Y14" s="78"/>
      <c r="Z14" s="78"/>
      <c r="AA14" s="78"/>
      <c r="AB14" s="78"/>
    </row>
    <row r="15" spans="1:28">
      <c r="A15" s="78"/>
      <c r="B15" s="242"/>
      <c r="D15" s="20"/>
      <c r="L15" s="255"/>
      <c r="M15" s="78"/>
      <c r="N15" s="78"/>
      <c r="O15" s="299"/>
      <c r="U15" s="255"/>
      <c r="V15" s="78"/>
      <c r="W15" s="79"/>
      <c r="X15" s="78"/>
      <c r="Y15" s="78"/>
      <c r="Z15" s="78"/>
      <c r="AA15" s="78"/>
      <c r="AB15" s="78"/>
    </row>
    <row r="16" spans="1:28">
      <c r="A16" s="78"/>
      <c r="B16" s="242"/>
      <c r="C16" s="315" t="s">
        <v>42</v>
      </c>
      <c r="D16" s="287" t="s">
        <v>174</v>
      </c>
      <c r="E16" s="287" t="s">
        <v>187</v>
      </c>
      <c r="F16" s="287" t="s">
        <v>38</v>
      </c>
      <c r="G16" s="288" t="s">
        <v>170</v>
      </c>
      <c r="H16" s="287" t="s">
        <v>171</v>
      </c>
      <c r="I16" s="287" t="s">
        <v>269</v>
      </c>
      <c r="J16" s="287" t="s">
        <v>125</v>
      </c>
      <c r="L16" s="255"/>
      <c r="M16" s="78"/>
      <c r="N16" s="78"/>
      <c r="O16" s="300"/>
      <c r="P16" s="315" t="s">
        <v>71</v>
      </c>
      <c r="Q16" s="287" t="s">
        <v>125</v>
      </c>
      <c r="R16" s="301"/>
      <c r="U16" s="255"/>
      <c r="V16" s="84"/>
      <c r="W16" s="84"/>
      <c r="X16" s="84"/>
      <c r="Y16" s="84"/>
      <c r="Z16" s="78"/>
      <c r="AA16" s="78"/>
      <c r="AB16" s="78"/>
    </row>
    <row r="17" spans="1:28">
      <c r="A17" s="78"/>
      <c r="B17" s="242"/>
      <c r="C17" t="s">
        <v>9</v>
      </c>
      <c r="D17" s="150">
        <f>'Input-Metrics-Profitability'!D27</f>
        <v>6832</v>
      </c>
      <c r="E17" s="151">
        <f>'Input-Metrics-Profitability'!E27</f>
        <v>41002189.829999998</v>
      </c>
      <c r="F17" s="151">
        <f>'Input-Metrics-Profitability'!F27</f>
        <v>6001.4914856557371</v>
      </c>
      <c r="G17" s="157">
        <f>'Input-Metrics-Profitability'!G27</f>
        <v>5.8687789389134402E-2</v>
      </c>
      <c r="H17" s="152">
        <f>'Input-Metrics-Profitability'!H27</f>
        <v>2.6603761032528393E-2</v>
      </c>
      <c r="I17" s="151">
        <f>Calculations!D85</f>
        <v>1158873.840751756</v>
      </c>
      <c r="J17" s="10">
        <f>'Input-Metrics-Profitability'!K27</f>
        <v>1225410.7225789654</v>
      </c>
      <c r="L17" s="255"/>
      <c r="M17" s="78"/>
      <c r="N17" s="78"/>
      <c r="O17" s="303"/>
      <c r="P17" t="s">
        <v>9</v>
      </c>
      <c r="Q17" s="10">
        <f>Calculations!E67</f>
        <v>1209564.599985</v>
      </c>
      <c r="R17" s="13"/>
      <c r="U17" s="255"/>
      <c r="V17" s="85"/>
      <c r="W17" s="85"/>
      <c r="X17" s="85"/>
      <c r="Y17" s="107"/>
      <c r="Z17" s="78"/>
      <c r="AA17" s="78"/>
      <c r="AB17" s="78"/>
    </row>
    <row r="18" spans="1:28">
      <c r="A18" s="78"/>
      <c r="B18" s="242"/>
      <c r="C18" t="s">
        <v>10</v>
      </c>
      <c r="D18" s="150">
        <f>'Input-Metrics-Profitability'!D28</f>
        <v>120093</v>
      </c>
      <c r="E18" s="151">
        <f>'Input-Metrics-Profitability'!E28</f>
        <v>649462788.06000018</v>
      </c>
      <c r="F18" s="151">
        <f>'Input-Metrics-Profitability'!F28</f>
        <v>5407.9987015063343</v>
      </c>
      <c r="G18" s="157">
        <f>'Input-Metrics-Profitability'!G28</f>
        <v>0.9295975527106457</v>
      </c>
      <c r="H18" s="152">
        <f>'Input-Metrics-Profitability'!H28</f>
        <v>0.42139585433619947</v>
      </c>
      <c r="I18" s="151">
        <f>Calculations!D86</f>
        <v>14962609.278861981</v>
      </c>
      <c r="J18" s="10">
        <f>'Input-Metrics-Profitability'!K28</f>
        <v>16016534.177982869</v>
      </c>
      <c r="L18" s="255"/>
      <c r="M18" s="78"/>
      <c r="N18" s="78"/>
      <c r="O18" s="303"/>
      <c r="P18" t="s">
        <v>10</v>
      </c>
      <c r="Q18" s="10">
        <f>Calculations!E68</f>
        <v>19159152.247770004</v>
      </c>
      <c r="R18" s="13"/>
      <c r="U18" s="255"/>
      <c r="V18" s="85"/>
      <c r="W18" s="85"/>
      <c r="X18" s="85"/>
      <c r="Y18" s="107"/>
      <c r="Z18" s="78"/>
      <c r="AA18" s="78"/>
      <c r="AB18" s="78"/>
    </row>
    <row r="19" spans="1:28">
      <c r="A19" s="78"/>
      <c r="B19" s="242"/>
      <c r="C19" s="2" t="s">
        <v>22</v>
      </c>
      <c r="D19" s="150">
        <f>'Input-Metrics-Profitability'!D29</f>
        <v>611</v>
      </c>
      <c r="E19" s="151">
        <f>'Input-Metrics-Profitability'!E29</f>
        <v>1591575.21</v>
      </c>
      <c r="F19" s="151">
        <f>'Input-Metrics-Profitability'!F29</f>
        <v>2604.869410801964</v>
      </c>
      <c r="G19" s="157">
        <f>'Input-Metrics-Profitability'!G29</f>
        <v>2.2780741982006323E-3</v>
      </c>
      <c r="H19" s="152">
        <f>'Input-Metrics-Profitability'!H29</f>
        <v>1.0326737846854215E-3</v>
      </c>
      <c r="I19" s="151">
        <f>Calculations!D87</f>
        <v>5510.6723612561163</v>
      </c>
      <c r="J19" s="10">
        <f>'Input-Metrics-Profitability'!K29</f>
        <v>8093.4234803049721</v>
      </c>
      <c r="L19" s="255"/>
      <c r="M19" s="78"/>
      <c r="N19" s="78"/>
      <c r="O19" s="303"/>
      <c r="P19" s="2" t="s">
        <v>22</v>
      </c>
      <c r="Q19" s="10">
        <f>Calculations!E69</f>
        <v>4277</v>
      </c>
      <c r="R19" s="13"/>
      <c r="U19" s="255"/>
      <c r="V19" s="85"/>
      <c r="W19" s="85"/>
      <c r="X19" s="85"/>
      <c r="Y19" s="107"/>
      <c r="Z19" s="78"/>
      <c r="AA19" s="78"/>
      <c r="AB19" s="78"/>
    </row>
    <row r="20" spans="1:28">
      <c r="A20" s="78"/>
      <c r="B20" s="242"/>
      <c r="C20" t="s">
        <v>11</v>
      </c>
      <c r="D20" s="150">
        <f>'Input-Metrics-Profitability'!D30</f>
        <v>1804</v>
      </c>
      <c r="E20" s="151">
        <f>'Input-Metrics-Profitability'!E30</f>
        <v>6459971.7400000002</v>
      </c>
      <c r="F20" s="151">
        <f>'Input-Metrics-Profitability'!F30</f>
        <v>3580.9155986696233</v>
      </c>
      <c r="G20" s="157">
        <f>'Input-Metrics-Profitability'!G30</f>
        <v>9.2463710477114318E-3</v>
      </c>
      <c r="H20" s="152">
        <f>'Input-Metrics-Profitability'!H30</f>
        <v>4.1914723374628761E-3</v>
      </c>
      <c r="I20" s="151">
        <f>Calculations!D88</f>
        <v>10319.659870075622</v>
      </c>
      <c r="J20" s="10">
        <f>'Input-Metrics-Profitability'!K30</f>
        <v>20802.670120347731</v>
      </c>
      <c r="L20" s="255"/>
      <c r="M20" s="78"/>
      <c r="N20" s="78"/>
      <c r="O20" s="303"/>
      <c r="P20" t="s">
        <v>11</v>
      </c>
      <c r="Q20" s="10">
        <f>Calculations!E70</f>
        <v>12628</v>
      </c>
      <c r="R20" s="13"/>
      <c r="U20" s="255"/>
      <c r="V20" s="85"/>
      <c r="W20" s="85"/>
      <c r="X20" s="85"/>
      <c r="Y20" s="107"/>
      <c r="Z20" s="78"/>
      <c r="AA20" s="78"/>
      <c r="AB20" s="78"/>
    </row>
    <row r="21" spans="1:28">
      <c r="A21" s="78"/>
      <c r="B21" s="242"/>
      <c r="C21" t="s">
        <v>12</v>
      </c>
      <c r="D21" s="150">
        <f>'Input-Metrics-Profitability'!D31</f>
        <v>131</v>
      </c>
      <c r="E21" s="151">
        <f>'Input-Metrics-Profitability'!E31</f>
        <v>132891.95999999996</v>
      </c>
      <c r="F21" s="151">
        <f>'Input-Metrics-Profitability'!F31</f>
        <v>1014.4424427480914</v>
      </c>
      <c r="G21" s="157">
        <f>'Input-Metrics-Profitability'!G31</f>
        <v>1.9021265430762169E-4</v>
      </c>
      <c r="H21" s="152">
        <f>'Input-Metrics-Profitability'!H31</f>
        <v>8.6225295810848671E-5</v>
      </c>
      <c r="I21" s="151">
        <f>Calculations!D89</f>
        <v>1783.8950470315674</v>
      </c>
      <c r="J21" s="10">
        <f>'Input-Metrics-Profitability'!K31</f>
        <v>1999.5473493833963</v>
      </c>
      <c r="L21" s="255"/>
      <c r="M21" s="78"/>
      <c r="N21" s="78"/>
      <c r="O21" s="303"/>
      <c r="P21" t="s">
        <v>12</v>
      </c>
      <c r="Q21" s="10">
        <f>Calculations!E71</f>
        <v>917</v>
      </c>
      <c r="R21" s="13"/>
      <c r="U21" s="255"/>
      <c r="V21" s="85"/>
      <c r="W21" s="85"/>
      <c r="X21" s="85"/>
      <c r="Y21" s="107"/>
      <c r="Z21" s="78"/>
      <c r="AA21" s="78"/>
      <c r="AB21" s="78"/>
    </row>
    <row r="22" spans="1:28">
      <c r="A22" s="78"/>
      <c r="B22" s="242"/>
      <c r="D22" s="150"/>
      <c r="E22" s="151"/>
      <c r="F22" s="151"/>
      <c r="G22" s="152"/>
      <c r="H22" s="152"/>
      <c r="J22" s="10"/>
      <c r="L22" s="255"/>
      <c r="M22" s="78"/>
      <c r="N22" s="78"/>
      <c r="O22" s="303"/>
      <c r="Q22" s="10"/>
      <c r="R22" s="10"/>
      <c r="S22" s="10"/>
      <c r="T22" s="10"/>
      <c r="U22" s="243"/>
      <c r="V22" s="85"/>
      <c r="W22" s="85"/>
      <c r="X22" s="85"/>
      <c r="Y22" s="107"/>
      <c r="Z22" s="78"/>
      <c r="AA22" s="78"/>
      <c r="AB22" s="78"/>
    </row>
    <row r="23" spans="1:28">
      <c r="A23" s="78"/>
      <c r="B23" s="242"/>
      <c r="D23" s="150"/>
      <c r="E23" s="151"/>
      <c r="F23" s="151"/>
      <c r="G23" s="153"/>
      <c r="H23" s="153"/>
      <c r="L23" s="255"/>
      <c r="M23" s="78"/>
      <c r="N23" s="78"/>
      <c r="O23" s="242"/>
      <c r="U23" s="255"/>
      <c r="V23" s="78"/>
      <c r="W23" s="78"/>
      <c r="X23" s="78"/>
      <c r="Y23" s="78"/>
      <c r="Z23" s="78"/>
      <c r="AA23" s="78"/>
      <c r="AB23" s="78"/>
    </row>
    <row r="24" spans="1:28">
      <c r="A24" s="78"/>
      <c r="B24" s="242"/>
      <c r="C24" s="56" t="s">
        <v>52</v>
      </c>
      <c r="D24" s="318">
        <f>'Input-Metrics-Profitability'!D36</f>
        <v>129471</v>
      </c>
      <c r="E24" s="285">
        <f>'Input-Metrics-Profitability'!E36</f>
        <v>698649416.80000031</v>
      </c>
      <c r="F24" s="233">
        <f>'Input-Metrics-Profitability'!F36</f>
        <v>5396.1846035019453</v>
      </c>
      <c r="G24" s="227">
        <f>'Input-Metrics-Profitability'!G36</f>
        <v>0.99999999999999978</v>
      </c>
      <c r="H24" s="228"/>
      <c r="J24" s="285">
        <f>'Input-Metrics-Profitability'!K36</f>
        <v>17272840.541511871</v>
      </c>
      <c r="L24" s="255"/>
      <c r="M24" s="78"/>
      <c r="N24" s="78"/>
      <c r="O24" s="303"/>
      <c r="P24" s="96" t="s">
        <v>52</v>
      </c>
      <c r="Q24" s="95">
        <f>'Input-Metrics-Profitability'!AN28</f>
        <v>20386538.847755004</v>
      </c>
      <c r="S24" s="10"/>
      <c r="T24" s="10"/>
      <c r="U24" s="243"/>
      <c r="V24" s="85"/>
      <c r="W24" s="85"/>
      <c r="X24" s="85"/>
      <c r="Y24" s="107"/>
      <c r="Z24" s="85"/>
      <c r="AA24" s="108"/>
      <c r="AB24" s="106"/>
    </row>
    <row r="25" spans="1:28">
      <c r="A25" s="78"/>
      <c r="B25" s="242"/>
      <c r="D25" s="154"/>
      <c r="L25" s="255"/>
      <c r="M25" s="78"/>
      <c r="N25" s="78"/>
      <c r="O25" s="304"/>
      <c r="U25" s="255"/>
      <c r="V25" s="82"/>
      <c r="W25" s="80"/>
      <c r="X25" s="78"/>
      <c r="Y25" s="78"/>
      <c r="Z25" s="78"/>
      <c r="AA25" s="78"/>
      <c r="AB25" s="78"/>
    </row>
    <row r="26" spans="1:28">
      <c r="A26" s="78"/>
      <c r="B26" s="242"/>
      <c r="C26" s="56" t="s">
        <v>53</v>
      </c>
      <c r="D26" s="235">
        <f>'Input-Metrics-Profitability'!D38</f>
        <v>158449</v>
      </c>
      <c r="E26" s="285">
        <f>'Input-Metrics-Profitability'!E38</f>
        <v>842568374.91999972</v>
      </c>
      <c r="F26" s="319">
        <f>'Input-Metrics-Profitability'!F38</f>
        <v>5317.5998265687995</v>
      </c>
      <c r="G26" s="289"/>
      <c r="H26" s="209">
        <f>'Input-Metrics-Profitability'!H38</f>
        <v>0.5466900132133129</v>
      </c>
      <c r="J26" s="285">
        <f>'Input-Metrics-Profitability'!K38</f>
        <v>3168.98</v>
      </c>
      <c r="L26" s="255"/>
      <c r="M26" s="78"/>
      <c r="N26" s="78"/>
      <c r="O26" s="242"/>
      <c r="P26" s="96" t="s">
        <v>31</v>
      </c>
      <c r="Q26" s="92">
        <f>'Input-Metrics-Profitability'!AN30</f>
        <v>7922.4500000000007</v>
      </c>
      <c r="S26" s="10"/>
      <c r="T26" s="10"/>
      <c r="U26" s="243"/>
      <c r="V26" s="85"/>
      <c r="W26" s="78"/>
      <c r="X26" s="78"/>
      <c r="Y26" s="78"/>
      <c r="Z26" s="78"/>
      <c r="AA26" s="78"/>
      <c r="AB26" s="78"/>
    </row>
    <row r="27" spans="1:28">
      <c r="A27" s="78"/>
      <c r="B27" s="242"/>
      <c r="D27" s="154"/>
      <c r="E27" s="155"/>
      <c r="F27" s="155"/>
      <c r="J27" s="155"/>
      <c r="L27" s="255"/>
      <c r="M27" s="78"/>
      <c r="N27" s="78"/>
      <c r="O27" s="242"/>
      <c r="S27" s="14"/>
      <c r="T27" s="14"/>
      <c r="U27" s="294"/>
      <c r="V27" s="86"/>
      <c r="W27" s="82"/>
      <c r="X27" s="78"/>
      <c r="Y27" s="78"/>
      <c r="Z27" s="78"/>
      <c r="AA27" s="78"/>
      <c r="AB27" s="78"/>
    </row>
    <row r="28" spans="1:28" ht="15" thickBot="1">
      <c r="A28" s="78"/>
      <c r="B28" s="242"/>
      <c r="C28" s="56" t="s">
        <v>54</v>
      </c>
      <c r="D28" s="235">
        <f>'Input-Metrics-Profitability'!D40</f>
        <v>287920</v>
      </c>
      <c r="E28" s="285">
        <f>'Input-Metrics-Profitability'!E40</f>
        <v>1541217791.72</v>
      </c>
      <c r="F28" s="285">
        <f>E28/D28</f>
        <v>5352.937592803557</v>
      </c>
      <c r="G28" s="320"/>
      <c r="H28" s="292">
        <f>'Input-Metrics-Profitability'!H40</f>
        <v>0.99999999999999989</v>
      </c>
      <c r="J28" s="285">
        <f>'Input-Metrics-Profitability'!K40</f>
        <v>17276009.521511871</v>
      </c>
      <c r="L28" s="255"/>
      <c r="M28" s="78"/>
      <c r="N28" s="78"/>
      <c r="O28" s="303"/>
      <c r="P28" s="101" t="s">
        <v>54</v>
      </c>
      <c r="Q28" s="98">
        <f>'Input-Metrics-Profitability'!AN32</f>
        <v>20394461.297755003</v>
      </c>
      <c r="U28" s="255"/>
      <c r="V28" s="85"/>
      <c r="W28" s="85"/>
      <c r="X28" s="78"/>
      <c r="Y28" s="78"/>
      <c r="Z28" s="78"/>
      <c r="AA28" s="78"/>
      <c r="AB28" s="78"/>
    </row>
    <row r="29" spans="1:28" ht="15" thickTop="1">
      <c r="A29" s="78"/>
      <c r="B29" s="242"/>
      <c r="C29" s="2"/>
      <c r="D29" s="154"/>
      <c r="E29" s="10"/>
      <c r="F29" s="10"/>
      <c r="G29" s="13"/>
      <c r="H29" s="13"/>
      <c r="I29" s="156"/>
      <c r="K29" s="10"/>
      <c r="L29" s="255"/>
      <c r="M29" s="78"/>
      <c r="N29" s="78"/>
      <c r="O29" s="303"/>
      <c r="P29" s="10"/>
      <c r="Q29" s="10"/>
      <c r="U29" s="255"/>
      <c r="V29" s="85"/>
      <c r="W29" s="85"/>
      <c r="X29" s="78"/>
      <c r="Y29" s="78"/>
      <c r="Z29" s="78"/>
      <c r="AA29" s="78"/>
      <c r="AB29" s="78"/>
    </row>
    <row r="30" spans="1:28">
      <c r="A30" s="78"/>
      <c r="B30" s="242"/>
      <c r="D30" s="290"/>
      <c r="K30" s="19"/>
      <c r="L30" s="255"/>
      <c r="M30" s="78"/>
      <c r="N30" s="78"/>
      <c r="O30" s="242"/>
      <c r="U30" s="255"/>
      <c r="V30" s="78"/>
      <c r="W30" s="106"/>
      <c r="X30" s="78"/>
      <c r="Y30" s="78"/>
      <c r="Z30" s="78"/>
      <c r="AA30" s="78"/>
      <c r="AB30" s="78"/>
    </row>
    <row r="31" spans="1:28">
      <c r="A31" s="78"/>
      <c r="B31" s="242"/>
      <c r="D31" s="290"/>
      <c r="F31" s="33"/>
      <c r="K31" s="19"/>
      <c r="L31" s="255"/>
      <c r="M31" s="78"/>
      <c r="N31" s="78"/>
      <c r="O31" s="242"/>
      <c r="P31" s="360" t="s">
        <v>83</v>
      </c>
      <c r="Q31" s="360"/>
      <c r="U31" s="255"/>
      <c r="V31" s="78"/>
      <c r="W31" s="106"/>
      <c r="X31" s="78"/>
      <c r="Y31" s="78"/>
      <c r="Z31" s="78"/>
      <c r="AA31" s="78"/>
      <c r="AB31" s="78"/>
    </row>
    <row r="32" spans="1:28">
      <c r="A32" s="78"/>
      <c r="B32" s="242"/>
      <c r="K32" s="19"/>
      <c r="L32" s="255"/>
      <c r="M32" s="78"/>
      <c r="N32" s="78"/>
      <c r="O32" s="242"/>
      <c r="P32" t="s">
        <v>84</v>
      </c>
      <c r="Q32" s="10">
        <f>'Input-Metrics-Profitability'!AN36</f>
        <v>5935.8030638521404</v>
      </c>
      <c r="R32" s="13"/>
      <c r="S32" s="13"/>
      <c r="U32" s="255"/>
      <c r="V32" s="78"/>
      <c r="W32" s="78"/>
      <c r="X32" s="78"/>
      <c r="Y32" s="78"/>
      <c r="Z32" s="78"/>
      <c r="AA32" s="78"/>
      <c r="AB32" s="78"/>
    </row>
    <row r="33" spans="1:28">
      <c r="A33" s="78"/>
      <c r="B33" s="242"/>
      <c r="L33" s="255"/>
      <c r="M33" s="78"/>
      <c r="N33" s="78"/>
      <c r="O33" s="242"/>
      <c r="P33" t="s">
        <v>85</v>
      </c>
      <c r="Q33" s="20">
        <f>'Input-Metrics-Profitability'!$AN$37</f>
        <v>6.9999999999999993E-2</v>
      </c>
      <c r="U33" s="255"/>
      <c r="V33" s="78"/>
      <c r="W33" s="106"/>
      <c r="X33" s="78"/>
      <c r="Y33" s="78"/>
      <c r="Z33" s="78"/>
      <c r="AA33" s="78"/>
      <c r="AB33" s="78"/>
    </row>
    <row r="34" spans="1:28">
      <c r="A34" s="78"/>
      <c r="B34" s="242"/>
      <c r="L34" s="255"/>
      <c r="M34" s="78"/>
      <c r="N34" s="78"/>
      <c r="O34" s="242"/>
      <c r="P34" t="s">
        <v>86</v>
      </c>
      <c r="Q34" s="20">
        <f>'Input-Metrics-Profitability'!$AN$38</f>
        <v>0.98828534209978014</v>
      </c>
      <c r="U34" s="255"/>
      <c r="V34" s="78"/>
      <c r="W34" s="78"/>
      <c r="X34" s="78"/>
      <c r="Y34" s="78"/>
      <c r="Z34" s="78"/>
      <c r="AA34" s="78"/>
      <c r="AB34" s="78"/>
    </row>
    <row r="35" spans="1:28">
      <c r="A35" s="78"/>
      <c r="B35" s="242"/>
      <c r="C35" s="10"/>
      <c r="L35" s="255"/>
      <c r="M35" s="78"/>
      <c r="N35" s="78"/>
      <c r="O35" s="242"/>
      <c r="P35" t="s">
        <v>87</v>
      </c>
      <c r="Q35" s="20">
        <f>'Input-Metrics-Profitability'!$AN$39</f>
        <v>1.1714657900219687E-2</v>
      </c>
      <c r="U35" s="255"/>
      <c r="V35" s="78"/>
      <c r="W35" s="78"/>
      <c r="X35" s="78"/>
      <c r="Y35" s="78"/>
      <c r="Z35" s="78"/>
      <c r="AA35" s="78"/>
      <c r="AB35" s="78"/>
    </row>
    <row r="36" spans="1:28">
      <c r="A36" s="78"/>
      <c r="B36" s="242"/>
      <c r="C36" s="10"/>
      <c r="L36" s="255"/>
      <c r="M36" s="78"/>
      <c r="N36" s="78"/>
      <c r="O36" s="242"/>
      <c r="P36" s="11" t="s">
        <v>224</v>
      </c>
      <c r="Q36" s="20">
        <f>'Input-Metrics-Profitability'!$AN$40</f>
        <v>0.01</v>
      </c>
      <c r="U36" s="255"/>
      <c r="V36" s="78"/>
      <c r="W36" s="78"/>
      <c r="X36" s="78"/>
      <c r="Y36" s="78"/>
      <c r="Z36" s="78"/>
      <c r="AA36" s="78"/>
      <c r="AB36" s="78"/>
    </row>
    <row r="37" spans="1:28">
      <c r="A37" s="78"/>
      <c r="B37" s="242"/>
      <c r="C37" s="10"/>
      <c r="L37" s="255"/>
      <c r="M37" s="78"/>
      <c r="N37" s="78"/>
      <c r="O37" s="242"/>
      <c r="P37" s="11" t="s">
        <v>225</v>
      </c>
      <c r="Q37" s="20">
        <f>'Input-Metrics-Profitability'!$AN$41</f>
        <v>0.01</v>
      </c>
      <c r="U37" s="255"/>
      <c r="V37" s="78"/>
      <c r="W37" s="78"/>
      <c r="X37" s="78"/>
      <c r="Y37" s="78"/>
      <c r="Z37" s="78"/>
      <c r="AA37" s="78"/>
      <c r="AB37" s="78"/>
    </row>
    <row r="38" spans="1:28" ht="15" thickBot="1">
      <c r="A38" s="78"/>
      <c r="B38" s="257"/>
      <c r="C38" s="248"/>
      <c r="D38" s="316"/>
      <c r="E38" s="248"/>
      <c r="F38" s="248"/>
      <c r="G38" s="248"/>
      <c r="H38" s="248"/>
      <c r="I38" s="248"/>
      <c r="J38" s="248"/>
      <c r="K38" s="317"/>
      <c r="L38" s="258"/>
      <c r="M38" s="78"/>
      <c r="N38" s="78"/>
      <c r="O38" s="257"/>
      <c r="P38" s="248"/>
      <c r="Q38" s="248"/>
      <c r="R38" s="248"/>
      <c r="S38" s="248"/>
      <c r="T38" s="248"/>
      <c r="U38" s="258"/>
      <c r="V38" s="78"/>
      <c r="W38" s="78"/>
      <c r="X38" s="78"/>
      <c r="Y38" s="78"/>
      <c r="Z38" s="78"/>
      <c r="AA38" s="78"/>
      <c r="AB38" s="78"/>
    </row>
    <row r="39" spans="1:28">
      <c r="A39" s="78"/>
      <c r="B39" s="78"/>
      <c r="C39" s="78"/>
      <c r="D39" s="79"/>
      <c r="E39" s="79"/>
      <c r="F39" s="79"/>
      <c r="G39" s="79"/>
      <c r="H39" s="79"/>
      <c r="I39" s="80"/>
      <c r="J39" s="81"/>
      <c r="K39" s="82"/>
      <c r="L39" s="78"/>
      <c r="M39" s="78"/>
      <c r="N39" s="78"/>
      <c r="O39" s="78"/>
      <c r="P39" s="78"/>
      <c r="Q39" s="78"/>
      <c r="R39" s="78"/>
      <c r="S39" s="78"/>
      <c r="T39" s="78"/>
      <c r="U39" s="78"/>
      <c r="V39" s="78"/>
      <c r="W39" s="78"/>
      <c r="X39" s="78"/>
      <c r="Y39" s="78"/>
      <c r="Z39" s="78"/>
      <c r="AA39" s="78"/>
      <c r="AB39" s="78"/>
    </row>
    <row r="40" spans="1:28">
      <c r="A40" s="78"/>
      <c r="B40" s="78"/>
      <c r="C40" s="78"/>
      <c r="D40" s="79"/>
      <c r="E40" s="78"/>
      <c r="F40" s="79"/>
      <c r="G40" s="78"/>
      <c r="H40" s="78"/>
      <c r="I40" s="80"/>
      <c r="J40" s="81"/>
      <c r="K40" s="82"/>
      <c r="L40" s="78"/>
      <c r="M40" s="78"/>
      <c r="N40" s="78"/>
      <c r="O40" s="78"/>
      <c r="P40" s="78"/>
      <c r="Q40" s="78"/>
      <c r="R40" s="78"/>
      <c r="S40" s="78"/>
      <c r="T40" s="78"/>
      <c r="U40" s="78"/>
      <c r="V40" s="78"/>
      <c r="W40" s="78"/>
      <c r="X40" s="78"/>
      <c r="Y40" s="78"/>
      <c r="Z40" s="78"/>
      <c r="AA40" s="78"/>
      <c r="AB40" s="78"/>
    </row>
    <row r="41" spans="1:28">
      <c r="A41" s="78"/>
      <c r="B41" s="78"/>
      <c r="C41" s="78"/>
      <c r="D41" s="79"/>
      <c r="E41" s="78"/>
      <c r="F41" s="79"/>
      <c r="G41" s="78"/>
      <c r="H41" s="78"/>
      <c r="I41" s="80"/>
      <c r="J41" s="81"/>
      <c r="K41" s="82"/>
      <c r="L41" s="78"/>
      <c r="M41" s="78"/>
      <c r="N41" s="78"/>
      <c r="O41" s="78"/>
      <c r="P41" s="78"/>
      <c r="Q41" s="78"/>
      <c r="R41" s="78"/>
      <c r="S41" s="78"/>
      <c r="T41" s="78"/>
      <c r="U41" s="78"/>
      <c r="V41" s="78"/>
      <c r="W41" s="78"/>
      <c r="X41" s="78"/>
      <c r="Y41" s="78"/>
      <c r="Z41" s="78"/>
      <c r="AA41" s="78"/>
      <c r="AB41" s="78"/>
    </row>
    <row r="42" spans="1:28">
      <c r="A42" s="78"/>
      <c r="B42" s="78"/>
      <c r="C42" s="78"/>
      <c r="D42" s="79"/>
      <c r="E42" s="78"/>
      <c r="F42" s="79"/>
      <c r="G42" s="78"/>
      <c r="H42" s="78"/>
      <c r="I42" s="80"/>
      <c r="J42" s="81"/>
      <c r="K42" s="82"/>
      <c r="L42" s="78"/>
      <c r="M42" s="78"/>
      <c r="N42" s="78"/>
      <c r="O42" s="78"/>
      <c r="P42" s="78"/>
      <c r="Q42" s="78"/>
      <c r="R42" s="78"/>
      <c r="S42" s="78"/>
      <c r="T42" s="78"/>
      <c r="U42" s="78"/>
      <c r="V42" s="78"/>
      <c r="W42" s="78"/>
      <c r="X42" s="78"/>
      <c r="Y42" s="78"/>
      <c r="Z42" s="78"/>
      <c r="AA42" s="78"/>
      <c r="AB42" s="78"/>
    </row>
    <row r="43" spans="1:28">
      <c r="A43" s="78"/>
      <c r="B43" s="78"/>
      <c r="C43" s="78"/>
      <c r="D43" s="79"/>
      <c r="E43" s="78"/>
      <c r="F43" s="79"/>
      <c r="G43" s="78"/>
      <c r="H43" s="78"/>
      <c r="I43" s="80"/>
      <c r="J43" s="78"/>
      <c r="K43" s="82"/>
      <c r="L43" s="78"/>
      <c r="M43" s="78"/>
      <c r="N43" s="78"/>
      <c r="O43" s="78"/>
      <c r="P43" s="78"/>
      <c r="Q43" s="78"/>
      <c r="R43" s="78"/>
      <c r="S43" s="78"/>
      <c r="T43" s="78"/>
      <c r="U43" s="78"/>
      <c r="V43" s="78"/>
      <c r="W43" s="78"/>
      <c r="X43" s="78"/>
      <c r="Y43" s="78"/>
      <c r="Z43" s="78"/>
      <c r="AA43" s="78"/>
      <c r="AB43" s="78"/>
    </row>
    <row r="44" spans="1:28">
      <c r="A44" s="78"/>
      <c r="B44" s="78"/>
      <c r="C44" s="78"/>
      <c r="D44" s="79"/>
      <c r="E44" s="78"/>
      <c r="F44" s="79"/>
      <c r="G44" s="78"/>
      <c r="H44" s="78"/>
      <c r="I44" s="80"/>
      <c r="J44" s="79"/>
      <c r="K44" s="82"/>
      <c r="L44" s="78"/>
      <c r="M44" s="78"/>
      <c r="N44" s="78"/>
      <c r="O44" s="78"/>
      <c r="P44" s="78"/>
      <c r="Q44" s="78"/>
      <c r="R44" s="78"/>
      <c r="S44" s="78"/>
      <c r="T44" s="78"/>
      <c r="U44" s="78"/>
      <c r="V44" s="78"/>
      <c r="W44" s="78"/>
      <c r="X44" s="78"/>
      <c r="Y44" s="78"/>
      <c r="Z44" s="78"/>
      <c r="AA44" s="78"/>
      <c r="AB44" s="78"/>
    </row>
    <row r="45" spans="1:28">
      <c r="A45" s="78"/>
      <c r="B45" s="78"/>
      <c r="C45" s="78"/>
      <c r="D45" s="79"/>
      <c r="E45" s="79"/>
      <c r="F45" s="79"/>
      <c r="G45" s="78"/>
      <c r="H45" s="78"/>
      <c r="I45" s="80"/>
      <c r="J45" s="79"/>
      <c r="K45" s="82"/>
      <c r="L45" s="78"/>
      <c r="M45" s="78"/>
      <c r="N45" s="78"/>
      <c r="O45" s="78"/>
      <c r="P45" s="78"/>
      <c r="Q45" s="78"/>
      <c r="R45" s="78"/>
      <c r="S45" s="78"/>
      <c r="T45" s="78"/>
      <c r="U45" s="78"/>
      <c r="V45" s="78"/>
      <c r="W45" s="78"/>
      <c r="X45" s="78"/>
      <c r="Y45" s="78"/>
      <c r="Z45" s="78"/>
      <c r="AA45" s="78"/>
      <c r="AB45" s="78"/>
    </row>
    <row r="46" spans="1:28">
      <c r="A46" s="78"/>
      <c r="B46" s="78"/>
      <c r="C46" s="78"/>
      <c r="D46" s="79"/>
      <c r="E46" s="79"/>
      <c r="F46" s="79"/>
      <c r="G46" s="79"/>
      <c r="H46" s="79"/>
      <c r="I46" s="80"/>
      <c r="J46" s="79"/>
      <c r="K46" s="82"/>
      <c r="L46" s="78"/>
      <c r="M46" s="78"/>
      <c r="N46" s="78"/>
      <c r="O46" s="78"/>
      <c r="P46" s="78"/>
      <c r="Q46" s="78"/>
      <c r="R46" s="78"/>
      <c r="S46" s="78"/>
      <c r="T46" s="78"/>
      <c r="U46" s="78"/>
      <c r="V46" s="78"/>
      <c r="W46" s="78"/>
      <c r="X46" s="78"/>
      <c r="Y46" s="78"/>
      <c r="Z46" s="78"/>
      <c r="AA46" s="78"/>
      <c r="AB46" s="78"/>
    </row>
    <row r="47" spans="1:28">
      <c r="A47" s="78"/>
      <c r="B47" s="78"/>
      <c r="C47" s="78"/>
      <c r="D47" s="79"/>
      <c r="E47" s="79"/>
      <c r="F47" s="79"/>
      <c r="G47" s="79"/>
      <c r="H47" s="79"/>
      <c r="I47" s="80"/>
      <c r="J47" s="79"/>
      <c r="K47" s="82"/>
      <c r="L47" s="78"/>
      <c r="M47" s="78"/>
      <c r="N47" s="78"/>
      <c r="O47" s="78"/>
      <c r="P47" s="78"/>
      <c r="Q47" s="78"/>
      <c r="R47" s="78"/>
      <c r="S47" s="78"/>
      <c r="T47" s="78"/>
      <c r="U47" s="78"/>
      <c r="V47" s="78"/>
      <c r="W47" s="78"/>
      <c r="X47" s="78"/>
      <c r="Y47" s="78"/>
      <c r="Z47" s="78"/>
      <c r="AA47" s="78"/>
      <c r="AB47" s="78"/>
    </row>
    <row r="48" spans="1:28">
      <c r="A48" s="78"/>
      <c r="B48" s="78"/>
      <c r="C48" s="78"/>
      <c r="D48" s="79"/>
      <c r="E48" s="79"/>
      <c r="F48" s="79"/>
      <c r="G48" s="79"/>
      <c r="H48" s="79"/>
      <c r="I48" s="80"/>
      <c r="J48" s="81"/>
      <c r="K48" s="82"/>
      <c r="L48" s="78"/>
      <c r="M48" s="78"/>
      <c r="N48" s="78"/>
      <c r="O48" s="78"/>
      <c r="P48" s="78"/>
      <c r="Q48" s="78"/>
      <c r="R48" s="78"/>
      <c r="S48" s="78"/>
      <c r="T48" s="78"/>
      <c r="U48" s="78"/>
      <c r="V48" s="78"/>
      <c r="W48" s="78"/>
      <c r="X48" s="78"/>
      <c r="Y48" s="78"/>
      <c r="Z48" s="78"/>
      <c r="AA48" s="78"/>
      <c r="AB48" s="78"/>
    </row>
    <row r="49" spans="1:28">
      <c r="A49" s="78"/>
      <c r="B49" s="78"/>
      <c r="C49" s="78"/>
      <c r="D49" s="109"/>
      <c r="E49" s="78"/>
      <c r="F49" s="78"/>
      <c r="G49" s="78"/>
      <c r="H49" s="78"/>
      <c r="I49" s="78"/>
      <c r="J49" s="78"/>
      <c r="K49" s="78"/>
      <c r="L49" s="78"/>
      <c r="M49" s="78"/>
      <c r="N49" s="78"/>
      <c r="O49" s="78"/>
      <c r="P49" s="78"/>
      <c r="Q49" s="78"/>
      <c r="R49" s="78"/>
      <c r="S49" s="78"/>
      <c r="T49" s="78"/>
      <c r="U49" s="78"/>
      <c r="V49" s="78"/>
      <c r="W49" s="78"/>
      <c r="X49" s="78"/>
      <c r="Y49" s="78"/>
      <c r="Z49" s="78"/>
      <c r="AA49" s="78"/>
      <c r="AB49" s="78"/>
    </row>
    <row r="50" spans="1:28">
      <c r="A50" s="78"/>
      <c r="B50" s="78"/>
      <c r="C50" s="78"/>
      <c r="D50" s="109"/>
      <c r="E50" s="78"/>
      <c r="F50" s="78"/>
      <c r="G50" s="78"/>
      <c r="H50" s="78"/>
      <c r="I50" s="78"/>
      <c r="J50" s="78"/>
      <c r="K50" s="78"/>
      <c r="L50" s="78"/>
      <c r="M50" s="78"/>
      <c r="N50" s="78"/>
      <c r="O50" s="78"/>
      <c r="P50" s="78"/>
      <c r="Q50" s="78"/>
      <c r="R50" s="78"/>
      <c r="S50" s="78"/>
      <c r="T50" s="78"/>
      <c r="U50" s="78"/>
      <c r="V50" s="78"/>
      <c r="W50" s="78"/>
      <c r="X50" s="78"/>
      <c r="Y50" s="78"/>
      <c r="Z50" s="78"/>
      <c r="AA50" s="78"/>
      <c r="AB50" s="78"/>
    </row>
    <row r="51" spans="1:28">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row>
    <row r="52" spans="1:28">
      <c r="A52" s="78"/>
      <c r="B52" s="78"/>
      <c r="C52" s="78"/>
      <c r="D52" s="79"/>
      <c r="E52" s="78"/>
      <c r="F52" s="78"/>
      <c r="G52" s="78"/>
      <c r="H52" s="78"/>
      <c r="I52" s="78"/>
      <c r="J52" s="78"/>
      <c r="K52" s="78"/>
      <c r="L52" s="78"/>
      <c r="M52" s="78"/>
      <c r="N52" s="78"/>
      <c r="O52" s="78"/>
      <c r="P52" s="78"/>
      <c r="Q52" s="78"/>
      <c r="R52" s="78"/>
      <c r="S52" s="78"/>
      <c r="T52" s="78"/>
      <c r="U52" s="78"/>
      <c r="V52" s="78"/>
      <c r="W52" s="78"/>
      <c r="X52" s="78"/>
      <c r="Y52" s="78"/>
      <c r="Z52" s="78"/>
      <c r="AA52" s="78"/>
      <c r="AB52" s="78"/>
    </row>
    <row r="53" spans="1:28">
      <c r="A53" s="78"/>
      <c r="B53" s="78"/>
      <c r="C53" s="78"/>
      <c r="D53" s="109"/>
      <c r="E53" s="78"/>
      <c r="F53" s="78"/>
      <c r="G53" s="78"/>
      <c r="H53" s="78"/>
      <c r="I53" s="78"/>
      <c r="J53" s="78"/>
      <c r="K53" s="78"/>
      <c r="L53" s="78"/>
      <c r="M53" s="78"/>
      <c r="N53" s="78"/>
      <c r="O53" s="78"/>
      <c r="P53" s="78"/>
      <c r="Q53" s="78"/>
      <c r="R53" s="78"/>
      <c r="S53" s="78"/>
      <c r="T53" s="78"/>
      <c r="U53" s="78"/>
      <c r="V53" s="78"/>
      <c r="W53" s="78"/>
      <c r="X53" s="78"/>
      <c r="Y53" s="78"/>
      <c r="Z53" s="78"/>
      <c r="AA53" s="78"/>
      <c r="AB53" s="78"/>
    </row>
    <row r="54" spans="1:28">
      <c r="A54" s="78"/>
      <c r="B54" s="78"/>
      <c r="C54" s="78"/>
      <c r="D54" s="109"/>
      <c r="E54" s="78"/>
      <c r="F54" s="78"/>
      <c r="G54" s="78"/>
      <c r="H54" s="78"/>
      <c r="I54" s="78"/>
      <c r="J54" s="78"/>
      <c r="K54" s="78"/>
      <c r="L54" s="78"/>
      <c r="M54" s="78"/>
      <c r="N54" s="78"/>
      <c r="O54" s="78"/>
      <c r="P54" s="78"/>
      <c r="Q54" s="78"/>
      <c r="R54" s="78"/>
      <c r="S54" s="78"/>
      <c r="T54" s="78"/>
      <c r="U54" s="78"/>
      <c r="V54" s="78"/>
      <c r="W54" s="78"/>
      <c r="X54" s="78"/>
      <c r="Y54" s="78"/>
      <c r="Z54" s="78"/>
      <c r="AA54" s="78"/>
      <c r="AB54" s="78"/>
    </row>
    <row r="55" spans="1:28">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row>
    <row r="56" spans="1:28">
      <c r="A56" s="78"/>
      <c r="B56" s="78"/>
      <c r="C56" s="78"/>
      <c r="D56" s="109"/>
      <c r="E56" s="78"/>
      <c r="F56" s="78"/>
      <c r="G56" s="78"/>
      <c r="H56" s="78"/>
      <c r="I56" s="78"/>
      <c r="J56" s="78"/>
      <c r="K56" s="78"/>
      <c r="L56" s="78"/>
      <c r="M56" s="78"/>
      <c r="N56" s="78"/>
      <c r="O56" s="78"/>
      <c r="P56" s="78"/>
      <c r="Q56" s="78"/>
      <c r="R56" s="78"/>
      <c r="S56" s="78"/>
      <c r="T56" s="78"/>
      <c r="U56" s="78"/>
      <c r="V56" s="78"/>
      <c r="W56" s="78"/>
      <c r="X56" s="78"/>
      <c r="Y56" s="78"/>
      <c r="Z56" s="78"/>
      <c r="AA56" s="78"/>
      <c r="AB56" s="78"/>
    </row>
    <row r="57" spans="1:28">
      <c r="A57" s="78"/>
      <c r="B57" s="78"/>
      <c r="C57" s="78"/>
      <c r="D57" s="109"/>
      <c r="E57" s="78"/>
      <c r="F57" s="78"/>
      <c r="G57" s="78"/>
      <c r="H57" s="78"/>
      <c r="I57" s="78"/>
      <c r="J57" s="78"/>
      <c r="K57" s="78"/>
      <c r="L57" s="78"/>
      <c r="M57" s="78"/>
      <c r="N57" s="78"/>
      <c r="O57" s="78"/>
      <c r="P57" s="78"/>
      <c r="Q57" s="78"/>
      <c r="R57" s="78"/>
      <c r="S57" s="78"/>
      <c r="T57" s="78"/>
      <c r="U57" s="78"/>
      <c r="V57" s="78"/>
      <c r="W57" s="78"/>
      <c r="X57" s="78"/>
      <c r="Y57" s="78"/>
      <c r="Z57" s="78"/>
      <c r="AA57" s="78"/>
      <c r="AB57" s="78"/>
    </row>
    <row r="58" spans="1:28">
      <c r="A58" s="78"/>
      <c r="B58" s="78"/>
      <c r="C58" s="78"/>
      <c r="D58" s="80"/>
      <c r="E58" s="78"/>
      <c r="F58" s="78"/>
      <c r="G58" s="78"/>
      <c r="H58" s="78"/>
      <c r="I58" s="78"/>
      <c r="J58" s="78"/>
      <c r="K58" s="78"/>
      <c r="L58" s="78"/>
      <c r="M58" s="78"/>
      <c r="N58" s="78"/>
      <c r="O58" s="78"/>
      <c r="P58" s="78"/>
      <c r="Q58" s="78"/>
      <c r="R58" s="78"/>
      <c r="S58" s="78"/>
      <c r="T58" s="78"/>
      <c r="U58" s="78"/>
      <c r="V58" s="78"/>
      <c r="W58" s="78"/>
      <c r="X58" s="78"/>
      <c r="Y58" s="78"/>
      <c r="Z58" s="78"/>
      <c r="AA58" s="78"/>
      <c r="AB58" s="78"/>
    </row>
    <row r="59" spans="1:28">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row>
    <row r="60" spans="1:28">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row>
    <row r="61" spans="1:28">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row>
    <row r="62" spans="1:28">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row>
    <row r="63" spans="1:28">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row>
    <row r="64" spans="1:28">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row>
  </sheetData>
  <mergeCells count="5">
    <mergeCell ref="P31:Q31"/>
    <mergeCell ref="D6:I6"/>
    <mergeCell ref="B3:L3"/>
    <mergeCell ref="O3:U3"/>
    <mergeCell ref="C12:D12"/>
  </mergeCells>
  <conditionalFormatting sqref="I8">
    <cfRule type="expression" dxfId="41" priority="20">
      <formula>$G$8="Cost + %"</formula>
    </cfRule>
    <cfRule type="expression" dxfId="40" priority="19">
      <formula>$G$8="% of Principal"</formula>
    </cfRule>
  </conditionalFormatting>
  <conditionalFormatting sqref="I9">
    <cfRule type="expression" dxfId="39" priority="16">
      <formula>$G$9="Cost + %"</formula>
    </cfRule>
    <cfRule type="expression" dxfId="38" priority="15">
      <formula>$G$9="% of Principal"</formula>
    </cfRule>
  </conditionalFormatting>
  <conditionalFormatting sqref="I10">
    <cfRule type="expression" dxfId="37" priority="12">
      <formula>$G$10="Cost + %"</formula>
    </cfRule>
    <cfRule type="expression" dxfId="36" priority="11">
      <formula>$G$10="% of Principal"</formula>
    </cfRule>
  </conditionalFormatting>
  <conditionalFormatting sqref="I11">
    <cfRule type="expression" dxfId="35" priority="43">
      <formula>$G$11="Cost + %"</formula>
    </cfRule>
    <cfRule type="expression" dxfId="34" priority="44">
      <formula>$G$11="% of Principal"</formula>
    </cfRule>
  </conditionalFormatting>
  <conditionalFormatting sqref="J8">
    <cfRule type="expression" dxfId="31" priority="17">
      <formula>$G$8="Flat Fee $"</formula>
    </cfRule>
    <cfRule type="expression" dxfId="30" priority="18">
      <formula>$G$8="Cost + $"</formula>
    </cfRule>
  </conditionalFormatting>
  <conditionalFormatting sqref="J9">
    <cfRule type="expression" dxfId="29" priority="13">
      <formula>$G$9="Flat Fee $"</formula>
    </cfRule>
    <cfRule type="expression" dxfId="28" priority="14">
      <formula>$G$9="Cost + $"</formula>
    </cfRule>
  </conditionalFormatting>
  <conditionalFormatting sqref="J10">
    <cfRule type="expression" dxfId="27" priority="9">
      <formula>$G$10="Flat Fee $"</formula>
    </cfRule>
    <cfRule type="expression" dxfId="26" priority="10">
      <formula>$G$10="Cost + $"</formula>
    </cfRule>
  </conditionalFormatting>
  <conditionalFormatting sqref="J11">
    <cfRule type="expression" dxfId="25" priority="7">
      <formula>$G$11="Flat Fee $"</formula>
    </cfRule>
    <cfRule type="expression" dxfId="24" priority="8">
      <formula>$G$11="Cost + $"</formula>
    </cfRule>
  </conditionalFormatting>
  <conditionalFormatting sqref="S8">
    <cfRule type="expression" dxfId="23" priority="35">
      <formula>$Q$8="% of Principal"</formula>
    </cfRule>
    <cfRule type="expression" dxfId="22" priority="36">
      <formula>$Q$8="Cost + %"</formula>
    </cfRule>
  </conditionalFormatting>
  <conditionalFormatting sqref="S9">
    <cfRule type="expression" dxfId="21" priority="33">
      <formula>$Q$9="% of Principal"</formula>
    </cfRule>
    <cfRule type="expression" dxfId="20" priority="34">
      <formula>$Q$9="Cost + %"</formula>
    </cfRule>
  </conditionalFormatting>
  <conditionalFormatting sqref="S10">
    <cfRule type="expression" dxfId="19" priority="31">
      <formula>$Q$10="% of Principal"</formula>
    </cfRule>
    <cfRule type="expression" dxfId="18" priority="32">
      <formula>$Q$10="Cost + %"</formula>
    </cfRule>
  </conditionalFormatting>
  <conditionalFormatting sqref="S11">
    <cfRule type="expression" dxfId="17" priority="29">
      <formula>$Q$11="% of Principal"</formula>
    </cfRule>
    <cfRule type="expression" dxfId="16" priority="30">
      <formula>$Q$11="Cost + %"</formula>
    </cfRule>
  </conditionalFormatting>
  <conditionalFormatting sqref="T8">
    <cfRule type="expression" dxfId="15" priority="27">
      <formula>$Q$8="Flat Fee $"</formula>
    </cfRule>
    <cfRule type="expression" dxfId="14" priority="28">
      <formula>$Q$8="Cost + $"</formula>
    </cfRule>
  </conditionalFormatting>
  <conditionalFormatting sqref="T9">
    <cfRule type="expression" dxfId="13" priority="25">
      <formula>$Q$9="Flat Fee $"</formula>
    </cfRule>
    <cfRule type="expression" dxfId="12" priority="26">
      <formula>$Q$9="Cost + $"</formula>
    </cfRule>
  </conditionalFormatting>
  <conditionalFormatting sqref="T10">
    <cfRule type="expression" dxfId="11" priority="23">
      <formula>$Q$10="Flat Fee $"</formula>
    </cfRule>
    <cfRule type="expression" dxfId="10" priority="24">
      <formula>$Q$10="Cost + $"</formula>
    </cfRule>
  </conditionalFormatting>
  <conditionalFormatting sqref="T11">
    <cfRule type="expression" dxfId="9" priority="22">
      <formula>$Q$11="Cost + $"</formula>
    </cfRule>
    <cfRule type="expression" dxfId="8" priority="21">
      <formula>$Q$11="Flat Fee $"</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A55F797D-552D-4C2D-BC7B-754234172A50}">
            <xm:f>Calculations!$D$83&lt;&gt;4</xm:f>
            <x14:dxf>
              <font>
                <color theme="0"/>
              </font>
              <fill>
                <patternFill>
                  <bgColor theme="0"/>
                </patternFill>
              </fill>
              <border>
                <left/>
                <right/>
                <top/>
                <bottom/>
                <vertical/>
                <horizontal/>
              </border>
            </x14:dxf>
          </x14:cfRule>
          <xm:sqref>I16:I18</xm:sqref>
        </x14:conditionalFormatting>
        <x14:conditionalFormatting xmlns:xm="http://schemas.microsoft.com/office/excel/2006/main">
          <x14:cfRule type="expression" priority="1" id="{EBE873BC-C1CE-47E1-A810-4A0D67E4125B}">
            <xm:f>Calculations!$D$83&lt;&gt;4</xm:f>
            <x14:dxf>
              <font>
                <color theme="0"/>
              </font>
              <fill>
                <patternFill>
                  <bgColor theme="0"/>
                </patternFill>
              </fill>
            </x14:dxf>
          </x14:cfRule>
          <xm:sqref>I19:I21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43CC-ABAE-4AC9-9702-5796C5F5CE9B}">
  <sheetPr>
    <tabColor rgb="FF00B050"/>
  </sheetPr>
  <dimension ref="A1:BC88"/>
  <sheetViews>
    <sheetView showGridLines="0" zoomScale="90" zoomScaleNormal="90" workbookViewId="0">
      <selection activeCell="AQ12" sqref="AQ12"/>
    </sheetView>
  </sheetViews>
  <sheetFormatPr defaultRowHeight="14.6" outlineLevelRow="1" outlineLevelCol="1"/>
  <cols>
    <col min="1" max="2" width="4.3046875" customWidth="1"/>
    <col min="3" max="3" width="21.3828125" bestFit="1" customWidth="1"/>
    <col min="4" max="4" width="10" bestFit="1" customWidth="1"/>
    <col min="5" max="5" width="15.15234375" bestFit="1" customWidth="1"/>
    <col min="6" max="6" width="11.4609375" customWidth="1"/>
    <col min="7" max="7" width="15.69140625" bestFit="1" customWidth="1"/>
    <col min="8" max="8" width="14.84375" bestFit="1" customWidth="1"/>
    <col min="9" max="9" width="16.69140625" bestFit="1" customWidth="1"/>
    <col min="10" max="10" width="15.15234375" bestFit="1" customWidth="1"/>
    <col min="11" max="11" width="12.4609375" bestFit="1" customWidth="1"/>
    <col min="12" max="13" width="4.3046875" customWidth="1"/>
    <col min="14" max="15" width="4.23046875" hidden="1" customWidth="1" outlineLevel="1"/>
    <col min="16" max="16" width="30.69140625" hidden="1" customWidth="1" outlineLevel="1"/>
    <col min="17" max="18" width="20.69140625" hidden="1" customWidth="1" outlineLevel="1"/>
    <col min="19" max="23" width="15.69140625" hidden="1" customWidth="1" outlineLevel="1"/>
    <col min="24" max="24" width="12" hidden="1" customWidth="1" outlineLevel="1"/>
    <col min="25" max="25" width="11.84375" hidden="1" customWidth="1" outlineLevel="1"/>
    <col min="26" max="26" width="10.69140625" hidden="1" customWidth="1" outlineLevel="1"/>
    <col min="27" max="27" width="4.3046875" customWidth="1" collapsed="1"/>
    <col min="28" max="28" width="4.3046875" hidden="1" customWidth="1" outlineLevel="1"/>
    <col min="29" max="29" width="18.3828125" hidden="1" customWidth="1" outlineLevel="1"/>
    <col min="30" max="30" width="20.3828125" hidden="1" customWidth="1" outlineLevel="1"/>
    <col min="31" max="31" width="3.23046875" hidden="1" customWidth="1" outlineLevel="1"/>
    <col min="32" max="32" width="15.69140625" hidden="1" customWidth="1" outlineLevel="1"/>
    <col min="33" max="34" width="13.69140625" hidden="1" customWidth="1" outlineLevel="1"/>
    <col min="35" max="35" width="15.15234375" hidden="1" customWidth="1" outlineLevel="1"/>
    <col min="36" max="36" width="4.3046875" hidden="1" customWidth="1" outlineLevel="1"/>
    <col min="37" max="37" width="4.3046875" customWidth="1" collapsed="1"/>
    <col min="38" max="38" width="4.3046875" customWidth="1"/>
    <col min="39" max="39" width="16.69140625" bestFit="1" customWidth="1"/>
    <col min="40" max="40" width="14.84375" bestFit="1" customWidth="1"/>
    <col min="41" max="41" width="16.69140625" bestFit="1" customWidth="1"/>
    <col min="42" max="42" width="15.15234375" bestFit="1" customWidth="1"/>
    <col min="43" max="43" width="11.15234375" bestFit="1" customWidth="1"/>
    <col min="44" max="45" width="4.3046875" customWidth="1"/>
    <col min="46" max="47" width="14.3046875" customWidth="1"/>
    <col min="48" max="48" width="20.3046875" customWidth="1"/>
    <col min="49" max="49" width="10" bestFit="1" customWidth="1"/>
    <col min="51" max="51" width="15.3046875" bestFit="1" customWidth="1"/>
  </cols>
  <sheetData>
    <row r="1" spans="1:55" ht="7.5" customHeight="1" thickBot="1">
      <c r="A1" s="78"/>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row>
    <row r="2" spans="1:55" ht="21" thickBot="1">
      <c r="A2" s="78"/>
      <c r="B2" s="386" t="s">
        <v>49</v>
      </c>
      <c r="C2" s="387"/>
      <c r="D2" s="387"/>
      <c r="E2" s="387"/>
      <c r="F2" s="387"/>
      <c r="G2" s="387"/>
      <c r="H2" s="387"/>
      <c r="I2" s="387"/>
      <c r="J2" s="387"/>
      <c r="K2" s="387"/>
      <c r="L2" s="388"/>
      <c r="M2" s="78"/>
      <c r="N2" s="376" t="s">
        <v>296</v>
      </c>
      <c r="O2" s="377"/>
      <c r="P2" s="377"/>
      <c r="Q2" s="377"/>
      <c r="R2" s="377"/>
      <c r="S2" s="377"/>
      <c r="T2" s="377"/>
      <c r="U2" s="377"/>
      <c r="V2" s="377"/>
      <c r="W2" s="377"/>
      <c r="X2" s="377"/>
      <c r="Y2" s="377"/>
      <c r="Z2" s="378"/>
      <c r="AA2" s="78"/>
      <c r="AB2" s="380" t="s">
        <v>184</v>
      </c>
      <c r="AC2" s="381"/>
      <c r="AD2" s="381"/>
      <c r="AE2" s="381"/>
      <c r="AF2" s="381"/>
      <c r="AG2" s="381"/>
      <c r="AH2" s="381"/>
      <c r="AI2" s="381"/>
      <c r="AJ2" s="382"/>
      <c r="AK2" s="78"/>
      <c r="AL2" s="383" t="s">
        <v>188</v>
      </c>
      <c r="AM2" s="384"/>
      <c r="AN2" s="384"/>
      <c r="AO2" s="384"/>
      <c r="AP2" s="384"/>
      <c r="AQ2" s="384"/>
      <c r="AR2" s="385"/>
      <c r="AS2" s="78"/>
      <c r="AT2" s="78"/>
      <c r="AU2" s="78"/>
      <c r="AV2" s="78"/>
      <c r="AW2" s="78"/>
      <c r="AX2" s="78"/>
      <c r="AY2" s="78"/>
      <c r="AZ2" s="78"/>
      <c r="BA2" s="78"/>
      <c r="BB2" s="78"/>
      <c r="BC2" s="78"/>
    </row>
    <row r="3" spans="1:55" ht="7.5" customHeight="1" thickBot="1">
      <c r="A3" s="78"/>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row>
    <row r="4" spans="1:55" ht="18.45">
      <c r="A4" s="78"/>
      <c r="B4" s="251"/>
      <c r="C4" s="391" t="s">
        <v>284</v>
      </c>
      <c r="D4" s="391"/>
      <c r="E4" s="391"/>
      <c r="F4" s="391"/>
      <c r="G4" s="253"/>
      <c r="H4" s="253"/>
      <c r="I4" s="240" t="s">
        <v>282</v>
      </c>
      <c r="J4" s="281" t="s">
        <v>283</v>
      </c>
      <c r="K4" s="282">
        <v>45460</v>
      </c>
      <c r="L4" s="254"/>
      <c r="M4" s="78"/>
      <c r="P4" s="262" t="s">
        <v>78</v>
      </c>
      <c r="Q4" s="262" t="s">
        <v>286</v>
      </c>
      <c r="R4" s="262" t="s">
        <v>297</v>
      </c>
      <c r="S4" s="263" t="s">
        <v>79</v>
      </c>
      <c r="T4" s="262" t="s">
        <v>129</v>
      </c>
      <c r="U4" s="262" t="s">
        <v>174</v>
      </c>
      <c r="V4" s="263" t="s">
        <v>187</v>
      </c>
      <c r="W4" s="263" t="s">
        <v>130</v>
      </c>
      <c r="AA4" s="78"/>
      <c r="AB4" s="251"/>
      <c r="AC4" s="253"/>
      <c r="AD4" s="253"/>
      <c r="AE4" s="253"/>
      <c r="AF4" s="253"/>
      <c r="AG4" s="253"/>
      <c r="AH4" s="253"/>
      <c r="AI4" s="253"/>
      <c r="AJ4" s="254"/>
      <c r="AK4" s="78"/>
      <c r="AL4" s="251"/>
      <c r="AM4" s="253"/>
      <c r="AN4" s="253"/>
      <c r="AO4" s="253"/>
      <c r="AP4" s="253"/>
      <c r="AQ4" s="253"/>
      <c r="AR4" s="254"/>
      <c r="AS4" s="78"/>
      <c r="AT4" s="78"/>
      <c r="AU4" s="78"/>
      <c r="AV4" s="78"/>
      <c r="AW4" s="78"/>
      <c r="AX4" s="78"/>
      <c r="AY4" s="78"/>
      <c r="AZ4" s="78"/>
      <c r="BA4" s="78"/>
      <c r="BB4" s="78"/>
      <c r="BC4" s="78"/>
    </row>
    <row r="5" spans="1:55" ht="10" customHeight="1">
      <c r="A5" s="78"/>
      <c r="B5" s="242"/>
      <c r="L5" s="255"/>
      <c r="M5" s="78"/>
      <c r="O5">
        <v>1</v>
      </c>
      <c r="P5" t="s">
        <v>293</v>
      </c>
      <c r="Q5" t="s">
        <v>287</v>
      </c>
      <c r="R5" t="s">
        <v>289</v>
      </c>
      <c r="AA5" s="78"/>
      <c r="AB5" s="242"/>
      <c r="AC5" s="24"/>
      <c r="AD5" s="24"/>
      <c r="AE5" s="24"/>
      <c r="AF5" s="24"/>
      <c r="AG5" s="24"/>
      <c r="AH5" s="24"/>
      <c r="AI5" s="38"/>
      <c r="AJ5" s="295"/>
      <c r="AK5" s="78"/>
      <c r="AL5" s="242"/>
      <c r="AR5" s="255"/>
      <c r="AS5" s="78"/>
      <c r="AT5" s="78"/>
      <c r="AU5" s="78"/>
      <c r="AV5" s="78"/>
      <c r="AW5" s="78"/>
      <c r="AX5" s="78"/>
      <c r="AY5" s="78"/>
      <c r="AZ5" s="78"/>
      <c r="BA5" s="78"/>
      <c r="BB5" s="78"/>
      <c r="BC5" s="78"/>
    </row>
    <row r="6" spans="1:55">
      <c r="A6" s="78"/>
      <c r="B6" s="242"/>
      <c r="C6" t="s">
        <v>285</v>
      </c>
      <c r="D6" s="364" t="str">
        <f>Data!$B$2</f>
        <v>PURE</v>
      </c>
      <c r="E6" s="364"/>
      <c r="F6" s="364"/>
      <c r="G6" s="364"/>
      <c r="H6" s="364"/>
      <c r="I6" s="364"/>
      <c r="L6" s="255"/>
      <c r="M6" s="78"/>
      <c r="O6">
        <v>2</v>
      </c>
      <c r="P6" t="s">
        <v>294</v>
      </c>
      <c r="Q6" t="s">
        <v>288</v>
      </c>
      <c r="R6" t="s">
        <v>289</v>
      </c>
      <c r="X6" s="159"/>
      <c r="Y6" s="6"/>
      <c r="Z6" s="14"/>
      <c r="AA6" s="78"/>
      <c r="AB6" s="242"/>
      <c r="AJ6" s="255"/>
      <c r="AK6" s="78"/>
      <c r="AL6" s="242"/>
      <c r="AQ6" s="36"/>
      <c r="AR6" s="255"/>
      <c r="AS6" s="78"/>
      <c r="AT6" s="78"/>
      <c r="AU6" s="78"/>
      <c r="AV6" s="78"/>
      <c r="AW6" s="78"/>
      <c r="AX6" s="78"/>
      <c r="AY6" s="78"/>
      <c r="AZ6" s="78"/>
      <c r="BA6" s="78"/>
      <c r="BB6" s="78"/>
      <c r="BC6" s="78"/>
    </row>
    <row r="7" spans="1:55">
      <c r="A7" s="78"/>
      <c r="B7" s="242"/>
      <c r="C7" s="165" t="s">
        <v>128</v>
      </c>
      <c r="D7" s="389" t="s">
        <v>233</v>
      </c>
      <c r="E7" s="389"/>
      <c r="G7" s="283" t="s">
        <v>42</v>
      </c>
      <c r="H7" s="225" t="s">
        <v>43</v>
      </c>
      <c r="I7" s="225" t="s">
        <v>60</v>
      </c>
      <c r="J7" s="226" t="s">
        <v>44</v>
      </c>
      <c r="K7" s="284" t="s">
        <v>45</v>
      </c>
      <c r="L7" s="255"/>
      <c r="M7" s="78"/>
      <c r="O7">
        <v>3</v>
      </c>
      <c r="P7" t="s">
        <v>290</v>
      </c>
      <c r="Q7" t="s">
        <v>287</v>
      </c>
      <c r="R7" t="s">
        <v>289</v>
      </c>
      <c r="X7" s="159"/>
      <c r="Y7" s="20"/>
      <c r="Z7" s="14"/>
      <c r="AA7" s="78"/>
      <c r="AB7" s="242"/>
      <c r="AJ7" s="255"/>
      <c r="AK7" s="78"/>
      <c r="AL7" s="242"/>
      <c r="AM7" s="87" t="s">
        <v>42</v>
      </c>
      <c r="AN7" s="88" t="s">
        <v>43</v>
      </c>
      <c r="AO7" s="88" t="s">
        <v>60</v>
      </c>
      <c r="AP7" s="89" t="s">
        <v>44</v>
      </c>
      <c r="AQ7" s="90" t="s">
        <v>45</v>
      </c>
      <c r="AR7" s="255"/>
      <c r="AS7" s="78"/>
      <c r="AT7" s="78"/>
      <c r="AU7" s="78"/>
      <c r="AV7" s="78"/>
      <c r="AW7" s="78"/>
      <c r="AX7" s="78"/>
      <c r="AY7" s="78"/>
      <c r="AZ7" s="78"/>
      <c r="BA7" s="78"/>
      <c r="BB7" s="78"/>
      <c r="BC7" s="78"/>
    </row>
    <row r="8" spans="1:55">
      <c r="A8" s="78"/>
      <c r="B8" s="242"/>
      <c r="C8" s="165" t="s">
        <v>50</v>
      </c>
      <c r="D8" s="390" t="s">
        <v>234</v>
      </c>
      <c r="E8" s="390"/>
      <c r="G8" s="22" t="s">
        <v>47</v>
      </c>
      <c r="H8" s="348" t="s">
        <v>59</v>
      </c>
      <c r="I8" s="348" t="s">
        <v>61</v>
      </c>
      <c r="J8" s="349">
        <v>1.95</v>
      </c>
      <c r="K8" s="350">
        <v>1.6227641036510301E-3</v>
      </c>
      <c r="L8" s="255"/>
      <c r="M8" s="78"/>
      <c r="O8">
        <v>4</v>
      </c>
      <c r="P8" t="s">
        <v>291</v>
      </c>
      <c r="Q8" t="s">
        <v>287</v>
      </c>
      <c r="R8" t="s">
        <v>295</v>
      </c>
      <c r="Z8" s="15"/>
      <c r="AA8" s="78"/>
      <c r="AB8" s="242"/>
      <c r="AD8" s="24" t="s">
        <v>273</v>
      </c>
      <c r="AF8" s="38" t="s">
        <v>274</v>
      </c>
      <c r="AG8" s="38" t="s">
        <v>249</v>
      </c>
      <c r="AJ8" s="255"/>
      <c r="AK8" s="78"/>
      <c r="AL8" s="242"/>
      <c r="AM8" s="22" t="s">
        <v>47</v>
      </c>
      <c r="AN8" s="352" t="s">
        <v>58</v>
      </c>
      <c r="AO8" s="352" t="s">
        <v>61</v>
      </c>
      <c r="AP8" s="353">
        <v>2</v>
      </c>
      <c r="AQ8" s="350">
        <v>2.9499999999999998E-2</v>
      </c>
      <c r="AR8" s="255"/>
      <c r="AS8" s="83"/>
      <c r="AT8" s="83"/>
      <c r="AU8" s="78"/>
      <c r="AV8" s="78"/>
      <c r="AW8" s="78"/>
      <c r="AX8" s="78"/>
      <c r="AY8" s="78"/>
      <c r="AZ8" s="78"/>
      <c r="BA8" s="78"/>
      <c r="BB8" s="78"/>
      <c r="BC8" s="78"/>
    </row>
    <row r="9" spans="1:55">
      <c r="A9" s="78"/>
      <c r="B9" s="242"/>
      <c r="C9" s="165" t="s">
        <v>34</v>
      </c>
      <c r="D9" s="390" t="s">
        <v>35</v>
      </c>
      <c r="E9" s="390"/>
      <c r="G9" s="22" t="s">
        <v>48</v>
      </c>
      <c r="H9" s="348" t="s">
        <v>59</v>
      </c>
      <c r="I9" s="348" t="s">
        <v>61</v>
      </c>
      <c r="J9" s="349">
        <v>1.95</v>
      </c>
      <c r="K9" s="350">
        <v>1.622764103651034E-3</v>
      </c>
      <c r="L9" s="255"/>
      <c r="M9" s="78"/>
      <c r="O9">
        <v>5</v>
      </c>
      <c r="P9" t="s">
        <v>292</v>
      </c>
      <c r="Q9" t="s">
        <v>287</v>
      </c>
      <c r="R9" t="s">
        <v>295</v>
      </c>
      <c r="AA9" s="78"/>
      <c r="AB9" s="242"/>
      <c r="AD9" s="38" t="s">
        <v>121</v>
      </c>
      <c r="AF9" s="76">
        <v>0.3</v>
      </c>
      <c r="AG9" s="76">
        <v>0.2</v>
      </c>
      <c r="AJ9" s="255"/>
      <c r="AK9" s="78"/>
      <c r="AL9" s="296"/>
      <c r="AM9" s="22" t="s">
        <v>48</v>
      </c>
      <c r="AN9" s="352" t="s">
        <v>58</v>
      </c>
      <c r="AO9" s="352" t="s">
        <v>61</v>
      </c>
      <c r="AP9" s="353">
        <v>2</v>
      </c>
      <c r="AQ9" s="350">
        <v>2.9499999999999998E-2</v>
      </c>
      <c r="AR9" s="255"/>
      <c r="AS9" s="83"/>
      <c r="AT9" s="83"/>
      <c r="AU9" s="78"/>
      <c r="AV9" s="78"/>
      <c r="AW9" s="78"/>
      <c r="AX9" s="78"/>
      <c r="AY9" s="78"/>
      <c r="AZ9" s="78"/>
      <c r="BA9" s="78"/>
      <c r="BB9" s="78"/>
      <c r="BC9" s="78"/>
    </row>
    <row r="10" spans="1:55">
      <c r="A10" s="78"/>
      <c r="B10" s="242"/>
      <c r="C10" s="165" t="s">
        <v>190</v>
      </c>
      <c r="D10" s="390" t="s">
        <v>235</v>
      </c>
      <c r="E10" s="390"/>
      <c r="G10" s="22" t="s">
        <v>62</v>
      </c>
      <c r="H10" s="348" t="s">
        <v>59</v>
      </c>
      <c r="I10" s="348" t="s">
        <v>61</v>
      </c>
      <c r="J10" s="349">
        <v>1.95</v>
      </c>
      <c r="K10" s="350">
        <v>1.622764103651034E-3</v>
      </c>
      <c r="L10" s="255"/>
      <c r="M10" s="78"/>
      <c r="O10">
        <v>6</v>
      </c>
      <c r="AA10" s="78"/>
      <c r="AB10" s="242"/>
      <c r="AD10" s="38" t="s">
        <v>122</v>
      </c>
      <c r="AF10" s="76">
        <v>0.3</v>
      </c>
      <c r="AG10" s="76">
        <v>0.2</v>
      </c>
      <c r="AJ10" s="255"/>
      <c r="AK10" s="78"/>
      <c r="AL10" s="296"/>
      <c r="AM10" s="22" t="s">
        <v>62</v>
      </c>
      <c r="AN10" s="352" t="s">
        <v>56</v>
      </c>
      <c r="AO10" s="352" t="s">
        <v>61</v>
      </c>
      <c r="AP10" s="353">
        <v>7</v>
      </c>
      <c r="AQ10" s="350">
        <v>1.4999999999999999E-2</v>
      </c>
      <c r="AR10" s="255"/>
      <c r="AS10" s="83"/>
      <c r="AT10" s="83"/>
      <c r="AU10" s="78"/>
      <c r="AV10" s="78"/>
      <c r="AW10" s="78"/>
      <c r="AX10" s="78"/>
      <c r="AY10" s="78"/>
      <c r="AZ10" s="78"/>
      <c r="BA10" s="78"/>
      <c r="BB10" s="78"/>
      <c r="BC10" s="78"/>
    </row>
    <row r="11" spans="1:55">
      <c r="A11" s="78"/>
      <c r="B11" s="242"/>
      <c r="C11" s="165" t="s">
        <v>36</v>
      </c>
      <c r="D11" s="389" t="s">
        <v>194</v>
      </c>
      <c r="E11" s="389"/>
      <c r="G11" s="29" t="s">
        <v>41</v>
      </c>
      <c r="H11" s="348" t="s">
        <v>59</v>
      </c>
      <c r="I11" s="348" t="s">
        <v>61</v>
      </c>
      <c r="J11" s="349">
        <v>1.95</v>
      </c>
      <c r="K11" s="350">
        <v>1.622764103651034E-3</v>
      </c>
      <c r="L11" s="255"/>
      <c r="M11" s="78"/>
      <c r="O11">
        <v>7</v>
      </c>
      <c r="AA11" s="78"/>
      <c r="AB11" s="242"/>
      <c r="AJ11" s="255"/>
      <c r="AK11" s="78"/>
      <c r="AL11" s="296"/>
      <c r="AM11" s="29" t="s">
        <v>41</v>
      </c>
      <c r="AN11" s="352" t="s">
        <v>56</v>
      </c>
      <c r="AO11" s="352" t="s">
        <v>61</v>
      </c>
      <c r="AP11" s="353">
        <v>7</v>
      </c>
      <c r="AQ11" s="350">
        <v>1.7500000000000002E-2</v>
      </c>
      <c r="AR11" s="255"/>
      <c r="AS11" s="78"/>
      <c r="AT11" s="78"/>
      <c r="AU11" s="78"/>
      <c r="AV11" s="78"/>
      <c r="AW11" s="78"/>
      <c r="AX11" s="78"/>
      <c r="AY11" s="78"/>
      <c r="AZ11" s="78"/>
      <c r="BA11" s="78"/>
      <c r="BB11" s="78"/>
      <c r="BC11" s="78"/>
    </row>
    <row r="12" spans="1:55">
      <c r="A12" s="78"/>
      <c r="B12" s="242"/>
      <c r="C12" s="165" t="s">
        <v>193</v>
      </c>
      <c r="D12" s="390">
        <v>36</v>
      </c>
      <c r="E12" s="390"/>
      <c r="G12" s="29" t="s">
        <v>31</v>
      </c>
      <c r="H12" s="163" t="s">
        <v>56</v>
      </c>
      <c r="I12" s="348" t="s">
        <v>61</v>
      </c>
      <c r="J12" s="349">
        <v>0.02</v>
      </c>
      <c r="K12" s="351" t="s">
        <v>46</v>
      </c>
      <c r="L12" s="255"/>
      <c r="M12" s="78"/>
      <c r="O12">
        <v>8</v>
      </c>
      <c r="AA12" s="78"/>
      <c r="AB12" s="242"/>
      <c r="AJ12" s="255"/>
      <c r="AK12" s="78"/>
      <c r="AL12" s="242"/>
      <c r="AM12" s="29" t="s">
        <v>31</v>
      </c>
      <c r="AN12" s="164" t="s">
        <v>56</v>
      </c>
      <c r="AO12" s="352" t="s">
        <v>61</v>
      </c>
      <c r="AP12" s="353">
        <v>0.05</v>
      </c>
      <c r="AQ12" s="162" t="s">
        <v>46</v>
      </c>
      <c r="AR12" s="255"/>
      <c r="AS12" s="78"/>
      <c r="AT12" s="78"/>
      <c r="AU12" s="78"/>
      <c r="AV12" s="78"/>
      <c r="AW12" s="78"/>
      <c r="AX12" s="78"/>
      <c r="AY12" s="78"/>
      <c r="AZ12" s="78"/>
      <c r="BA12" s="78"/>
      <c r="BB12" s="78"/>
      <c r="BC12" s="78"/>
    </row>
    <row r="13" spans="1:55" ht="10" customHeight="1">
      <c r="A13" s="78"/>
      <c r="B13" s="242"/>
      <c r="D13" s="17"/>
      <c r="G13" s="33"/>
      <c r="J13" s="33"/>
      <c r="L13" s="255"/>
      <c r="M13" s="78"/>
      <c r="O13">
        <v>9</v>
      </c>
      <c r="AA13" s="78"/>
      <c r="AB13" s="242"/>
      <c r="AG13" s="291"/>
      <c r="AH13" s="292"/>
      <c r="AI13" s="292"/>
      <c r="AJ13" s="255"/>
      <c r="AK13" s="78"/>
      <c r="AL13" s="242"/>
      <c r="AR13" s="255"/>
      <c r="AS13" s="83"/>
      <c r="AT13" s="83"/>
      <c r="AU13" s="78"/>
      <c r="AV13" s="78"/>
      <c r="AW13" s="78"/>
      <c r="AX13" s="78"/>
      <c r="AY13" s="78"/>
      <c r="AZ13" s="78"/>
      <c r="BA13" s="78"/>
      <c r="BB13" s="78"/>
      <c r="BC13" s="78"/>
    </row>
    <row r="14" spans="1:55" ht="10" customHeight="1">
      <c r="A14" s="78"/>
      <c r="B14" s="242"/>
      <c r="G14" s="33"/>
      <c r="J14" s="11"/>
      <c r="K14" s="27"/>
      <c r="L14" s="255"/>
      <c r="M14" s="78"/>
      <c r="O14">
        <v>10</v>
      </c>
      <c r="AA14" s="78"/>
      <c r="AB14" s="242"/>
      <c r="AJ14" s="255"/>
      <c r="AK14" s="78"/>
      <c r="AL14" s="296"/>
      <c r="AM14" s="297"/>
      <c r="AN14" s="297"/>
      <c r="AO14" s="297"/>
      <c r="AP14" s="28"/>
      <c r="AQ14" s="28"/>
      <c r="AR14" s="298"/>
      <c r="AS14" s="83"/>
      <c r="AT14" s="83"/>
      <c r="AU14" s="78"/>
      <c r="AV14" s="78"/>
      <c r="AW14" s="78"/>
      <c r="AX14" s="78"/>
      <c r="AY14" s="78"/>
      <c r="AZ14" s="78"/>
      <c r="BA14" s="78"/>
      <c r="BB14" s="78"/>
      <c r="BC14" s="78"/>
    </row>
    <row r="15" spans="1:55">
      <c r="A15" s="78"/>
      <c r="B15" s="242"/>
      <c r="C15" s="360" t="s">
        <v>55</v>
      </c>
      <c r="D15" s="360"/>
      <c r="E15" s="6"/>
      <c r="G15" s="375" t="s">
        <v>80</v>
      </c>
      <c r="H15" s="375"/>
      <c r="I15" s="375"/>
      <c r="J15" s="375"/>
      <c r="L15" s="255"/>
      <c r="M15" s="78"/>
      <c r="AA15" s="78"/>
      <c r="AB15" s="242"/>
      <c r="AC15" s="360" t="s">
        <v>55</v>
      </c>
      <c r="AD15" s="360"/>
      <c r="AF15" s="379" t="s">
        <v>81</v>
      </c>
      <c r="AG15" s="379"/>
      <c r="AH15" s="379"/>
      <c r="AI15" s="379"/>
      <c r="AJ15" s="255"/>
      <c r="AK15" s="78"/>
      <c r="AL15" s="296"/>
      <c r="AM15" s="372" t="s">
        <v>81</v>
      </c>
      <c r="AN15" s="373"/>
      <c r="AO15" s="373"/>
      <c r="AP15" s="374"/>
      <c r="AR15" s="255"/>
      <c r="AS15" s="78"/>
      <c r="AT15" s="264"/>
      <c r="AU15" s="78"/>
      <c r="AV15" s="78"/>
      <c r="AW15" s="78"/>
      <c r="AX15" s="78"/>
      <c r="AY15" s="78"/>
      <c r="AZ15" s="78"/>
      <c r="BA15" s="78"/>
      <c r="BB15" s="78"/>
      <c r="BC15" s="78"/>
    </row>
    <row r="16" spans="1:55" ht="17.149999999999999">
      <c r="A16" s="78"/>
      <c r="B16" s="242"/>
      <c r="C16" s="22" t="s">
        <v>40</v>
      </c>
      <c r="D16" s="260">
        <f>$H$38</f>
        <v>0.5466900132133129</v>
      </c>
      <c r="E16" s="6"/>
      <c r="G16" s="261" t="s">
        <v>279</v>
      </c>
      <c r="H16" s="224" t="s">
        <v>69</v>
      </c>
      <c r="I16" s="224" t="s">
        <v>31</v>
      </c>
      <c r="J16" s="214" t="s">
        <v>70</v>
      </c>
      <c r="L16" s="255"/>
      <c r="M16" s="78"/>
      <c r="AA16" s="78"/>
      <c r="AB16" s="242"/>
      <c r="AC16" s="22" t="s">
        <v>40</v>
      </c>
      <c r="AD16" s="171">
        <f>Calculations!V28</f>
        <v>0.63628993628705854</v>
      </c>
      <c r="AF16" s="271" t="s">
        <v>279</v>
      </c>
      <c r="AG16" s="214" t="s">
        <v>69</v>
      </c>
      <c r="AH16" s="214" t="s">
        <v>31</v>
      </c>
      <c r="AI16" s="214" t="s">
        <v>70</v>
      </c>
      <c r="AJ16" s="255"/>
      <c r="AK16" s="78"/>
      <c r="AL16" s="299"/>
      <c r="AM16" s="261" t="s">
        <v>279</v>
      </c>
      <c r="AN16" s="224" t="s">
        <v>69</v>
      </c>
      <c r="AO16" s="224" t="s">
        <v>31</v>
      </c>
      <c r="AP16" s="214" t="s">
        <v>70</v>
      </c>
      <c r="AR16" s="255"/>
      <c r="AS16" s="78"/>
      <c r="AT16" s="85"/>
      <c r="AU16" s="78"/>
      <c r="AV16" s="78"/>
      <c r="AW16" s="78"/>
      <c r="AX16" s="78"/>
      <c r="AY16" s="78"/>
      <c r="AZ16" s="78"/>
      <c r="BA16" s="78"/>
      <c r="BB16" s="78"/>
      <c r="BC16" s="78"/>
    </row>
    <row r="17" spans="1:55">
      <c r="A17" s="78"/>
      <c r="B17" s="242"/>
      <c r="C17" s="22" t="s">
        <v>39</v>
      </c>
      <c r="D17" s="260">
        <f>SUM($H$27:$H$31)</f>
        <v>0.45330998678668699</v>
      </c>
      <c r="G17" s="215" t="s">
        <v>174</v>
      </c>
      <c r="H17" s="216">
        <f>$D$36</f>
        <v>129471</v>
      </c>
      <c r="I17" s="216">
        <f>$D$38</f>
        <v>158449</v>
      </c>
      <c r="J17" s="216">
        <f>SUM(H17:I17)</f>
        <v>287920</v>
      </c>
      <c r="K17" s="13"/>
      <c r="L17" s="255"/>
      <c r="M17" s="78"/>
      <c r="AA17" s="78"/>
      <c r="AB17" s="242"/>
      <c r="AC17" s="22" t="s">
        <v>39</v>
      </c>
      <c r="AD17" s="171">
        <f>Calculations!V29</f>
        <v>0.36371006371294157</v>
      </c>
      <c r="AF17" s="215" t="s">
        <v>174</v>
      </c>
      <c r="AG17" s="237">
        <f>Calculations!$M$33</f>
        <v>104086.00000000001</v>
      </c>
      <c r="AH17" s="237">
        <f>Calculations!$M$35</f>
        <v>183834</v>
      </c>
      <c r="AI17" s="237">
        <f>Calculations!$M$17</f>
        <v>287920</v>
      </c>
      <c r="AJ17" s="255"/>
      <c r="AK17" s="78"/>
      <c r="AL17" s="299"/>
      <c r="AM17" s="215" t="s">
        <v>174</v>
      </c>
      <c r="AN17" s="309">
        <f>$D$36</f>
        <v>129471</v>
      </c>
      <c r="AO17" s="309">
        <f>$D$38</f>
        <v>158449</v>
      </c>
      <c r="AP17" s="309">
        <f>$D$40</f>
        <v>287920</v>
      </c>
      <c r="AR17" s="255"/>
      <c r="AS17" s="78"/>
      <c r="AT17" s="265"/>
      <c r="AU17" s="78"/>
      <c r="AV17" s="78"/>
      <c r="AW17" s="78"/>
      <c r="AX17" s="78"/>
      <c r="AY17" s="78"/>
      <c r="AZ17" s="78"/>
      <c r="BA17" s="78"/>
      <c r="BB17" s="78"/>
      <c r="BC17" s="78"/>
    </row>
    <row r="18" spans="1:55">
      <c r="A18" s="78"/>
      <c r="B18" s="242"/>
      <c r="C18" s="166" t="s">
        <v>226</v>
      </c>
      <c r="D18" s="172">
        <f>SUM($G$27:$G$28)</f>
        <v>0.98828534209978014</v>
      </c>
      <c r="G18" s="215" t="s">
        <v>187</v>
      </c>
      <c r="H18" s="46">
        <f>$E$36</f>
        <v>698649416.80000031</v>
      </c>
      <c r="I18" s="46">
        <f>$E$38</f>
        <v>842568374.91999972</v>
      </c>
      <c r="J18" s="46">
        <f>SUM(H18:I18)</f>
        <v>1541217791.72</v>
      </c>
      <c r="K18" s="13"/>
      <c r="L18" s="255"/>
      <c r="M18" s="78"/>
      <c r="AA18" s="78"/>
      <c r="AB18" s="242"/>
      <c r="AC18" s="166" t="s">
        <v>226</v>
      </c>
      <c r="AD18" s="148">
        <f>Calculations!V30</f>
        <v>0.61587464860789776</v>
      </c>
      <c r="AF18" s="215" t="s">
        <v>187</v>
      </c>
      <c r="AG18" s="46">
        <f>Calculations!$N$33</f>
        <v>560556421.22200024</v>
      </c>
      <c r="AH18" s="46">
        <f>Calculations!$N$35</f>
        <v>980661370.49799967</v>
      </c>
      <c r="AI18" s="46">
        <f>Calculations!$N$36</f>
        <v>1541217791.7199998</v>
      </c>
      <c r="AJ18" s="255"/>
      <c r="AK18" s="78"/>
      <c r="AL18" s="299"/>
      <c r="AM18" s="215" t="s">
        <v>187</v>
      </c>
      <c r="AN18" s="217">
        <f>$E$36</f>
        <v>698649416.80000031</v>
      </c>
      <c r="AO18" s="217">
        <f>$E$38</f>
        <v>842568374.91999972</v>
      </c>
      <c r="AP18" s="217">
        <f>$E$40</f>
        <v>1541217791.72</v>
      </c>
      <c r="AR18" s="255"/>
      <c r="AS18" s="78"/>
      <c r="AT18" s="78"/>
      <c r="AU18" s="78"/>
      <c r="AV18" s="78"/>
      <c r="AW18" s="78"/>
      <c r="AX18" s="78"/>
      <c r="AY18" s="78"/>
      <c r="AZ18" s="78"/>
      <c r="BA18" s="78"/>
      <c r="BB18" s="78"/>
      <c r="BC18" s="78"/>
    </row>
    <row r="19" spans="1:55">
      <c r="A19" s="78"/>
      <c r="B19" s="242"/>
      <c r="C19" s="166" t="s">
        <v>24</v>
      </c>
      <c r="D19" s="47">
        <f>SUM($G$29:$G$31)</f>
        <v>1.1714657900219687E-2</v>
      </c>
      <c r="G19" s="215" t="s">
        <v>65</v>
      </c>
      <c r="H19" s="217">
        <f>$K$36</f>
        <v>17272840.541511871</v>
      </c>
      <c r="I19" s="217">
        <f>$K$38</f>
        <v>3168.98</v>
      </c>
      <c r="J19" s="218">
        <f>SUM(H19:I19)</f>
        <v>17276009.521511871</v>
      </c>
      <c r="L19" s="255"/>
      <c r="M19" s="78"/>
      <c r="AA19" s="78"/>
      <c r="AB19" s="242"/>
      <c r="AC19" s="166" t="s">
        <v>24</v>
      </c>
      <c r="AD19" s="148">
        <f>Calculations!V31</f>
        <v>0.38412535139210213</v>
      </c>
      <c r="AF19" s="216" t="s">
        <v>65</v>
      </c>
      <c r="AG19" s="46">
        <f>Calculations!$N$71</f>
        <v>10468722.923877502</v>
      </c>
      <c r="AH19" s="46">
        <f>Calculations!$N$72</f>
        <v>9191.7000000000007</v>
      </c>
      <c r="AI19" s="46">
        <f>Calculations!$N$73</f>
        <v>10477914.623877501</v>
      </c>
      <c r="AJ19" s="255"/>
      <c r="AK19" s="78"/>
      <c r="AL19" s="242"/>
      <c r="AM19" s="215" t="s">
        <v>65</v>
      </c>
      <c r="AN19" s="217">
        <f>$AN$28</f>
        <v>20386538.847755004</v>
      </c>
      <c r="AO19" s="217">
        <f>$AN$30</f>
        <v>7922.4500000000007</v>
      </c>
      <c r="AP19" s="218">
        <f>SUM(AN19:AO19)</f>
        <v>20394461.297755003</v>
      </c>
      <c r="AQ19" s="13"/>
      <c r="AR19" s="255"/>
      <c r="AS19" s="78"/>
      <c r="AT19" s="266"/>
      <c r="AU19" s="78"/>
      <c r="AV19" s="78"/>
      <c r="AW19" s="78"/>
      <c r="AX19" s="78"/>
      <c r="AY19" s="78"/>
      <c r="AZ19" s="78"/>
      <c r="BA19" s="78"/>
      <c r="BB19" s="78"/>
      <c r="BC19" s="78"/>
    </row>
    <row r="20" spans="1:55">
      <c r="A20" s="78"/>
      <c r="B20" s="242"/>
      <c r="C20" s="11"/>
      <c r="D20" s="6"/>
      <c r="G20" s="215" t="s">
        <v>67</v>
      </c>
      <c r="H20" s="219">
        <f>H19-I36</f>
        <v>1133743.1946197692</v>
      </c>
      <c r="I20" s="219">
        <f>I19-$I$38</f>
        <v>-3168.98</v>
      </c>
      <c r="J20" s="220">
        <f>SUM(H20:I20)</f>
        <v>1130574.2146197692</v>
      </c>
      <c r="L20" s="255"/>
      <c r="M20" s="78"/>
      <c r="AA20" s="78"/>
      <c r="AB20" s="242"/>
      <c r="AF20" s="49" t="s">
        <v>67</v>
      </c>
      <c r="AG20" s="52">
        <f>Calculations!$P$71</f>
        <v>1840717.295945266</v>
      </c>
      <c r="AH20" s="52">
        <f>Calculations!$P$72</f>
        <v>1838.3400000000001</v>
      </c>
      <c r="AI20" s="52">
        <f>Calculations!$P$73</f>
        <v>1842555.6359452661</v>
      </c>
      <c r="AJ20" s="255"/>
      <c r="AK20" s="78"/>
      <c r="AL20" s="242"/>
      <c r="AM20" s="310" t="s">
        <v>67</v>
      </c>
      <c r="AN20" s="219">
        <f>AN19-I36</f>
        <v>4247441.500862902</v>
      </c>
      <c r="AO20" s="219">
        <f>AO19-$I$38</f>
        <v>1584.4900000000007</v>
      </c>
      <c r="AP20" s="220">
        <f>SUM(AN20:AO20)</f>
        <v>4249025.9908629023</v>
      </c>
      <c r="AR20" s="255"/>
      <c r="AS20" s="83"/>
      <c r="AT20" s="267"/>
      <c r="AU20" s="78"/>
      <c r="AV20" s="78"/>
      <c r="AW20" s="78"/>
      <c r="AX20" s="78"/>
      <c r="AY20" s="78"/>
      <c r="AZ20" s="78"/>
      <c r="BA20" s="78"/>
      <c r="BB20" s="78"/>
      <c r="BC20" s="78"/>
    </row>
    <row r="21" spans="1:55">
      <c r="A21" s="78"/>
      <c r="B21" s="242"/>
      <c r="C21" s="11"/>
      <c r="D21" s="6"/>
      <c r="G21" s="215" t="s">
        <v>30</v>
      </c>
      <c r="H21" s="221">
        <f>H20/H19</f>
        <v>6.5637333471297937E-2</v>
      </c>
      <c r="I21" s="221">
        <f>IFERROR(I20/I19,0)</f>
        <v>-1</v>
      </c>
      <c r="J21" s="221">
        <f>J20/J19</f>
        <v>6.5441861050840031E-2</v>
      </c>
      <c r="L21" s="255"/>
      <c r="M21" s="78"/>
      <c r="AA21" s="78"/>
      <c r="AB21" s="242"/>
      <c r="AF21" s="49" t="s">
        <v>30</v>
      </c>
      <c r="AG21" s="238">
        <f>AG20/AG19</f>
        <v>0.17583016661439008</v>
      </c>
      <c r="AH21" s="238">
        <f>AH20/AH19</f>
        <v>0.2</v>
      </c>
      <c r="AI21" s="238">
        <f>AI20/AI19</f>
        <v>0.17585136948399779</v>
      </c>
      <c r="AJ21" s="255"/>
      <c r="AK21" s="78"/>
      <c r="AL21" s="242"/>
      <c r="AM21" s="310" t="s">
        <v>30</v>
      </c>
      <c r="AN21" s="311">
        <f>AN20/AN19</f>
        <v>0.20834539558590331</v>
      </c>
      <c r="AO21" s="311">
        <f>IFERROR(AO20/AO19,0)</f>
        <v>0.20000000000000007</v>
      </c>
      <c r="AP21" s="311">
        <f>AP20/AP19</f>
        <v>0.20834215372634676</v>
      </c>
      <c r="AR21" s="255"/>
      <c r="AS21" s="84"/>
      <c r="AT21" s="268"/>
      <c r="AU21" s="84"/>
      <c r="AV21" s="84"/>
      <c r="AW21" s="78"/>
      <c r="AX21" s="78"/>
      <c r="AY21" s="78"/>
      <c r="AZ21" s="78"/>
      <c r="BA21" s="78"/>
      <c r="BB21" s="78"/>
      <c r="BC21" s="78"/>
    </row>
    <row r="22" spans="1:55">
      <c r="A22" s="78"/>
      <c r="B22" s="242"/>
      <c r="D22" s="24"/>
      <c r="E22" s="285"/>
      <c r="F22" s="209"/>
      <c r="G22" s="222" t="s">
        <v>272</v>
      </c>
      <c r="H22" s="223">
        <f>H20/H17</f>
        <v>8.7567346712373375</v>
      </c>
      <c r="I22" s="223">
        <f>I20/I17</f>
        <v>-0.02</v>
      </c>
      <c r="J22" s="223">
        <f>J20/J17</f>
        <v>3.926695660668829</v>
      </c>
      <c r="K22" s="19"/>
      <c r="L22" s="255"/>
      <c r="M22" s="78"/>
      <c r="AA22" s="78"/>
      <c r="AB22" s="242"/>
      <c r="AF22" s="49" t="s">
        <v>272</v>
      </c>
      <c r="AG22" s="40">
        <f>AG20/AG17</f>
        <v>17.684580980585917</v>
      </c>
      <c r="AH22" s="40">
        <f>AH20/AH17</f>
        <v>0.01</v>
      </c>
      <c r="AI22" s="40">
        <f>AI20/AI17</f>
        <v>6.3995402748863093</v>
      </c>
      <c r="AJ22" s="255"/>
      <c r="AK22" s="78"/>
      <c r="AL22" s="242"/>
      <c r="AM22" s="49" t="s">
        <v>272</v>
      </c>
      <c r="AN22" s="312">
        <f>AN20/AN17</f>
        <v>32.806122613271711</v>
      </c>
      <c r="AO22" s="312">
        <f>AO20/AO17</f>
        <v>1.0000000000000004E-2</v>
      </c>
      <c r="AP22" s="312">
        <f>AP20/AP17</f>
        <v>14.757661818779182</v>
      </c>
      <c r="AR22" s="255"/>
      <c r="AS22" s="85"/>
      <c r="AT22" s="85"/>
      <c r="AU22" s="85"/>
      <c r="AV22" s="107"/>
      <c r="AW22" s="78"/>
      <c r="AX22" s="78"/>
      <c r="AY22" s="78"/>
      <c r="AZ22" s="78"/>
      <c r="BA22" s="78"/>
      <c r="BB22" s="78"/>
      <c r="BC22" s="78"/>
    </row>
    <row r="23" spans="1:55">
      <c r="A23" s="78"/>
      <c r="B23" s="242"/>
      <c r="D23" s="24"/>
      <c r="E23" s="285"/>
      <c r="F23" s="209"/>
      <c r="K23" s="19"/>
      <c r="L23" s="255"/>
      <c r="M23" s="78"/>
      <c r="AA23" s="78"/>
      <c r="AB23" s="242"/>
      <c r="AF23" s="31" t="s">
        <v>68</v>
      </c>
      <c r="AG23" s="52">
        <f>AG20-H20</f>
        <v>706974.1013254968</v>
      </c>
      <c r="AH23" s="52">
        <f>AH20-I20</f>
        <v>5007.32</v>
      </c>
      <c r="AI23" s="52">
        <f>AI20-J20</f>
        <v>711981.42132549686</v>
      </c>
      <c r="AJ23" s="255"/>
      <c r="AK23" s="78"/>
      <c r="AL23" s="242"/>
      <c r="AM23" s="31" t="s">
        <v>68</v>
      </c>
      <c r="AN23" s="52">
        <f>$AN$20-$H$20</f>
        <v>3113698.3062431328</v>
      </c>
      <c r="AO23" s="313">
        <f>$AO$20-$I$20</f>
        <v>4753.4700000000012</v>
      </c>
      <c r="AP23" s="52">
        <f>$AP$20-$J$20</f>
        <v>3118451.776243133</v>
      </c>
      <c r="AR23" s="255"/>
      <c r="AS23" s="85"/>
      <c r="AT23" s="85"/>
      <c r="AU23" s="85"/>
      <c r="AV23" s="107"/>
      <c r="AW23" s="78"/>
      <c r="AX23" s="78"/>
      <c r="AY23" s="78"/>
      <c r="AZ23" s="78"/>
      <c r="BA23" s="78"/>
      <c r="BB23" s="78"/>
      <c r="BC23" s="78"/>
    </row>
    <row r="24" spans="1:55">
      <c r="A24" s="78"/>
      <c r="B24" s="242"/>
      <c r="D24" s="24"/>
      <c r="E24" s="285"/>
      <c r="F24" s="209"/>
      <c r="K24" s="19"/>
      <c r="L24" s="255"/>
      <c r="M24" s="78"/>
      <c r="AA24" s="78"/>
      <c r="AB24" s="242"/>
      <c r="AJ24" s="255"/>
      <c r="AK24" s="78"/>
      <c r="AL24" s="296"/>
      <c r="AM24" s="297"/>
      <c r="AN24" s="297"/>
      <c r="AO24" s="297"/>
      <c r="AP24" s="28"/>
      <c r="AQ24" s="28"/>
      <c r="AR24" s="298"/>
      <c r="AS24" s="85"/>
      <c r="AT24" s="85"/>
      <c r="AU24" s="85"/>
      <c r="AV24" s="107"/>
      <c r="AW24" s="78"/>
      <c r="AX24" s="78"/>
      <c r="AY24" s="78"/>
      <c r="AZ24" s="78"/>
      <c r="BA24" s="78"/>
      <c r="BB24" s="78"/>
      <c r="BC24" s="78"/>
    </row>
    <row r="25" spans="1:55">
      <c r="A25" s="78"/>
      <c r="B25" s="242"/>
      <c r="D25" s="149"/>
      <c r="J25" s="11"/>
      <c r="K25" s="27"/>
      <c r="L25" s="255"/>
      <c r="M25" s="78"/>
      <c r="AA25" s="78"/>
      <c r="AB25" s="242"/>
      <c r="AJ25" s="255"/>
      <c r="AK25" s="78"/>
      <c r="AL25" s="296"/>
      <c r="AM25" s="297"/>
      <c r="AN25" s="297"/>
      <c r="AO25" s="297"/>
      <c r="AP25" s="28"/>
      <c r="AQ25" s="28"/>
      <c r="AR25" s="298"/>
      <c r="AS25" s="85"/>
      <c r="AT25" s="85"/>
      <c r="AU25" s="85"/>
      <c r="AV25" s="107"/>
      <c r="AW25" s="78"/>
      <c r="AX25" s="78"/>
      <c r="AY25" s="78"/>
      <c r="AZ25" s="78"/>
      <c r="BA25" s="78"/>
      <c r="BB25" s="78"/>
      <c r="BC25" s="78"/>
    </row>
    <row r="26" spans="1:55" ht="29.15" outlineLevel="1">
      <c r="A26" s="78"/>
      <c r="B26" s="242"/>
      <c r="C26" s="286" t="s">
        <v>71</v>
      </c>
      <c r="D26" s="287" t="s">
        <v>174</v>
      </c>
      <c r="E26" s="287" t="s">
        <v>175</v>
      </c>
      <c r="F26" s="287" t="s">
        <v>38</v>
      </c>
      <c r="G26" s="288" t="s">
        <v>170</v>
      </c>
      <c r="H26" s="287" t="s">
        <v>171</v>
      </c>
      <c r="I26" s="287" t="s">
        <v>172</v>
      </c>
      <c r="J26" s="287" t="s">
        <v>173</v>
      </c>
      <c r="K26" s="287" t="s">
        <v>66</v>
      </c>
      <c r="L26" s="255"/>
      <c r="M26" s="78"/>
      <c r="AA26" s="78"/>
      <c r="AB26" s="242"/>
      <c r="AC26" s="371" t="s">
        <v>183</v>
      </c>
      <c r="AD26" s="371"/>
      <c r="AE26" s="371"/>
      <c r="AF26" s="371"/>
      <c r="AG26" s="371"/>
      <c r="AH26" s="371"/>
      <c r="AJ26" s="255"/>
      <c r="AK26" s="78"/>
      <c r="AL26" s="300"/>
      <c r="AO26" s="301"/>
      <c r="AP26" s="10"/>
      <c r="AQ26" s="10"/>
      <c r="AR26" s="302"/>
      <c r="AS26" s="85"/>
      <c r="AT26" s="85"/>
      <c r="AU26" s="85"/>
      <c r="AV26" s="107"/>
      <c r="AW26" s="78"/>
      <c r="AX26" s="78"/>
      <c r="AY26" s="78"/>
      <c r="AZ26" s="78"/>
      <c r="BA26" s="78"/>
      <c r="BB26" s="78"/>
      <c r="BC26" s="78"/>
    </row>
    <row r="27" spans="1:55" outlineLevel="1">
      <c r="A27" s="78"/>
      <c r="B27" s="242"/>
      <c r="C27" t="s">
        <v>9</v>
      </c>
      <c r="D27" s="150">
        <f>Data!AL8</f>
        <v>6832</v>
      </c>
      <c r="E27" s="151">
        <f>Data!AM8</f>
        <v>41002189.829999998</v>
      </c>
      <c r="F27" s="151">
        <f>E27/D27</f>
        <v>6001.4914856557371</v>
      </c>
      <c r="G27" s="227">
        <f>E27/$E$36</f>
        <v>5.8687789389134402E-2</v>
      </c>
      <c r="H27" s="228">
        <f>E27/$E$40</f>
        <v>2.6603761032528393E-2</v>
      </c>
      <c r="I27" s="156">
        <f>Data!AN8</f>
        <v>1116503.63699</v>
      </c>
      <c r="J27" s="229">
        <f>I27/E27</f>
        <v>2.7230341638316346E-2</v>
      </c>
      <c r="K27" s="10">
        <f>Calculations!$E$31</f>
        <v>1225410.7225789654</v>
      </c>
      <c r="L27" s="255"/>
      <c r="M27" s="78"/>
      <c r="AA27" s="78"/>
      <c r="AB27" s="242"/>
      <c r="AD27" s="263" t="s">
        <v>239</v>
      </c>
      <c r="AE27" s="24"/>
      <c r="AF27" s="263" t="s">
        <v>303</v>
      </c>
      <c r="AG27" s="263" t="s">
        <v>180</v>
      </c>
      <c r="AH27" s="263" t="s">
        <v>123</v>
      </c>
      <c r="AJ27" s="255"/>
      <c r="AK27" s="78"/>
      <c r="AL27" s="242"/>
      <c r="AN27" s="38" t="s">
        <v>66</v>
      </c>
      <c r="AO27" s="38" t="s">
        <v>127</v>
      </c>
      <c r="AR27" s="255"/>
      <c r="AS27" s="85"/>
      <c r="AT27" s="85"/>
      <c r="AU27" s="85"/>
      <c r="AV27" s="107"/>
      <c r="AW27" s="78"/>
      <c r="AX27" s="78"/>
      <c r="AY27" s="78"/>
      <c r="AZ27" s="78"/>
      <c r="BA27" s="78"/>
      <c r="BB27" s="78"/>
      <c r="BC27" s="78"/>
    </row>
    <row r="28" spans="1:55" outlineLevel="1">
      <c r="A28" s="78"/>
      <c r="B28" s="242"/>
      <c r="C28" t="s">
        <v>10</v>
      </c>
      <c r="D28" s="150">
        <f>Data!AL9</f>
        <v>120093</v>
      </c>
      <c r="E28" s="151">
        <f>Data!AM9</f>
        <v>649462788.06000018</v>
      </c>
      <c r="F28" s="151">
        <f>E28/D28</f>
        <v>5407.9987015063343</v>
      </c>
      <c r="G28" s="227">
        <f>E28/$E$36</f>
        <v>0.9295975527106457</v>
      </c>
      <c r="H28" s="228">
        <f>E28/$E$40</f>
        <v>0.42139585433619947</v>
      </c>
      <c r="I28" s="156">
        <f>Data!AN9</f>
        <v>14291477.547121001</v>
      </c>
      <c r="J28" s="229">
        <f>I28/E28</f>
        <v>2.2005075286623956E-2</v>
      </c>
      <c r="K28" s="10">
        <f>Calculations!$E$32</f>
        <v>16016534.177982869</v>
      </c>
      <c r="L28" s="255"/>
      <c r="M28" s="78"/>
      <c r="AA28" s="78"/>
      <c r="AB28" s="242"/>
      <c r="AC28" s="293" t="s">
        <v>305</v>
      </c>
      <c r="AD28" s="280">
        <f>Calculations!Y28</f>
        <v>15423475.863492101</v>
      </c>
      <c r="AF28" s="280">
        <f>Calculations!Z28</f>
        <v>8635358.987932235</v>
      </c>
      <c r="AG28" s="280">
        <f>Calculations!AA28</f>
        <v>-6788116.8755598664</v>
      </c>
      <c r="AH28" s="149">
        <f>Calculations!AB28</f>
        <v>-0.44011589447405775</v>
      </c>
      <c r="AJ28" s="255"/>
      <c r="AK28" s="78"/>
      <c r="AL28" s="242"/>
      <c r="AM28" s="96" t="s">
        <v>52</v>
      </c>
      <c r="AN28" s="95">
        <f>SUM(Calculations!E67:E71)</f>
        <v>20386538.847755004</v>
      </c>
      <c r="AO28" s="95">
        <f>AN28-$I$36</f>
        <v>4247441.500862902</v>
      </c>
      <c r="AR28" s="255"/>
      <c r="AS28" s="85"/>
      <c r="AT28" s="85"/>
      <c r="AU28" s="85"/>
      <c r="AV28" s="107"/>
      <c r="AW28" s="78"/>
      <c r="AX28" s="78"/>
      <c r="AY28" s="78"/>
      <c r="AZ28" s="78"/>
      <c r="BA28" s="78"/>
      <c r="BB28" s="78"/>
      <c r="BC28" s="78"/>
    </row>
    <row r="29" spans="1:55" outlineLevel="1">
      <c r="A29" s="78"/>
      <c r="B29" s="242"/>
      <c r="C29" s="2" t="s">
        <v>22</v>
      </c>
      <c r="D29" s="150">
        <f>Data!AL10</f>
        <v>611</v>
      </c>
      <c r="E29" s="151">
        <f>Data!AM10</f>
        <v>1591575.21</v>
      </c>
      <c r="F29" s="151">
        <f>IFERROR(E29/D29,0)</f>
        <v>2604.869410801964</v>
      </c>
      <c r="G29" s="227">
        <f>E29/$E$36</f>
        <v>2.2780741982006323E-3</v>
      </c>
      <c r="H29" s="228">
        <f>E29/$E$40</f>
        <v>1.0326737846854215E-3</v>
      </c>
      <c r="I29" s="156">
        <f>Data!AN10</f>
        <v>3865.995181099287</v>
      </c>
      <c r="J29" s="229">
        <f>I29/E29</f>
        <v>2.4290370676854707E-3</v>
      </c>
      <c r="K29" s="10">
        <f>Calculations!$E$33</f>
        <v>8093.4234803049721</v>
      </c>
      <c r="L29" s="255"/>
      <c r="M29" s="78"/>
      <c r="AA29" s="78"/>
      <c r="AB29" s="242"/>
      <c r="AC29" s="293" t="s">
        <v>306</v>
      </c>
      <c r="AD29" s="280">
        <f>Calculations!Y29</f>
        <v>1130574.2146197692</v>
      </c>
      <c r="AF29" s="280">
        <f>Calculations!Z29</f>
        <v>1842555.6359452661</v>
      </c>
      <c r="AG29" s="280">
        <f>Calculations!AA29</f>
        <v>711981.42132549686</v>
      </c>
      <c r="AH29" s="149">
        <f>Calculations!AB29</f>
        <v>0.62975204291648201</v>
      </c>
      <c r="AJ29" s="255"/>
      <c r="AK29" s="78"/>
      <c r="AL29" s="242"/>
      <c r="AR29" s="255"/>
      <c r="AS29" s="85"/>
      <c r="AT29" s="85"/>
      <c r="AU29" s="85"/>
      <c r="AV29" s="107"/>
      <c r="AW29" s="78"/>
      <c r="AX29" s="78"/>
      <c r="AY29" s="78"/>
      <c r="AZ29" s="78"/>
      <c r="BA29" s="78"/>
      <c r="BB29" s="78"/>
      <c r="BC29" s="78"/>
    </row>
    <row r="30" spans="1:55" outlineLevel="1">
      <c r="A30" s="78"/>
      <c r="B30" s="242"/>
      <c r="C30" t="s">
        <v>11</v>
      </c>
      <c r="D30" s="150">
        <f>Data!AL11</f>
        <v>1804</v>
      </c>
      <c r="E30" s="151">
        <f>Data!AM11</f>
        <v>6459971.7400000002</v>
      </c>
      <c r="F30" s="151">
        <f>E30/D30</f>
        <v>3580.9155986696233</v>
      </c>
      <c r="G30" s="227">
        <f>E30/$E$36</f>
        <v>9.2463710477114318E-3</v>
      </c>
      <c r="H30" s="228">
        <f>E30/$E$40</f>
        <v>4.1914723374628761E-3</v>
      </c>
      <c r="I30" s="156">
        <f>Data!AN11</f>
        <v>3644.1549750000004</v>
      </c>
      <c r="J30" s="229">
        <f>I30/E30</f>
        <v>5.6411314502128153E-4</v>
      </c>
      <c r="K30" s="10">
        <f>Calculations!$E$34</f>
        <v>20802.670120347731</v>
      </c>
      <c r="L30" s="255"/>
      <c r="M30" s="78"/>
      <c r="AA30" s="78"/>
      <c r="AB30" s="242"/>
      <c r="AJ30" s="255"/>
      <c r="AK30" s="78"/>
      <c r="AL30" s="242"/>
      <c r="AM30" s="96" t="s">
        <v>31</v>
      </c>
      <c r="AN30" s="92">
        <f>Calculations!E72</f>
        <v>7922.4500000000007</v>
      </c>
      <c r="AO30" s="95">
        <f>AN30-$I$38</f>
        <v>1584.4900000000007</v>
      </c>
      <c r="AR30" s="255"/>
      <c r="AS30" s="85"/>
      <c r="AT30" s="85"/>
      <c r="AU30" s="85"/>
      <c r="AV30" s="107"/>
      <c r="AW30" s="78"/>
      <c r="AX30" s="78"/>
      <c r="AY30" s="78"/>
      <c r="AZ30" s="78"/>
      <c r="BA30" s="78"/>
      <c r="BB30" s="78"/>
      <c r="BC30" s="78"/>
    </row>
    <row r="31" spans="1:55" outlineLevel="1">
      <c r="A31" s="78"/>
      <c r="B31" s="242"/>
      <c r="C31" t="s">
        <v>12</v>
      </c>
      <c r="D31" s="150">
        <f>Data!AL12</f>
        <v>131</v>
      </c>
      <c r="E31" s="151">
        <f>Data!AM12</f>
        <v>132891.95999999996</v>
      </c>
      <c r="F31" s="151">
        <f>E31/D31</f>
        <v>1014.4424427480914</v>
      </c>
      <c r="G31" s="227">
        <f>E31/$E$36</f>
        <v>1.9021265430762169E-4</v>
      </c>
      <c r="H31" s="228">
        <f>E31/$E$40</f>
        <v>8.6225295810848671E-5</v>
      </c>
      <c r="I31" s="156">
        <f>Data!AN12</f>
        <v>1646.5692250000002</v>
      </c>
      <c r="J31" s="229">
        <f>I31/E31</f>
        <v>1.2390284747098324E-2</v>
      </c>
      <c r="K31" s="10">
        <f>Calculations!$E$35</f>
        <v>1999.5473493833963</v>
      </c>
      <c r="L31" s="255"/>
      <c r="M31" s="78"/>
      <c r="AA31" s="78"/>
      <c r="AB31" s="242"/>
      <c r="AJ31" s="255"/>
      <c r="AK31" s="78"/>
      <c r="AL31" s="242"/>
      <c r="AO31" s="6"/>
      <c r="AR31" s="255"/>
      <c r="AS31" s="78"/>
      <c r="AT31" s="78"/>
      <c r="AU31" s="78"/>
      <c r="AV31" s="78"/>
      <c r="AW31" s="78"/>
      <c r="AX31" s="78"/>
      <c r="AY31" s="78"/>
      <c r="AZ31" s="78"/>
      <c r="BA31" s="78"/>
      <c r="BB31" s="78"/>
      <c r="BC31" s="78"/>
    </row>
    <row r="32" spans="1:55" ht="15" outlineLevel="1" thickBot="1">
      <c r="A32" s="78"/>
      <c r="B32" s="242"/>
      <c r="C32" t="s">
        <v>13</v>
      </c>
      <c r="D32" s="150">
        <v>0</v>
      </c>
      <c r="E32" s="151">
        <v>0</v>
      </c>
      <c r="F32" s="151"/>
      <c r="G32" s="152"/>
      <c r="H32" s="152"/>
      <c r="I32" s="156">
        <f>Data!AN13</f>
        <v>713601.20239999995</v>
      </c>
      <c r="J32" s="229">
        <f>I32/(E36)</f>
        <v>1.021400984872331E-3</v>
      </c>
      <c r="K32" s="10"/>
      <c r="L32" s="255"/>
      <c r="M32" s="78"/>
      <c r="AA32" s="78"/>
      <c r="AB32" s="242"/>
      <c r="AF32" s="33"/>
      <c r="AJ32" s="255"/>
      <c r="AK32" s="78"/>
      <c r="AL32" s="242"/>
      <c r="AM32" s="101" t="s">
        <v>54</v>
      </c>
      <c r="AN32" s="98">
        <f>AN28+AN30</f>
        <v>20394461.297755003</v>
      </c>
      <c r="AO32" s="98">
        <f>AO28+AO30</f>
        <v>4249025.9908629023</v>
      </c>
      <c r="AR32" s="255"/>
      <c r="AS32" s="85"/>
      <c r="AT32" s="85"/>
      <c r="AU32" s="85"/>
      <c r="AV32" s="107"/>
      <c r="AW32" s="85"/>
      <c r="AX32" s="108"/>
      <c r="AY32" s="106"/>
      <c r="AZ32" s="78"/>
      <c r="BA32" s="78"/>
      <c r="BB32" s="78"/>
      <c r="BC32" s="78"/>
    </row>
    <row r="33" spans="1:55" ht="15" outlineLevel="1" thickTop="1">
      <c r="A33" s="78"/>
      <c r="B33" s="242"/>
      <c r="C33" t="s">
        <v>14</v>
      </c>
      <c r="D33" s="150">
        <v>0</v>
      </c>
      <c r="E33" s="151">
        <v>0</v>
      </c>
      <c r="F33" s="151"/>
      <c r="G33" s="152"/>
      <c r="H33" s="152"/>
      <c r="I33" s="156">
        <f>Data!AN14</f>
        <v>8358.241</v>
      </c>
      <c r="J33" s="229">
        <f>I33/E36</f>
        <v>1.1963426575639269E-5</v>
      </c>
      <c r="K33" s="10"/>
      <c r="L33" s="255"/>
      <c r="M33" s="78"/>
      <c r="AA33" s="78"/>
      <c r="AB33" s="242"/>
      <c r="AF33" s="33"/>
      <c r="AI33" s="14"/>
      <c r="AJ33" s="255"/>
      <c r="AK33" s="78"/>
      <c r="AL33" s="242"/>
      <c r="AM33" s="10"/>
      <c r="AN33" s="10"/>
      <c r="AO33" s="13"/>
      <c r="AR33" s="255"/>
      <c r="AS33" s="269"/>
      <c r="AT33" s="265"/>
      <c r="AU33" s="78"/>
      <c r="AV33" s="78"/>
      <c r="AW33" s="78"/>
      <c r="AX33" s="78"/>
      <c r="AY33" s="78"/>
      <c r="AZ33" s="78"/>
      <c r="BA33" s="78"/>
      <c r="BB33" s="78"/>
      <c r="BC33" s="78"/>
    </row>
    <row r="34" spans="1:55" outlineLevel="1">
      <c r="A34" s="78"/>
      <c r="B34" s="242"/>
      <c r="D34" s="150"/>
      <c r="E34" s="151"/>
      <c r="F34" s="151"/>
      <c r="G34" s="152"/>
      <c r="H34" s="152"/>
      <c r="I34" s="156"/>
      <c r="J34" s="229"/>
      <c r="K34" s="10"/>
      <c r="L34" s="255"/>
      <c r="M34" s="78"/>
      <c r="AA34" s="78"/>
      <c r="AB34" s="242"/>
      <c r="AF34" s="33"/>
      <c r="AJ34" s="255"/>
      <c r="AK34" s="78"/>
      <c r="AL34" s="303"/>
      <c r="AP34" s="10"/>
      <c r="AQ34" s="10"/>
      <c r="AR34" s="243"/>
      <c r="AS34" s="85"/>
      <c r="AT34" s="78"/>
      <c r="AU34" s="78"/>
      <c r="AV34" s="78"/>
      <c r="AW34" s="78"/>
      <c r="AX34" s="78"/>
      <c r="AY34" s="78"/>
      <c r="AZ34" s="78"/>
      <c r="BA34" s="78"/>
      <c r="BB34" s="78"/>
      <c r="BC34" s="78"/>
    </row>
    <row r="35" spans="1:55" outlineLevel="1">
      <c r="A35" s="78"/>
      <c r="B35" s="242"/>
      <c r="D35" s="230"/>
      <c r="E35" s="231"/>
      <c r="F35" s="231"/>
      <c r="G35" s="153"/>
      <c r="H35" s="153"/>
      <c r="I35" s="156"/>
      <c r="J35" s="232"/>
      <c r="L35" s="255"/>
      <c r="M35" s="78"/>
      <c r="AA35" s="78"/>
      <c r="AB35" s="242"/>
      <c r="AJ35" s="255"/>
      <c r="AK35" s="78"/>
      <c r="AL35" s="242"/>
      <c r="AM35" s="360" t="s">
        <v>83</v>
      </c>
      <c r="AN35" s="360"/>
      <c r="AR35" s="255"/>
      <c r="AS35" s="270"/>
      <c r="AT35" s="269"/>
      <c r="AU35" s="78"/>
      <c r="AV35" s="78"/>
      <c r="AW35" s="78"/>
      <c r="AX35" s="78"/>
      <c r="AY35" s="78"/>
      <c r="AZ35" s="78"/>
      <c r="BA35" s="78"/>
      <c r="BB35" s="78"/>
      <c r="BC35" s="78"/>
    </row>
    <row r="36" spans="1:55" outlineLevel="1">
      <c r="A36" s="78"/>
      <c r="B36" s="242"/>
      <c r="C36" s="67" t="s">
        <v>52</v>
      </c>
      <c r="D36" s="91">
        <f>SUM(D27:D33)</f>
        <v>129471</v>
      </c>
      <c r="E36" s="92">
        <f>SUM(E27:E33)</f>
        <v>698649416.80000031</v>
      </c>
      <c r="F36" s="92">
        <f>E36/D36</f>
        <v>5396.1846035019453</v>
      </c>
      <c r="G36" s="144">
        <f>SUM(G27:G31)</f>
        <v>0.99999999999999978</v>
      </c>
      <c r="H36" s="93"/>
      <c r="I36" s="94">
        <f>SUM(I27:I33)</f>
        <v>16139097.346892102</v>
      </c>
      <c r="J36" s="35">
        <f>I36/E36</f>
        <v>2.3100423415242297E-2</v>
      </c>
      <c r="K36" s="95">
        <f>SUM(K27:K33)</f>
        <v>17272840.541511871</v>
      </c>
      <c r="L36" s="255"/>
      <c r="M36" s="78"/>
      <c r="AA36" s="78"/>
      <c r="AB36" s="242"/>
      <c r="AJ36" s="255"/>
      <c r="AK36" s="78"/>
      <c r="AL36" s="303"/>
      <c r="AM36" t="s">
        <v>84</v>
      </c>
      <c r="AN36" s="10">
        <f>$F$36*1.1</f>
        <v>5935.8030638521404</v>
      </c>
      <c r="AO36" s="13"/>
      <c r="AP36" s="10"/>
      <c r="AQ36" s="10"/>
      <c r="AR36" s="243"/>
      <c r="AS36" s="85"/>
      <c r="AT36" s="85"/>
      <c r="AU36" s="78"/>
      <c r="AV36" s="78"/>
      <c r="AW36" s="78"/>
      <c r="AX36" s="78"/>
      <c r="AY36" s="78"/>
      <c r="AZ36" s="78"/>
      <c r="BA36" s="78"/>
      <c r="BB36" s="78"/>
      <c r="BC36" s="78"/>
    </row>
    <row r="37" spans="1:55" outlineLevel="1">
      <c r="A37" s="78"/>
      <c r="B37" s="242"/>
      <c r="D37" s="154"/>
      <c r="I37" s="33"/>
      <c r="L37" s="255"/>
      <c r="M37" s="78"/>
      <c r="AA37" s="78"/>
      <c r="AB37" s="242"/>
      <c r="AJ37" s="255"/>
      <c r="AK37" s="78"/>
      <c r="AL37" s="304"/>
      <c r="AM37" t="s">
        <v>85</v>
      </c>
      <c r="AN37" s="20">
        <f>ROUNDUP(($G$27*1.1),2)</f>
        <v>6.9999999999999993E-2</v>
      </c>
      <c r="AR37" s="255"/>
      <c r="AS37" s="85"/>
      <c r="AT37" s="85"/>
      <c r="AU37" s="78"/>
      <c r="AV37" s="78"/>
      <c r="AW37" s="78"/>
      <c r="AX37" s="78"/>
      <c r="AY37" s="78"/>
      <c r="AZ37" s="78"/>
      <c r="BA37" s="78"/>
      <c r="BB37" s="78"/>
      <c r="BC37" s="78"/>
    </row>
    <row r="38" spans="1:55" outlineLevel="1">
      <c r="A38" s="78"/>
      <c r="B38" s="242"/>
      <c r="C38" s="56" t="s">
        <v>53</v>
      </c>
      <c r="D38" s="235">
        <f>Data!$AL$17</f>
        <v>158449</v>
      </c>
      <c r="E38" s="233">
        <f>Data!$AM$17</f>
        <v>842568374.91999972</v>
      </c>
      <c r="F38" s="233">
        <f>IFERROR(E38/D38,0)</f>
        <v>5317.5998265687995</v>
      </c>
      <c r="G38" s="289"/>
      <c r="H38" s="209">
        <f>E38/E40</f>
        <v>0.5466900132133129</v>
      </c>
      <c r="I38" s="234">
        <f>$D$38*0.04</f>
        <v>6337.96</v>
      </c>
      <c r="J38" s="24"/>
      <c r="K38" s="285">
        <f>Calculations!D25</f>
        <v>3168.98</v>
      </c>
      <c r="L38" s="255"/>
      <c r="M38" s="78"/>
      <c r="AA38" s="78"/>
      <c r="AB38" s="242"/>
      <c r="AJ38" s="255"/>
      <c r="AK38" s="78"/>
      <c r="AL38" s="242"/>
      <c r="AM38" t="s">
        <v>86</v>
      </c>
      <c r="AN38" s="20">
        <f>IF(SUM(G27:G28)&gt;0.9,SUM($G$27:$G$28),(ROUNDUP((SUM($G$27:$G$28)*1.1),2)))</f>
        <v>0.98828534209978014</v>
      </c>
      <c r="AP38" s="10"/>
      <c r="AQ38" s="10"/>
      <c r="AR38" s="243"/>
      <c r="AS38" s="78"/>
      <c r="AT38" s="106"/>
      <c r="AU38" s="78"/>
      <c r="AV38" s="78"/>
      <c r="AW38" s="78"/>
      <c r="AX38" s="78"/>
      <c r="AY38" s="78"/>
      <c r="AZ38" s="78"/>
      <c r="BA38" s="78"/>
      <c r="BB38" s="78"/>
      <c r="BC38" s="78"/>
    </row>
    <row r="39" spans="1:55" outlineLevel="1">
      <c r="A39" s="78"/>
      <c r="B39" s="242"/>
      <c r="D39" s="154"/>
      <c r="E39" s="155"/>
      <c r="F39" s="155"/>
      <c r="I39" s="208"/>
      <c r="K39" s="155"/>
      <c r="L39" s="255"/>
      <c r="M39" s="78"/>
      <c r="AA39" s="78"/>
      <c r="AB39" s="242"/>
      <c r="AJ39" s="255"/>
      <c r="AK39" s="78"/>
      <c r="AL39" s="242"/>
      <c r="AM39" t="s">
        <v>87</v>
      </c>
      <c r="AN39" s="20">
        <f>IF(ROUND((SUM($G$29:$G$31)*0.9),2)&lt;SUM(G29:G31),SUM($G$29:$G$31),(ROUND((SUM($G$29:$G$31)*0.9),2)))</f>
        <v>1.1714657900219687E-2</v>
      </c>
      <c r="AP39" s="14"/>
      <c r="AQ39" s="14"/>
      <c r="AR39" s="294"/>
      <c r="AS39" s="78"/>
      <c r="AT39" s="106"/>
      <c r="AU39" s="78"/>
      <c r="AV39" s="78"/>
      <c r="AW39" s="78"/>
      <c r="AX39" s="78"/>
      <c r="AY39" s="78"/>
      <c r="AZ39" s="78"/>
      <c r="BA39" s="78"/>
      <c r="BB39" s="78"/>
      <c r="BC39" s="78"/>
    </row>
    <row r="40" spans="1:55" ht="15" outlineLevel="1" thickBot="1">
      <c r="A40" s="78"/>
      <c r="B40" s="242"/>
      <c r="C40" s="236" t="s">
        <v>54</v>
      </c>
      <c r="D40" s="97">
        <f>D36+D38</f>
        <v>287920</v>
      </c>
      <c r="E40" s="98">
        <f>E36+E38</f>
        <v>1541217791.72</v>
      </c>
      <c r="F40" s="98">
        <f>E40/D40</f>
        <v>5352.937592803557</v>
      </c>
      <c r="G40" s="99"/>
      <c r="H40" s="145">
        <f>H38+SUM(H27:H31)</f>
        <v>0.99999999999999989</v>
      </c>
      <c r="I40" s="100">
        <f>I36+I38</f>
        <v>16145435.306892103</v>
      </c>
      <c r="J40" s="101"/>
      <c r="K40" s="98">
        <f>$K$36+$K$38</f>
        <v>17276009.521511871</v>
      </c>
      <c r="L40" s="255"/>
      <c r="M40" s="78"/>
      <c r="AA40" s="78"/>
      <c r="AB40" s="242"/>
      <c r="AJ40" s="255"/>
      <c r="AK40" s="78"/>
      <c r="AL40" s="303"/>
      <c r="AM40" s="11" t="s">
        <v>224</v>
      </c>
      <c r="AN40" s="20">
        <f>ROUNDUP($G$30*0.9,2)</f>
        <v>0.01</v>
      </c>
      <c r="AR40" s="255"/>
      <c r="AS40" s="78"/>
      <c r="AT40" s="78"/>
      <c r="AU40" s="78"/>
      <c r="AV40" s="78"/>
      <c r="AW40" s="78"/>
      <c r="AX40" s="78"/>
      <c r="AY40" s="78"/>
      <c r="AZ40" s="78"/>
      <c r="BA40" s="78"/>
      <c r="BB40" s="78"/>
      <c r="BC40" s="78"/>
    </row>
    <row r="41" spans="1:55" ht="15" outlineLevel="1" thickTop="1">
      <c r="A41" s="78"/>
      <c r="B41" s="242"/>
      <c r="C41" s="2"/>
      <c r="D41" s="154"/>
      <c r="E41" s="10"/>
      <c r="F41" s="10"/>
      <c r="G41" s="13"/>
      <c r="H41" s="13"/>
      <c r="I41" s="156"/>
      <c r="K41" s="10"/>
      <c r="L41" s="255"/>
      <c r="M41" s="78"/>
      <c r="AA41" s="78"/>
      <c r="AB41" s="242"/>
      <c r="AJ41" s="255"/>
      <c r="AK41" s="78"/>
      <c r="AL41" s="303"/>
      <c r="AM41" s="11" t="s">
        <v>225</v>
      </c>
      <c r="AN41" s="20">
        <f>ROUNDUP($G$31*1.1,2)</f>
        <v>0.01</v>
      </c>
      <c r="AR41" s="255"/>
      <c r="AS41" s="78"/>
      <c r="AT41" s="106"/>
      <c r="AU41" s="78"/>
      <c r="AV41" s="78"/>
      <c r="AW41" s="78"/>
      <c r="AX41" s="78"/>
      <c r="AY41" s="78"/>
      <c r="AZ41" s="78"/>
      <c r="BA41" s="78"/>
      <c r="BB41" s="78"/>
      <c r="BC41" s="78"/>
    </row>
    <row r="42" spans="1:55" outlineLevel="1">
      <c r="A42" s="78"/>
      <c r="B42" s="242"/>
      <c r="D42" s="290"/>
      <c r="K42" s="19"/>
      <c r="L42" s="255"/>
      <c r="M42" s="78"/>
      <c r="AA42" s="78"/>
      <c r="AB42" s="242"/>
      <c r="AJ42" s="255"/>
      <c r="AK42" s="78"/>
      <c r="AL42" s="242"/>
      <c r="AR42" s="255"/>
      <c r="AS42" s="78"/>
      <c r="AT42" s="78"/>
      <c r="AU42" s="78"/>
      <c r="AV42" s="78"/>
      <c r="AW42" s="78"/>
      <c r="AX42" s="78"/>
      <c r="AY42" s="78"/>
      <c r="AZ42" s="78"/>
      <c r="BA42" s="78"/>
      <c r="BB42" s="78"/>
      <c r="BC42" s="78"/>
    </row>
    <row r="43" spans="1:55" outlineLevel="1">
      <c r="A43" s="78"/>
      <c r="B43" s="242"/>
      <c r="D43" s="290"/>
      <c r="I43" s="18"/>
      <c r="K43" s="19"/>
      <c r="L43" s="255"/>
      <c r="M43" s="78"/>
      <c r="AA43" s="78"/>
      <c r="AB43" s="242"/>
      <c r="AJ43" s="255"/>
      <c r="AK43" s="78"/>
      <c r="AL43" s="242"/>
      <c r="AR43" s="255"/>
      <c r="AS43" s="78"/>
      <c r="AT43" s="78"/>
      <c r="AU43" s="78"/>
      <c r="AV43" s="78"/>
      <c r="AW43" s="78"/>
      <c r="AX43" s="78"/>
      <c r="AY43" s="78"/>
      <c r="AZ43" s="78"/>
      <c r="BA43" s="78"/>
      <c r="BB43" s="78"/>
      <c r="BC43" s="78"/>
    </row>
    <row r="44" spans="1:55" outlineLevel="1">
      <c r="A44" s="78"/>
      <c r="B44" s="242"/>
      <c r="K44" s="19"/>
      <c r="L44" s="255"/>
      <c r="M44" s="78"/>
      <c r="AA44" s="78"/>
      <c r="AB44" s="242"/>
      <c r="AJ44" s="255"/>
      <c r="AK44" s="78"/>
      <c r="AL44" s="242"/>
      <c r="AP44" s="13"/>
      <c r="AR44" s="255"/>
      <c r="AS44" s="78"/>
      <c r="AT44" s="78"/>
      <c r="AU44" s="78"/>
      <c r="AV44" s="78"/>
      <c r="AW44" s="78"/>
      <c r="AX44" s="78"/>
      <c r="AY44" s="78"/>
      <c r="AZ44" s="78"/>
      <c r="BA44" s="78"/>
      <c r="BB44" s="78"/>
      <c r="BC44" s="78"/>
    </row>
    <row r="45" spans="1:55" ht="15" thickBot="1">
      <c r="A45" s="78"/>
      <c r="B45" s="257"/>
      <c r="C45" s="248"/>
      <c r="D45" s="248"/>
      <c r="E45" s="248"/>
      <c r="F45" s="248"/>
      <c r="G45" s="248"/>
      <c r="H45" s="248"/>
      <c r="I45" s="248"/>
      <c r="J45" s="248"/>
      <c r="K45" s="248"/>
      <c r="L45" s="258"/>
      <c r="M45" s="78"/>
      <c r="AA45" s="78"/>
      <c r="AB45" s="257"/>
      <c r="AC45" s="248"/>
      <c r="AD45" s="248"/>
      <c r="AE45" s="248"/>
      <c r="AF45" s="248"/>
      <c r="AG45" s="248"/>
      <c r="AH45" s="248"/>
      <c r="AI45" s="248"/>
      <c r="AJ45" s="258"/>
      <c r="AK45" s="78"/>
      <c r="AL45" s="257"/>
      <c r="AM45" s="248"/>
      <c r="AN45" s="248"/>
      <c r="AO45" s="248"/>
      <c r="AP45" s="248"/>
      <c r="AQ45" s="248"/>
      <c r="AR45" s="258"/>
      <c r="AS45" s="78"/>
      <c r="AT45" s="78"/>
      <c r="AU45" s="78"/>
      <c r="AV45" s="78"/>
      <c r="AW45" s="78"/>
      <c r="AX45" s="78"/>
      <c r="AY45" s="78"/>
      <c r="AZ45" s="78"/>
      <c r="BA45" s="78"/>
      <c r="BB45" s="78"/>
      <c r="BC45" s="78"/>
    </row>
    <row r="46" spans="1:55">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row>
    <row r="47" spans="1:55">
      <c r="A47" s="78"/>
      <c r="B47" s="78"/>
      <c r="C47" s="85"/>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305"/>
      <c r="AQ47" s="78"/>
      <c r="AR47" s="78"/>
      <c r="AS47" s="78"/>
      <c r="AT47" s="78"/>
      <c r="AU47" s="78"/>
      <c r="AV47" s="78"/>
      <c r="AW47" s="78"/>
      <c r="AX47" s="78"/>
      <c r="AY47" s="78"/>
      <c r="AZ47" s="78"/>
      <c r="BA47" s="78"/>
      <c r="BB47" s="78"/>
      <c r="BC47" s="78"/>
    </row>
    <row r="48" spans="1:55">
      <c r="A48" s="78"/>
      <c r="B48" s="78"/>
      <c r="C48" s="78"/>
      <c r="D48" s="78"/>
      <c r="E48" s="78"/>
      <c r="F48" s="78"/>
      <c r="G48" s="307"/>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305"/>
      <c r="AQ48" s="78"/>
      <c r="AR48" s="78"/>
      <c r="AS48" s="78"/>
      <c r="AT48" s="78"/>
      <c r="AU48" s="78"/>
      <c r="AV48" s="78"/>
      <c r="AW48" s="78"/>
      <c r="AX48" s="78"/>
      <c r="AY48" s="78"/>
      <c r="AZ48" s="78"/>
      <c r="BA48" s="78"/>
      <c r="BB48" s="78"/>
      <c r="BC48" s="78"/>
    </row>
    <row r="49" spans="1:55">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305"/>
      <c r="AQ49" s="78"/>
      <c r="AR49" s="78"/>
      <c r="AS49" s="78"/>
      <c r="AT49" s="78"/>
      <c r="AU49" s="78"/>
      <c r="AV49" s="78"/>
      <c r="AW49" s="78"/>
      <c r="AX49" s="78"/>
      <c r="AY49" s="78"/>
      <c r="AZ49" s="78"/>
      <c r="BA49" s="78"/>
      <c r="BB49" s="78"/>
      <c r="BC49" s="78"/>
    </row>
    <row r="50" spans="1:55">
      <c r="A50" s="78"/>
      <c r="B50" s="78"/>
      <c r="C50" s="337"/>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row>
    <row r="51" spans="1:55">
      <c r="A51" s="78"/>
      <c r="B51" s="78"/>
      <c r="C51" s="78"/>
      <c r="D51" s="79"/>
      <c r="E51" s="79"/>
      <c r="F51" s="79"/>
      <c r="G51" s="79"/>
      <c r="H51" s="79"/>
      <c r="I51" s="80"/>
      <c r="J51" s="81"/>
      <c r="K51" s="82"/>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row>
    <row r="52" spans="1:55">
      <c r="A52" s="78"/>
      <c r="B52" s="78"/>
      <c r="C52" s="78"/>
      <c r="D52" s="79"/>
      <c r="E52" s="78"/>
      <c r="F52" s="79"/>
      <c r="G52" s="78"/>
      <c r="H52" s="78"/>
      <c r="I52" s="80"/>
      <c r="J52" s="81"/>
      <c r="K52" s="82"/>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row>
    <row r="53" spans="1:55">
      <c r="A53" s="78"/>
      <c r="B53" s="78"/>
      <c r="C53" s="78"/>
      <c r="D53" s="79"/>
      <c r="E53" s="78"/>
      <c r="F53" s="79"/>
      <c r="G53" s="78"/>
      <c r="H53" s="78"/>
      <c r="I53" s="80"/>
      <c r="J53" s="81"/>
      <c r="K53" s="82"/>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row>
    <row r="54" spans="1:55">
      <c r="A54" s="78"/>
      <c r="B54" s="78"/>
      <c r="C54" s="78"/>
      <c r="D54" s="79"/>
      <c r="E54" s="78"/>
      <c r="F54" s="79"/>
      <c r="G54" s="78"/>
      <c r="H54" s="78"/>
      <c r="I54" s="80"/>
      <c r="J54" s="81"/>
      <c r="K54" s="82"/>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row>
    <row r="55" spans="1:55">
      <c r="A55" s="78"/>
      <c r="B55" s="78"/>
      <c r="C55" s="78"/>
      <c r="D55" s="79"/>
      <c r="E55" s="78"/>
      <c r="F55" s="79"/>
      <c r="G55" s="78"/>
      <c r="H55" s="78"/>
      <c r="I55" s="80"/>
      <c r="J55" s="78"/>
      <c r="K55" s="82"/>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row>
    <row r="56" spans="1:55">
      <c r="A56" s="78"/>
      <c r="B56" s="78"/>
      <c r="C56" s="78"/>
      <c r="D56" s="79"/>
      <c r="E56" s="78"/>
      <c r="F56" s="79"/>
      <c r="G56" s="78"/>
      <c r="H56" s="78"/>
      <c r="I56" s="80"/>
      <c r="J56" s="79"/>
      <c r="K56" s="82"/>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row>
    <row r="57" spans="1:55">
      <c r="A57" s="78"/>
      <c r="B57" s="78"/>
      <c r="C57" s="78"/>
      <c r="D57" s="79"/>
      <c r="E57" s="79"/>
      <c r="F57" s="79"/>
      <c r="G57" s="78"/>
      <c r="H57" s="78"/>
      <c r="I57" s="80"/>
      <c r="J57" s="79"/>
      <c r="K57" s="82"/>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row>
    <row r="58" spans="1:55">
      <c r="A58" s="78"/>
      <c r="B58" s="78"/>
      <c r="C58" s="78"/>
      <c r="D58" s="79"/>
      <c r="E58" s="79"/>
      <c r="F58" s="79"/>
      <c r="G58" s="79"/>
      <c r="H58" s="79"/>
      <c r="I58" s="80"/>
      <c r="J58" s="79"/>
      <c r="K58" s="82"/>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row>
    <row r="59" spans="1:55">
      <c r="A59" s="78"/>
      <c r="B59" s="78"/>
      <c r="C59" s="78"/>
      <c r="D59" s="79"/>
      <c r="E59" s="79"/>
      <c r="F59" s="79"/>
      <c r="G59" s="79"/>
      <c r="H59" s="79"/>
      <c r="I59" s="80"/>
      <c r="J59" s="79"/>
      <c r="K59" s="82"/>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row>
    <row r="60" spans="1:55">
      <c r="A60" s="78"/>
      <c r="B60" s="78"/>
      <c r="C60" s="78"/>
      <c r="D60" s="79"/>
      <c r="E60" s="79"/>
      <c r="F60" s="79"/>
      <c r="G60" s="79"/>
      <c r="H60" s="79"/>
      <c r="I60" s="80"/>
      <c r="J60" s="81"/>
      <c r="K60" s="82"/>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c r="AZ60" s="78"/>
      <c r="BA60" s="78"/>
      <c r="BB60" s="78"/>
      <c r="BC60" s="78"/>
    </row>
    <row r="61" spans="1:55">
      <c r="A61" s="78"/>
      <c r="B61" s="78"/>
      <c r="C61" s="78"/>
      <c r="D61" s="79"/>
      <c r="E61" s="79"/>
      <c r="F61" s="79"/>
      <c r="G61" s="79"/>
      <c r="H61" s="79"/>
      <c r="I61" s="80"/>
      <c r="J61" s="81"/>
      <c r="K61" s="82"/>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row>
    <row r="62" spans="1:55">
      <c r="A62" s="78"/>
      <c r="B62" s="78"/>
      <c r="C62" s="78"/>
      <c r="D62" s="79"/>
      <c r="E62" s="78"/>
      <c r="F62" s="78"/>
      <c r="G62" s="78"/>
      <c r="H62" s="78"/>
      <c r="I62" s="78"/>
      <c r="J62" s="78"/>
      <c r="K62" s="82"/>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row>
    <row r="63" spans="1:55">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row>
    <row r="64" spans="1:55">
      <c r="A64" s="78"/>
      <c r="B64" s="78"/>
      <c r="C64" s="78"/>
      <c r="D64" s="306"/>
      <c r="E64" s="78"/>
      <c r="F64" s="78"/>
      <c r="G64" s="78"/>
      <c r="H64" s="78"/>
      <c r="I64" s="78"/>
      <c r="J64" s="78"/>
      <c r="K64" s="82"/>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c r="AZ64" s="78"/>
      <c r="BA64" s="78"/>
      <c r="BB64" s="78"/>
      <c r="BC64" s="78"/>
    </row>
    <row r="65" spans="1:5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c r="AW65" s="78"/>
      <c r="AX65" s="78"/>
      <c r="AY65" s="78"/>
      <c r="AZ65" s="78"/>
      <c r="BA65" s="78"/>
      <c r="BB65" s="78"/>
      <c r="BC65" s="78"/>
    </row>
    <row r="66" spans="1:55">
      <c r="A66" s="78"/>
      <c r="B66" s="78"/>
      <c r="C66" s="78"/>
      <c r="D66" s="307"/>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c r="AN66" s="78"/>
      <c r="AO66" s="78"/>
      <c r="AP66" s="78"/>
      <c r="AQ66" s="78"/>
      <c r="AR66" s="78"/>
      <c r="AS66" s="78"/>
      <c r="AT66" s="78"/>
      <c r="AU66" s="78"/>
      <c r="AV66" s="78"/>
      <c r="AW66" s="78"/>
      <c r="AX66" s="78"/>
      <c r="AY66" s="78"/>
      <c r="AZ66" s="78"/>
      <c r="BA66" s="78"/>
      <c r="BB66" s="78"/>
      <c r="BC66" s="78"/>
    </row>
    <row r="67" spans="1:55">
      <c r="A67" s="78"/>
      <c r="B67" s="78"/>
      <c r="C67" s="78"/>
      <c r="D67" s="109"/>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row>
    <row r="68" spans="1:55">
      <c r="A68" s="78"/>
      <c r="B68" s="78"/>
      <c r="C68" s="78"/>
      <c r="D68" s="109"/>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c r="AV68" s="78"/>
      <c r="AW68" s="78"/>
      <c r="AX68" s="78"/>
      <c r="AY68" s="78"/>
      <c r="AZ68" s="78"/>
      <c r="BA68" s="78"/>
      <c r="BB68" s="78"/>
      <c r="BC68" s="78"/>
    </row>
    <row r="69" spans="1:55">
      <c r="A69" s="78"/>
      <c r="B69" s="78"/>
      <c r="C69" s="78"/>
      <c r="D69" s="109"/>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c r="AN69" s="78"/>
      <c r="AO69" s="78"/>
      <c r="AP69" s="78"/>
      <c r="AQ69" s="78"/>
      <c r="AR69" s="78"/>
      <c r="AS69" s="78"/>
      <c r="AT69" s="78"/>
      <c r="AU69" s="78"/>
      <c r="AV69" s="78"/>
      <c r="AW69" s="78"/>
      <c r="AX69" s="78"/>
      <c r="AY69" s="78"/>
      <c r="AZ69" s="78"/>
      <c r="BA69" s="78"/>
      <c r="BB69" s="78"/>
      <c r="BC69" s="78"/>
    </row>
    <row r="70" spans="1:55">
      <c r="A70" s="78"/>
      <c r="B70" s="78"/>
      <c r="C70" s="78"/>
      <c r="D70" s="109"/>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85"/>
      <c r="AO70" s="85"/>
      <c r="AP70" s="85"/>
      <c r="AQ70" s="85"/>
      <c r="AR70" s="78"/>
      <c r="AS70" s="78"/>
      <c r="AT70" s="78"/>
      <c r="AU70" s="78"/>
      <c r="AV70" s="78"/>
      <c r="AW70" s="78"/>
      <c r="AX70" s="78"/>
      <c r="AY70" s="78"/>
      <c r="AZ70" s="78"/>
      <c r="BA70" s="78"/>
      <c r="BB70" s="78"/>
      <c r="BC70" s="78"/>
    </row>
    <row r="71" spans="1:55">
      <c r="A71" s="78"/>
      <c r="B71" s="78"/>
      <c r="C71" s="78"/>
      <c r="D71" s="78"/>
      <c r="E71" s="78"/>
      <c r="F71" s="85"/>
      <c r="G71" s="85"/>
      <c r="H71" s="85"/>
      <c r="I71" s="85"/>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c r="AW71" s="78"/>
      <c r="AX71" s="78"/>
      <c r="AY71" s="78"/>
      <c r="AZ71" s="78"/>
      <c r="BA71" s="78"/>
      <c r="BB71" s="78"/>
      <c r="BC71" s="78"/>
    </row>
    <row r="72" spans="1:55">
      <c r="A72" s="78"/>
      <c r="B72" s="78"/>
      <c r="C72" s="78"/>
      <c r="D72" s="79"/>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c r="AN72" s="78"/>
      <c r="AO72" s="78"/>
      <c r="AP72" s="78"/>
      <c r="AQ72" s="78"/>
      <c r="AR72" s="78"/>
      <c r="AS72" s="78"/>
      <c r="AT72" s="78"/>
      <c r="AU72" s="78"/>
      <c r="AV72" s="78"/>
      <c r="AW72" s="78"/>
      <c r="AX72" s="78"/>
      <c r="AY72" s="78"/>
      <c r="AZ72" s="78"/>
      <c r="BA72" s="78"/>
      <c r="BB72" s="78"/>
      <c r="BC72" s="78"/>
    </row>
    <row r="73" spans="1:55">
      <c r="A73" s="78"/>
      <c r="B73" s="78"/>
      <c r="C73" s="78"/>
      <c r="D73" s="109"/>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c r="AN73" s="78"/>
      <c r="AO73" s="78"/>
      <c r="AP73" s="78"/>
      <c r="AQ73" s="78"/>
      <c r="AR73" s="78"/>
      <c r="AS73" s="78"/>
      <c r="AT73" s="78"/>
      <c r="AU73" s="78"/>
      <c r="AV73" s="78"/>
      <c r="AW73" s="78"/>
      <c r="AX73" s="78"/>
      <c r="AY73" s="78"/>
      <c r="AZ73" s="78"/>
      <c r="BA73" s="78"/>
      <c r="BB73" s="78"/>
      <c r="BC73" s="78"/>
    </row>
    <row r="74" spans="1:55">
      <c r="A74" s="78"/>
      <c r="B74" s="78"/>
      <c r="C74" s="78"/>
      <c r="D74" s="109"/>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row>
    <row r="75" spans="1:55">
      <c r="A75" s="78"/>
      <c r="B75" s="78"/>
      <c r="C75" s="78"/>
      <c r="D75" s="78"/>
      <c r="E75" s="78"/>
      <c r="F75" s="78"/>
      <c r="G75" s="78"/>
      <c r="H75" s="78"/>
      <c r="I75" s="78"/>
      <c r="J75" s="78"/>
      <c r="K75" s="85"/>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row>
    <row r="76" spans="1:55">
      <c r="A76" s="78"/>
      <c r="B76" s="78"/>
      <c r="C76" s="78"/>
      <c r="D76" s="109"/>
      <c r="E76" s="78"/>
      <c r="F76" s="78"/>
      <c r="G76" s="78"/>
      <c r="H76" s="78"/>
      <c r="I76" s="78"/>
      <c r="J76" s="78"/>
      <c r="K76" s="106"/>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c r="AN76" s="78"/>
      <c r="AO76" s="78"/>
      <c r="AP76" s="78"/>
      <c r="AQ76" s="78"/>
      <c r="AR76" s="78"/>
      <c r="AS76" s="78"/>
      <c r="AT76" s="78"/>
      <c r="AU76" s="78"/>
      <c r="AV76" s="78"/>
      <c r="AW76" s="78"/>
      <c r="AX76" s="78"/>
      <c r="AY76" s="78"/>
      <c r="AZ76" s="78"/>
      <c r="BA76" s="78"/>
      <c r="BB76" s="78"/>
      <c r="BC76" s="78"/>
    </row>
    <row r="77" spans="1:55">
      <c r="A77" s="78"/>
      <c r="B77" s="78"/>
      <c r="C77" s="78"/>
      <c r="D77" s="109"/>
      <c r="E77" s="78"/>
      <c r="F77" s="78"/>
      <c r="G77" s="78"/>
      <c r="H77" s="78"/>
      <c r="I77" s="78"/>
      <c r="J77" s="78"/>
      <c r="K77" s="106"/>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c r="AN77" s="78"/>
      <c r="AO77" s="78"/>
      <c r="AP77" s="78"/>
      <c r="AQ77" s="78"/>
      <c r="AR77" s="78"/>
      <c r="AS77" s="78"/>
      <c r="AT77" s="78"/>
      <c r="AU77" s="78"/>
      <c r="AV77" s="78"/>
      <c r="AW77" s="78"/>
      <c r="AX77" s="78"/>
      <c r="AY77" s="78"/>
      <c r="AZ77" s="78"/>
      <c r="BA77" s="78"/>
      <c r="BB77" s="78"/>
      <c r="BC77" s="78"/>
    </row>
    <row r="78" spans="1:55">
      <c r="A78" s="78"/>
      <c r="B78" s="78"/>
      <c r="C78" s="78"/>
      <c r="D78" s="80"/>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c r="AY78" s="78"/>
      <c r="AZ78" s="78"/>
      <c r="BA78" s="78"/>
      <c r="BB78" s="78"/>
      <c r="BC78" s="78"/>
    </row>
    <row r="79" spans="1:55">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row>
    <row r="80" spans="1:55">
      <c r="A80" s="78"/>
      <c r="B80" s="78"/>
      <c r="C80" s="78"/>
      <c r="D80" s="78"/>
      <c r="E80" s="78"/>
      <c r="F80" s="78"/>
      <c r="G80" s="78"/>
      <c r="H80" s="78"/>
      <c r="I80" s="78"/>
      <c r="J80" s="78"/>
      <c r="K80" s="106"/>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c r="AZ80" s="78"/>
      <c r="BA80" s="78"/>
      <c r="BB80" s="78"/>
      <c r="BC80" s="78"/>
    </row>
    <row r="81" spans="1:55">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c r="AZ81" s="78"/>
      <c r="BA81" s="78"/>
      <c r="BB81" s="78"/>
      <c r="BC81" s="78"/>
    </row>
    <row r="82" spans="1:55">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c r="AZ82" s="78"/>
      <c r="BA82" s="78"/>
      <c r="BB82" s="78"/>
      <c r="BC82" s="78"/>
    </row>
    <row r="83" spans="1:55">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c r="AZ83" s="78"/>
      <c r="BA83" s="78"/>
      <c r="BB83" s="78"/>
      <c r="BC83" s="78"/>
    </row>
    <row r="84" spans="1:55">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c r="BC84" s="78"/>
    </row>
    <row r="85" spans="1:5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c r="BC85" s="78"/>
    </row>
    <row r="86" spans="1:55">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c r="BC86" s="78"/>
    </row>
    <row r="87" spans="1:55">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row>
    <row r="88" spans="1:55">
      <c r="AL88" s="78"/>
      <c r="AM88" s="78"/>
      <c r="AN88" s="78"/>
      <c r="AO88" s="78"/>
      <c r="AP88" s="78"/>
      <c r="AQ88" s="78"/>
      <c r="AR88" s="78"/>
    </row>
  </sheetData>
  <mergeCells count="19">
    <mergeCell ref="N2:Z2"/>
    <mergeCell ref="AF15:AI15"/>
    <mergeCell ref="AB2:AJ2"/>
    <mergeCell ref="AL2:AR2"/>
    <mergeCell ref="B2:L2"/>
    <mergeCell ref="D7:E7"/>
    <mergeCell ref="D8:E8"/>
    <mergeCell ref="D9:E9"/>
    <mergeCell ref="D10:E10"/>
    <mergeCell ref="D11:E11"/>
    <mergeCell ref="D12:E12"/>
    <mergeCell ref="C4:F4"/>
    <mergeCell ref="AC26:AH26"/>
    <mergeCell ref="C15:D15"/>
    <mergeCell ref="AC15:AD15"/>
    <mergeCell ref="AM35:AN35"/>
    <mergeCell ref="D6:I6"/>
    <mergeCell ref="AM15:AP15"/>
    <mergeCell ref="G15:J15"/>
  </mergeCells>
  <conditionalFormatting sqref="J8:J11">
    <cfRule type="expression" dxfId="7" priority="7">
      <formula>$H8="Cost + %"</formula>
    </cfRule>
    <cfRule type="expression" dxfId="6" priority="8">
      <formula>$H8="% of Principal"</formula>
    </cfRule>
  </conditionalFormatting>
  <conditionalFormatting sqref="K8:K11">
    <cfRule type="expression" dxfId="5" priority="5">
      <formula>$H8="Cost + $"</formula>
    </cfRule>
    <cfRule type="expression" dxfId="4" priority="6">
      <formula>$H8="Flat Fee $"</formula>
    </cfRule>
  </conditionalFormatting>
  <conditionalFormatting sqref="AP8:AP11">
    <cfRule type="expression" dxfId="3" priority="3">
      <formula>$AN8="Cost + %"</formula>
    </cfRule>
    <cfRule type="expression" dxfId="2" priority="4">
      <formula>$AN8="% of Principal"</formula>
    </cfRule>
  </conditionalFormatting>
  <conditionalFormatting sqref="AQ8:AQ11">
    <cfRule type="expression" dxfId="1" priority="1">
      <formula>$AN8="Cost + $"</formula>
    </cfRule>
    <cfRule type="expression" dxfId="0" priority="2">
      <formula>$AN8="Flat Fee $"</formula>
    </cfRule>
  </conditionalFormatting>
  <dataValidations count="1">
    <dataValidation type="list" allowBlank="1" showInputMessage="1" showErrorMessage="1" sqref="AO8:AO12" xr:uid="{67FB65FC-F961-47B5-BB70-F8B0DEC68FB9}">
      <formula1>"Absorbed,CFEE"</formula1>
    </dataValidation>
  </dataValidations>
  <pageMargins left="0.7" right="0.7" top="0.75" bottom="0.75" header="0.3" footer="0.3"/>
  <pageSetup orientation="portrait" r:id="rId1"/>
  <ignoredErrors>
    <ignoredError sqref="J36 I21" 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r:uid="{080A77A5-8067-4DAD-AFED-FECFBA8AC736}">
          <x14:formula1>
            <xm:f>'Drop Downs'!$J$3:$J$5</xm:f>
          </x14:formula1>
          <xm:sqref>Q5:Q14</xm:sqref>
        </x14:dataValidation>
        <x14:dataValidation type="list" allowBlank="1" showInputMessage="1" showErrorMessage="1" xr:uid="{76B9AB88-6C83-4D05-83B1-981541C2249D}">
          <x14:formula1>
            <xm:f>'Drop Downs'!$L$3:$L$5</xm:f>
          </x14:formula1>
          <xm:sqref>R5:R14</xm:sqref>
        </x14:dataValidation>
        <x14:dataValidation type="list" allowBlank="1" showInputMessage="1" showErrorMessage="1" xr:uid="{B44875A2-5CD1-4EB3-A5A6-5E99DB1D1BE1}">
          <x14:formula1>
            <xm:f>'Drop Downs'!$F$3:$F$6</xm:f>
          </x14:formula1>
          <xm:sqref>H8:H11 AN8:AN11</xm:sqref>
        </x14:dataValidation>
        <x14:dataValidation type="list" allowBlank="1" showInputMessage="1" showErrorMessage="1" xr:uid="{10B1A184-8F5D-4072-8A1F-58903CDF4174}">
          <x14:formula1>
            <xm:f>'Drop Downs'!$H$3:$H$4</xm:f>
          </x14:formula1>
          <xm:sqref>I8:I12</xm:sqref>
        </x14:dataValidation>
        <x14:dataValidation type="list" allowBlank="1" showInputMessage="1" showErrorMessage="1" xr:uid="{D23D9457-9206-4EEC-ACDD-88BA4F0E0CCD}">
          <x14:formula1>
            <xm:f>'Drop Downs'!$B$3:$B$5</xm:f>
          </x14:formula1>
          <xm:sqref>D7:E7</xm:sqref>
        </x14:dataValidation>
        <x14:dataValidation type="list" allowBlank="1" showInputMessage="1" showErrorMessage="1" xr:uid="{94841B50-F0C8-4D05-AE13-805ACB493901}">
          <x14:formula1>
            <xm:f>'Drop Downs'!$D$3:$D$4</xm:f>
          </x14:formula1>
          <xm:sqref>D11:E11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D0F3B-3D33-4685-84EE-797F6C6ED169}">
  <dimension ref="C2:AB98"/>
  <sheetViews>
    <sheetView topLeftCell="A61" workbookViewId="0">
      <selection activeCell="G91" sqref="G91"/>
    </sheetView>
  </sheetViews>
  <sheetFormatPr defaultRowHeight="14.6" outlineLevelCol="1"/>
  <cols>
    <col min="1" max="2" width="4.23046875" customWidth="1"/>
    <col min="3" max="3" width="21.921875" style="173" customWidth="1" outlineLevel="1"/>
    <col min="4" max="4" width="19.23046875" customWidth="1" outlineLevel="1"/>
    <col min="5" max="5" width="16.765625" customWidth="1" outlineLevel="1"/>
    <col min="6" max="6" width="14.07421875" customWidth="1" outlineLevel="1"/>
    <col min="7" max="9" width="14.4609375" customWidth="1" outlineLevel="1"/>
    <col min="10" max="11" width="4.23046875" customWidth="1"/>
    <col min="12" max="12" width="21.921875" customWidth="1"/>
    <col min="13" max="13" width="17.61328125" customWidth="1"/>
    <col min="14" max="14" width="16.765625" customWidth="1"/>
    <col min="15" max="16" width="13.921875" customWidth="1"/>
    <col min="17" max="17" width="14.4609375" customWidth="1"/>
    <col min="18" max="18" width="13.3828125" customWidth="1"/>
    <col min="19" max="19" width="18.15234375" customWidth="1"/>
    <col min="20" max="20" width="17.4609375" customWidth="1"/>
    <col min="21" max="21" width="9.23046875" customWidth="1"/>
    <col min="22" max="22" width="14.921875" customWidth="1"/>
    <col min="23" max="23" width="13.61328125" bestFit="1" customWidth="1"/>
    <col min="24" max="24" width="16.61328125" bestFit="1" customWidth="1"/>
    <col min="25" max="25" width="9.765625" bestFit="1" customWidth="1"/>
    <col min="26" max="26" width="11.765625" customWidth="1"/>
    <col min="27" max="27" width="10.61328125" bestFit="1" customWidth="1"/>
  </cols>
  <sheetData>
    <row r="2" spans="3:23" ht="18.45">
      <c r="C2" s="393" t="s">
        <v>267</v>
      </c>
      <c r="D2" s="393"/>
      <c r="E2" s="393"/>
      <c r="F2" s="393"/>
      <c r="G2" s="393"/>
      <c r="H2" s="193"/>
      <c r="I2" s="193"/>
      <c r="L2" s="394" t="s">
        <v>268</v>
      </c>
      <c r="M2" s="394"/>
      <c r="N2" s="394"/>
      <c r="O2" s="394"/>
      <c r="P2" s="394"/>
      <c r="Q2" s="394"/>
      <c r="R2" s="394"/>
      <c r="S2" s="394"/>
      <c r="T2" s="394"/>
    </row>
    <row r="3" spans="3:23" ht="14.6" customHeight="1">
      <c r="C3" s="193"/>
      <c r="D3" s="193"/>
      <c r="E3" s="193"/>
      <c r="F3" s="193"/>
      <c r="G3" s="193"/>
      <c r="H3" s="193"/>
      <c r="I3" s="193"/>
    </row>
    <row r="4" spans="3:23" ht="14.6" customHeight="1">
      <c r="C4" s="193"/>
      <c r="D4" s="193"/>
      <c r="E4" s="193"/>
      <c r="F4" s="193"/>
      <c r="G4" s="193"/>
      <c r="H4" s="193"/>
      <c r="I4" s="193"/>
      <c r="L4" s="364" t="s">
        <v>265</v>
      </c>
      <c r="M4" s="364"/>
      <c r="N4" s="364"/>
      <c r="O4" s="364"/>
      <c r="P4" s="364"/>
      <c r="Q4" s="364"/>
      <c r="R4" s="364"/>
      <c r="S4" s="364"/>
      <c r="T4" s="364"/>
    </row>
    <row r="5" spans="3:23" ht="14.6" customHeight="1">
      <c r="C5" s="196" t="s">
        <v>280</v>
      </c>
      <c r="D5" s="193"/>
      <c r="E5" s="193"/>
      <c r="F5" s="193"/>
      <c r="G5" s="193"/>
      <c r="H5" s="193"/>
      <c r="I5" s="193"/>
      <c r="M5" s="173"/>
      <c r="R5" s="17" t="s">
        <v>69</v>
      </c>
      <c r="S5" s="17" t="s">
        <v>246</v>
      </c>
      <c r="T5" s="17" t="s">
        <v>247</v>
      </c>
    </row>
    <row r="6" spans="3:23" ht="14.6" customHeight="1">
      <c r="C6" s="22"/>
      <c r="D6" s="194" t="s">
        <v>174</v>
      </c>
      <c r="E6" s="22" t="s">
        <v>187</v>
      </c>
      <c r="F6" s="165" t="s">
        <v>269</v>
      </c>
      <c r="G6" s="22" t="s">
        <v>259</v>
      </c>
      <c r="H6" s="22" t="s">
        <v>44</v>
      </c>
      <c r="I6" s="22" t="s">
        <v>45</v>
      </c>
      <c r="M6" s="173" t="s">
        <v>174</v>
      </c>
      <c r="N6" t="s">
        <v>187</v>
      </c>
      <c r="O6" t="s">
        <v>38</v>
      </c>
      <c r="P6" t="s">
        <v>172</v>
      </c>
      <c r="Q6" t="s">
        <v>259</v>
      </c>
      <c r="R6" t="s">
        <v>245</v>
      </c>
      <c r="S6" t="s">
        <v>245</v>
      </c>
      <c r="T6" t="s">
        <v>245</v>
      </c>
      <c r="V6" t="s">
        <v>65</v>
      </c>
      <c r="W6" t="s">
        <v>67</v>
      </c>
    </row>
    <row r="7" spans="3:23" ht="14.6" customHeight="1">
      <c r="C7" s="22" t="s">
        <v>9</v>
      </c>
      <c r="D7" s="194">
        <f>Data!$AL$8</f>
        <v>6832</v>
      </c>
      <c r="E7" s="194">
        <f>Data!$AM$8</f>
        <v>41002189.829999998</v>
      </c>
      <c r="F7" s="204">
        <f>Data!$AN$8</f>
        <v>1116503.63699</v>
      </c>
      <c r="G7" s="205">
        <f>F7/E7</f>
        <v>2.7230341638316346E-2</v>
      </c>
      <c r="H7" s="195">
        <f>'Input-Metrics-Profitability'!J8</f>
        <v>1.95</v>
      </c>
      <c r="I7" s="44">
        <f>'Input-Metrics-Profitability'!K8</f>
        <v>1.6227641036510301E-3</v>
      </c>
      <c r="L7" t="s">
        <v>9</v>
      </c>
      <c r="M7" s="173">
        <f>Data!$AL$8</f>
        <v>6832</v>
      </c>
      <c r="N7" s="9">
        <f>Data!$AM$8</f>
        <v>41002189.829999998</v>
      </c>
      <c r="O7" s="9">
        <f>N7/M7</f>
        <v>6001.4914856557371</v>
      </c>
      <c r="P7" s="9">
        <f>Data!$AN$8</f>
        <v>1116503.63699</v>
      </c>
      <c r="Q7" s="5">
        <f>P7/N7</f>
        <v>2.7230341638316346E-2</v>
      </c>
      <c r="R7" s="26">
        <f>M7/$M$14</f>
        <v>5.2768573657421353E-2</v>
      </c>
      <c r="S7" s="26">
        <f>M7/$M$17</f>
        <v>2.3728813559322035E-2</v>
      </c>
      <c r="T7" s="17"/>
      <c r="V7" s="10">
        <f>E31</f>
        <v>1225410.7225789654</v>
      </c>
      <c r="W7" s="10">
        <f>V7-P7</f>
        <v>108907.08558896533</v>
      </c>
    </row>
    <row r="8" spans="3:23" ht="14.6" customHeight="1">
      <c r="C8" s="22" t="s">
        <v>10</v>
      </c>
      <c r="D8" s="194">
        <f>Data!$AL$9</f>
        <v>120093</v>
      </c>
      <c r="E8" s="194">
        <f>Data!$AM$9</f>
        <v>649462788.06000018</v>
      </c>
      <c r="F8" s="204">
        <f>Data!$AN$9</f>
        <v>14291477.547121001</v>
      </c>
      <c r="G8" s="205">
        <f t="shared" ref="G8:G12" si="0">F8/E8</f>
        <v>2.2005075286623956E-2</v>
      </c>
      <c r="H8" s="195">
        <f>'Input-Metrics-Profitability'!J9</f>
        <v>1.95</v>
      </c>
      <c r="I8" s="44">
        <f>'Input-Metrics-Profitability'!K9</f>
        <v>1.622764103651034E-3</v>
      </c>
      <c r="L8" t="s">
        <v>10</v>
      </c>
      <c r="M8" s="173">
        <f>Data!$AL$9</f>
        <v>120093</v>
      </c>
      <c r="N8" s="274">
        <f>Data!$AM$9</f>
        <v>649462788.06000018</v>
      </c>
      <c r="O8" s="9">
        <f t="shared" ref="O8:O17" si="1">N8/M8</f>
        <v>5407.9987015063343</v>
      </c>
      <c r="P8" s="9">
        <f>Data!$AN$9</f>
        <v>14291477.547121001</v>
      </c>
      <c r="Q8" s="5">
        <f>P8/N8</f>
        <v>2.2005075286623956E-2</v>
      </c>
      <c r="R8" s="26">
        <f>M8/$M$14</f>
        <v>0.92756679101883821</v>
      </c>
      <c r="S8" s="26">
        <f>M8/$M$17</f>
        <v>0.41710544595721033</v>
      </c>
      <c r="T8" s="17"/>
      <c r="V8" s="10">
        <f t="shared" ref="V8:V11" si="2">E32</f>
        <v>16016534.177982869</v>
      </c>
      <c r="W8" s="10">
        <f t="shared" ref="W8:W11" si="3">V8-P8</f>
        <v>1725056.6308618672</v>
      </c>
    </row>
    <row r="9" spans="3:23" ht="14.6" customHeight="1">
      <c r="C9" s="29" t="s">
        <v>22</v>
      </c>
      <c r="D9" s="194">
        <f>Data!$AL$10</f>
        <v>611</v>
      </c>
      <c r="E9" s="194">
        <f>Data!$AM$10</f>
        <v>1591575.21</v>
      </c>
      <c r="F9" s="204">
        <f>Data!$AN$10</f>
        <v>3865.995181099287</v>
      </c>
      <c r="G9" s="205">
        <f t="shared" si="0"/>
        <v>2.4290370676854707E-3</v>
      </c>
      <c r="H9" s="195">
        <f>'Input-Metrics-Profitability'!J10</f>
        <v>1.95</v>
      </c>
      <c r="I9" s="44">
        <f>'Input-Metrics-Profitability'!K10</f>
        <v>1.622764103651034E-3</v>
      </c>
      <c r="L9" s="2" t="s">
        <v>22</v>
      </c>
      <c r="M9" s="173">
        <f>Data!$AL$10</f>
        <v>611</v>
      </c>
      <c r="N9" s="274">
        <f>Data!$AM$10</f>
        <v>1591575.21</v>
      </c>
      <c r="O9" s="9">
        <f t="shared" si="1"/>
        <v>2604.869410801964</v>
      </c>
      <c r="P9" s="9">
        <f>Data!$AN$10</f>
        <v>3865.995181099287</v>
      </c>
      <c r="Q9" s="5">
        <f>P9/N9</f>
        <v>2.4290370676854707E-3</v>
      </c>
      <c r="R9" s="26">
        <f>M9/$M$14</f>
        <v>4.7192035282032268E-3</v>
      </c>
      <c r="S9" s="26">
        <f>M9/$M$17</f>
        <v>2.1221172547929981E-3</v>
      </c>
      <c r="T9" s="26">
        <f>M9/SUM($M$9:$M$11)</f>
        <v>0.23998428908091124</v>
      </c>
      <c r="V9" s="10">
        <f t="shared" si="2"/>
        <v>8093.4234803049721</v>
      </c>
      <c r="W9" s="10">
        <f t="shared" si="3"/>
        <v>4227.4282992056851</v>
      </c>
    </row>
    <row r="10" spans="3:23" ht="14.6" customHeight="1">
      <c r="C10" s="22" t="s">
        <v>11</v>
      </c>
      <c r="D10" s="194">
        <f>Data!$AL$11</f>
        <v>1804</v>
      </c>
      <c r="E10" s="194">
        <f>Data!$AM$11</f>
        <v>6459971.7400000002</v>
      </c>
      <c r="F10" s="204">
        <f>Data!$AN$11</f>
        <v>3644.1549750000004</v>
      </c>
      <c r="G10" s="205">
        <f t="shared" si="0"/>
        <v>5.6411314502128153E-4</v>
      </c>
      <c r="H10" s="195">
        <f>'Input-Metrics-Profitability'!J11</f>
        <v>1.95</v>
      </c>
      <c r="I10" s="44">
        <f>'Input-Metrics-Profitability'!K11</f>
        <v>1.622764103651034E-3</v>
      </c>
      <c r="L10" t="s">
        <v>11</v>
      </c>
      <c r="M10" s="173">
        <f>Data!$AL$11</f>
        <v>1804</v>
      </c>
      <c r="N10" s="274">
        <f>Data!$AM$11</f>
        <v>6459971.7400000002</v>
      </c>
      <c r="O10" s="9">
        <f t="shared" si="1"/>
        <v>3580.9155986696233</v>
      </c>
      <c r="P10" s="9">
        <f>Data!$AN$11</f>
        <v>3644.1549750000004</v>
      </c>
      <c r="Q10" s="5">
        <f>P10/N10</f>
        <v>5.6411314502128153E-4</v>
      </c>
      <c r="R10" s="26">
        <f>M10/$M$14</f>
        <v>1.3933622201110673E-2</v>
      </c>
      <c r="S10" s="26">
        <f>M10/$M$17</f>
        <v>6.2656293414837458E-3</v>
      </c>
      <c r="T10" s="26">
        <f>M10/SUM($M$9:$M$11)</f>
        <v>0.70856245090337788</v>
      </c>
      <c r="V10" s="10">
        <f t="shared" si="2"/>
        <v>20802.670120347731</v>
      </c>
      <c r="W10" s="10">
        <f t="shared" si="3"/>
        <v>17158.51514534773</v>
      </c>
    </row>
    <row r="11" spans="3:23" ht="14.6" customHeight="1">
      <c r="C11" s="22" t="s">
        <v>12</v>
      </c>
      <c r="D11" s="194">
        <f>Data!$AL$12</f>
        <v>131</v>
      </c>
      <c r="E11" s="194">
        <f>Data!$AM$12</f>
        <v>132891.95999999996</v>
      </c>
      <c r="F11" s="204">
        <f>Data!$AN$12</f>
        <v>1646.5692250000002</v>
      </c>
      <c r="G11" s="205">
        <f t="shared" si="0"/>
        <v>1.2390284747098324E-2</v>
      </c>
      <c r="H11" s="195">
        <f>'Input-Metrics-Profitability'!J11</f>
        <v>1.95</v>
      </c>
      <c r="I11" s="44">
        <f>'Input-Metrics-Profitability'!K11</f>
        <v>1.622764103651034E-3</v>
      </c>
      <c r="L11" t="s">
        <v>12</v>
      </c>
      <c r="M11" s="173">
        <f>Data!$AL$12</f>
        <v>131</v>
      </c>
      <c r="N11" s="274">
        <f>Data!$AM$12</f>
        <v>132891.95999999996</v>
      </c>
      <c r="O11" s="9">
        <f t="shared" si="1"/>
        <v>1014.4424427480914</v>
      </c>
      <c r="P11" s="9">
        <f>Data!$AN$12</f>
        <v>1646.5692250000002</v>
      </c>
      <c r="Q11" s="5">
        <f>P11/N11</f>
        <v>1.2390284747098324E-2</v>
      </c>
      <c r="R11" s="26">
        <f>M11/$M$14</f>
        <v>1.0118095944265512E-3</v>
      </c>
      <c r="S11" s="26">
        <f>M11/$M$17</f>
        <v>4.5498749652681301E-4</v>
      </c>
      <c r="T11" s="26">
        <f>M11/SUM($M$9:$M$11)</f>
        <v>5.1453260015710919E-2</v>
      </c>
      <c r="V11" s="10">
        <f t="shared" si="2"/>
        <v>1999.5473493833963</v>
      </c>
      <c r="W11" s="10">
        <f t="shared" si="3"/>
        <v>352.97812438339611</v>
      </c>
    </row>
    <row r="12" spans="3:23" ht="14.6" customHeight="1">
      <c r="C12" s="199" t="s">
        <v>31</v>
      </c>
      <c r="D12" s="200">
        <f>Data!$AL$17</f>
        <v>158449</v>
      </c>
      <c r="E12" s="200">
        <f>Data!$AM$17</f>
        <v>842568374.91999972</v>
      </c>
      <c r="F12" s="203">
        <f>D12*0.04</f>
        <v>6337.96</v>
      </c>
      <c r="G12" s="205">
        <f t="shared" si="0"/>
        <v>7.5221907071954571E-6</v>
      </c>
      <c r="H12" s="201">
        <f>'Input-Metrics-Profitability'!J12</f>
        <v>0.02</v>
      </c>
      <c r="I12" s="202" t="str">
        <f>'Input-Metrics-Profitability'!K12</f>
        <v>N/A</v>
      </c>
      <c r="L12" t="s">
        <v>13</v>
      </c>
      <c r="M12" s="173"/>
      <c r="N12" s="274"/>
      <c r="O12" s="9"/>
      <c r="P12" s="9">
        <f>Data!$AN$13</f>
        <v>713601.20239999995</v>
      </c>
      <c r="Q12" s="5">
        <f>P12/SUM(N7:N11)</f>
        <v>1.021400984872331E-3</v>
      </c>
      <c r="R12" s="17"/>
      <c r="S12" s="26"/>
      <c r="T12" s="17"/>
      <c r="V12" s="10"/>
      <c r="W12" s="10">
        <f>V12-P12</f>
        <v>-713601.20239999995</v>
      </c>
    </row>
    <row r="13" spans="3:23" ht="14.6" customHeight="1">
      <c r="C13" s="22" t="s">
        <v>13</v>
      </c>
      <c r="D13" s="194"/>
      <c r="E13" s="194"/>
      <c r="F13" s="204">
        <f>Data!$AN$13</f>
        <v>713601.20239999995</v>
      </c>
      <c r="G13" s="205">
        <f>F13/SUM(E7:E11)</f>
        <v>1.021400984872331E-3</v>
      </c>
      <c r="H13" s="195"/>
      <c r="I13" s="167"/>
      <c r="L13" t="s">
        <v>14</v>
      </c>
      <c r="M13" s="173"/>
      <c r="N13" s="274"/>
      <c r="O13" s="9"/>
      <c r="P13" s="9">
        <f>Data!$AN$14</f>
        <v>8358.241</v>
      </c>
      <c r="Q13" s="5">
        <f>P13/N14</f>
        <v>1.1963426575639269E-5</v>
      </c>
      <c r="R13" s="17"/>
      <c r="S13" s="26"/>
      <c r="T13" s="17"/>
      <c r="W13" s="10">
        <f>V13-P13</f>
        <v>-8358.241</v>
      </c>
    </row>
    <row r="14" spans="3:23" ht="14.6" customHeight="1">
      <c r="C14" s="22" t="s">
        <v>14</v>
      </c>
      <c r="D14" s="194"/>
      <c r="E14" s="194"/>
      <c r="F14" s="204">
        <f>Data!$AN$14</f>
        <v>8358.241</v>
      </c>
      <c r="G14" s="205">
        <f>F14/SUM(E7:E11)</f>
        <v>1.1963426575639269E-5</v>
      </c>
      <c r="H14" s="195"/>
      <c r="I14" s="167"/>
      <c r="L14" s="183" t="s">
        <v>243</v>
      </c>
      <c r="M14" s="184">
        <f>SUM(M7:M11)</f>
        <v>129471</v>
      </c>
      <c r="N14" s="275">
        <f>SUM(N7:N11)</f>
        <v>698649416.80000031</v>
      </c>
      <c r="O14" s="120">
        <f>N14/M14</f>
        <v>5396.1846035019453</v>
      </c>
      <c r="P14" s="120">
        <f>SUM(P7:P11)</f>
        <v>15417137.903492101</v>
      </c>
      <c r="Q14" s="191">
        <f>P14/N14</f>
        <v>2.2067059003794326E-2</v>
      </c>
      <c r="R14" s="185">
        <f>M14/$M$14</f>
        <v>1</v>
      </c>
      <c r="S14" s="185"/>
      <c r="T14" s="186"/>
      <c r="V14" s="275">
        <f>SUM(V7:V11)</f>
        <v>17272840.541511871</v>
      </c>
      <c r="W14" s="275">
        <f>SUM(W7:W13)</f>
        <v>1133743.1946197692</v>
      </c>
    </row>
    <row r="15" spans="3:23" ht="14.6" customHeight="1">
      <c r="C15" s="193"/>
      <c r="D15" s="193"/>
      <c r="E15" s="193"/>
      <c r="F15" s="193"/>
      <c r="G15" s="193"/>
      <c r="H15" s="193"/>
      <c r="I15" s="193"/>
      <c r="L15" s="183"/>
      <c r="M15" s="184"/>
      <c r="N15" s="275"/>
      <c r="O15" s="120"/>
      <c r="P15" s="120"/>
      <c r="Q15" s="191"/>
      <c r="R15" s="185"/>
      <c r="S15" s="185"/>
      <c r="T15" s="186"/>
    </row>
    <row r="16" spans="3:23" ht="14.6" customHeight="1">
      <c r="L16" s="115" t="s">
        <v>31</v>
      </c>
      <c r="M16" s="184">
        <f>Data!$AL$17</f>
        <v>158449</v>
      </c>
      <c r="N16" s="275">
        <f>Data!$AM$17</f>
        <v>842568374.91999972</v>
      </c>
      <c r="O16" s="120">
        <f t="shared" si="1"/>
        <v>5317.5998265687995</v>
      </c>
      <c r="P16" s="120">
        <f>0.04*M16</f>
        <v>6337.96</v>
      </c>
      <c r="Q16" s="184"/>
      <c r="R16" s="186"/>
      <c r="S16" s="185">
        <f>M16/$M$17</f>
        <v>0.55032300639066412</v>
      </c>
      <c r="T16" s="186"/>
      <c r="V16" s="279">
        <f>E36</f>
        <v>3168.98</v>
      </c>
      <c r="W16" s="135">
        <f>V16-P16</f>
        <v>-3168.98</v>
      </c>
    </row>
    <row r="17" spans="3:28" ht="14.6" customHeight="1" thickBot="1">
      <c r="C17" s="395" t="s">
        <v>241</v>
      </c>
      <c r="D17" s="396"/>
      <c r="E17" s="396"/>
      <c r="F17" s="396"/>
      <c r="G17" s="397"/>
      <c r="H17" s="198"/>
      <c r="I17" s="198"/>
      <c r="L17" s="187" t="s">
        <v>244</v>
      </c>
      <c r="M17" s="188">
        <f>M16+M14</f>
        <v>287920</v>
      </c>
      <c r="N17" s="276">
        <f>N16+N14</f>
        <v>1541217791.72</v>
      </c>
      <c r="O17" s="192">
        <f t="shared" si="1"/>
        <v>5352.937592803557</v>
      </c>
      <c r="P17" s="276">
        <f>P16+P14</f>
        <v>15423475.863492101</v>
      </c>
      <c r="Q17" s="188"/>
      <c r="R17" s="189"/>
      <c r="S17" s="189"/>
      <c r="T17" s="189"/>
      <c r="V17" s="276">
        <f>V16+V14</f>
        <v>17276009.521511871</v>
      </c>
      <c r="W17" s="276">
        <f t="shared" ref="W17" si="4">W16+W14</f>
        <v>1130574.2146197692</v>
      </c>
    </row>
    <row r="18" spans="3:28" ht="15" thickTop="1">
      <c r="C18" s="174"/>
      <c r="G18" s="34"/>
      <c r="M18" s="173"/>
    </row>
    <row r="19" spans="3:28">
      <c r="C19" s="39"/>
      <c r="D19" s="175" t="s">
        <v>56</v>
      </c>
      <c r="E19" s="17" t="s">
        <v>58</v>
      </c>
      <c r="F19" s="17" t="s">
        <v>57</v>
      </c>
      <c r="G19" s="176" t="s">
        <v>59</v>
      </c>
      <c r="H19" s="17"/>
      <c r="I19" s="17"/>
      <c r="M19" s="173"/>
    </row>
    <row r="20" spans="3:28">
      <c r="C20" s="39" t="s">
        <v>47</v>
      </c>
      <c r="D20" s="10">
        <f t="shared" ref="D20:E24" si="5">D7*H7</f>
        <v>13322.4</v>
      </c>
      <c r="E20" s="10">
        <f t="shared" si="5"/>
        <v>66536.881827209334</v>
      </c>
      <c r="F20" s="10">
        <f>(H7*D7)+(F7)+(($G$13+$G$14)*(E7))</f>
        <v>1172196.2407517559</v>
      </c>
      <c r="G20" s="53">
        <f>(I7*E7)+(F7)+(($G$13+$G$14)*E7)</f>
        <v>1225410.7225789654</v>
      </c>
      <c r="H20" s="10"/>
      <c r="I20" s="10"/>
      <c r="L20" s="364" t="s">
        <v>264</v>
      </c>
      <c r="M20" s="364"/>
      <c r="P20" s="398" t="s">
        <v>169</v>
      </c>
      <c r="Q20" s="398"/>
      <c r="R20" s="398" t="s">
        <v>258</v>
      </c>
      <c r="S20" s="398"/>
      <c r="T20" s="398"/>
    </row>
    <row r="21" spans="3:28">
      <c r="C21" s="39" t="s">
        <v>48</v>
      </c>
      <c r="D21" s="10">
        <f t="shared" si="5"/>
        <v>234181.35</v>
      </c>
      <c r="E21" s="10">
        <f t="shared" si="5"/>
        <v>1053924.8991208877</v>
      </c>
      <c r="F21" s="10">
        <f>(H8*D8)+(F8)+(($G$13+$G$14)*(E8))</f>
        <v>15196790.628861981</v>
      </c>
      <c r="G21" s="53">
        <f t="shared" ref="G21:G24" si="6">(I8*E8)+(F8)+(($G$13+$G$14)*E8)</f>
        <v>16016534.177982869</v>
      </c>
      <c r="H21" s="10"/>
      <c r="I21" s="10"/>
      <c r="L21" t="s">
        <v>238</v>
      </c>
      <c r="M21" s="173" t="s">
        <v>248</v>
      </c>
      <c r="N21" t="s">
        <v>249</v>
      </c>
      <c r="P21" t="s">
        <v>250</v>
      </c>
      <c r="Q21" t="s">
        <v>251</v>
      </c>
      <c r="R21" t="s">
        <v>255</v>
      </c>
      <c r="S21" t="s">
        <v>256</v>
      </c>
      <c r="T21" t="s">
        <v>257</v>
      </c>
    </row>
    <row r="22" spans="3:28">
      <c r="C22" s="39" t="s">
        <v>62</v>
      </c>
      <c r="D22" s="10">
        <f t="shared" si="5"/>
        <v>1191.45</v>
      </c>
      <c r="E22" s="10">
        <f t="shared" si="5"/>
        <v>2582.7511190488563</v>
      </c>
      <c r="F22" s="10">
        <f t="shared" ref="F22:F24" si="7">(H9*D9)+(F9)+(($G$13+$G$14)*(E9))</f>
        <v>6702.1223612561162</v>
      </c>
      <c r="G22" s="53">
        <f t="shared" si="6"/>
        <v>8093.4234803049721</v>
      </c>
      <c r="H22" s="10"/>
      <c r="I22" s="10"/>
      <c r="L22" t="s">
        <v>236</v>
      </c>
      <c r="M22" s="26">
        <f>'Input-Metrics-Profitability'!$AF$9</f>
        <v>0.3</v>
      </c>
      <c r="N22" s="26">
        <f>'Input-Metrics-Profitability'!$AG$9</f>
        <v>0.2</v>
      </c>
      <c r="P22" s="8">
        <f>M7*M22</f>
        <v>2049.6</v>
      </c>
      <c r="Q22" s="8">
        <f>$M$7*$N$22</f>
        <v>1366.4</v>
      </c>
      <c r="R22" s="3">
        <f>$P$22*$T$9</f>
        <v>491.87179890023566</v>
      </c>
      <c r="S22" s="3">
        <f>$P$22*$T$10</f>
        <v>1452.2695993715633</v>
      </c>
      <c r="T22" s="3">
        <f>$P$22*$T$11</f>
        <v>105.45860172820109</v>
      </c>
    </row>
    <row r="23" spans="3:28">
      <c r="C23" s="39" t="s">
        <v>63</v>
      </c>
      <c r="D23" s="10">
        <f t="shared" si="5"/>
        <v>3517.7999999999997</v>
      </c>
      <c r="E23" s="10">
        <f t="shared" si="5"/>
        <v>10483.010250272111</v>
      </c>
      <c r="F23" s="10">
        <f t="shared" si="7"/>
        <v>13837.459870075621</v>
      </c>
      <c r="G23" s="53">
        <f t="shared" si="6"/>
        <v>20802.670120347731</v>
      </c>
      <c r="H23" s="10"/>
      <c r="I23" s="10"/>
      <c r="L23" t="s">
        <v>237</v>
      </c>
      <c r="M23" s="26">
        <f>'Input-Metrics-Profitability'!$AF$10</f>
        <v>0.3</v>
      </c>
      <c r="N23" s="26">
        <f>'Input-Metrics-Profitability'!$AG$10</f>
        <v>0.2</v>
      </c>
      <c r="P23" s="8">
        <f>M8*M23</f>
        <v>36027.9</v>
      </c>
      <c r="Q23" s="8">
        <f>$M$8*$N$23</f>
        <v>24018.600000000002</v>
      </c>
      <c r="R23" s="3">
        <f>$P$23*$T$9</f>
        <v>8646.1299685781632</v>
      </c>
      <c r="S23" s="3">
        <f>$P$23*$T$10</f>
        <v>25528.017124901809</v>
      </c>
      <c r="T23" s="3">
        <f>$P$23*T11</f>
        <v>1853.7529065200315</v>
      </c>
    </row>
    <row r="24" spans="3:28">
      <c r="C24" s="39" t="s">
        <v>64</v>
      </c>
      <c r="D24" s="10">
        <f t="shared" si="5"/>
        <v>255.45</v>
      </c>
      <c r="E24" s="10">
        <f t="shared" si="5"/>
        <v>215.65230235182901</v>
      </c>
      <c r="F24" s="10">
        <f t="shared" si="7"/>
        <v>2039.3450470315674</v>
      </c>
      <c r="G24" s="53">
        <f t="shared" si="6"/>
        <v>1999.5473493833963</v>
      </c>
      <c r="H24" s="10"/>
      <c r="I24" s="10"/>
      <c r="M24" s="26"/>
      <c r="N24" s="26"/>
      <c r="P24" s="8"/>
      <c r="Q24" s="8"/>
    </row>
    <row r="25" spans="3:28">
      <c r="C25" s="147" t="s">
        <v>31</v>
      </c>
      <c r="D25" s="10">
        <f>D12*H12</f>
        <v>3168.98</v>
      </c>
      <c r="E25" s="25"/>
      <c r="F25" s="177"/>
      <c r="G25" s="178"/>
      <c r="M25" s="26"/>
      <c r="N25" s="26"/>
      <c r="P25" s="8"/>
      <c r="Q25" s="8"/>
    </row>
    <row r="26" spans="3:28">
      <c r="C26" s="174"/>
      <c r="G26" s="34"/>
      <c r="L26" s="24" t="s">
        <v>266</v>
      </c>
      <c r="M26" s="26"/>
      <c r="N26" s="26"/>
      <c r="P26" s="8"/>
      <c r="Q26" s="8"/>
    </row>
    <row r="27" spans="3:28">
      <c r="C27" s="174"/>
      <c r="D27" s="135">
        <f>SUM(D20:D25)</f>
        <v>255637.43000000002</v>
      </c>
      <c r="E27" s="135">
        <f>SUM(E20:E25)</f>
        <v>1133743.1946197697</v>
      </c>
      <c r="F27" s="135">
        <f>SUM(F20:F25)</f>
        <v>16391565.796892101</v>
      </c>
      <c r="G27" s="179">
        <f>SUM(G20:G25)</f>
        <v>17272840.541511871</v>
      </c>
      <c r="H27" s="10"/>
      <c r="I27" s="10"/>
      <c r="L27" s="24"/>
      <c r="M27" s="173" t="s">
        <v>253</v>
      </c>
      <c r="N27" t="s">
        <v>254</v>
      </c>
      <c r="O27" t="s">
        <v>252</v>
      </c>
      <c r="P27" s="7" t="s">
        <v>260</v>
      </c>
      <c r="Q27" s="7" t="s">
        <v>261</v>
      </c>
      <c r="R27" s="7" t="s">
        <v>262</v>
      </c>
      <c r="S27" s="7" t="s">
        <v>263</v>
      </c>
      <c r="U27" s="392" t="s">
        <v>277</v>
      </c>
      <c r="V27" s="392"/>
      <c r="Y27" t="s">
        <v>239</v>
      </c>
      <c r="Z27" t="s">
        <v>303</v>
      </c>
      <c r="AA27" t="s">
        <v>180</v>
      </c>
      <c r="AB27" t="s">
        <v>123</v>
      </c>
    </row>
    <row r="28" spans="3:28">
      <c r="C28" s="174"/>
      <c r="G28" s="34"/>
      <c r="L28" t="s">
        <v>9</v>
      </c>
      <c r="M28" s="173">
        <f>M7-P22-Q22</f>
        <v>3415.9999999999995</v>
      </c>
      <c r="N28" s="277">
        <f>O7*M28</f>
        <v>20501094.914999995</v>
      </c>
      <c r="O28" s="3">
        <f t="shared" ref="O28:O33" si="8">N28/M28</f>
        <v>6001.4914856557371</v>
      </c>
      <c r="P28" s="3">
        <f>Q7*N28</f>
        <v>558251.8184949999</v>
      </c>
      <c r="Q28" s="3">
        <f>$Q$12*N28</f>
        <v>20939.838537142132</v>
      </c>
      <c r="R28" s="3">
        <f>$Q$13*N28</f>
        <v>245.263343735814</v>
      </c>
      <c r="S28" s="3">
        <f>SUM(P28:R28)</f>
        <v>579436.92037587787</v>
      </c>
      <c r="U28" s="22" t="s">
        <v>40</v>
      </c>
      <c r="V28" s="171">
        <f>N35/N36</f>
        <v>0.63628993628705854</v>
      </c>
      <c r="X28" s="158" t="s">
        <v>302</v>
      </c>
      <c r="Y28" s="272">
        <f>P17</f>
        <v>15423475.863492101</v>
      </c>
      <c r="Z28" s="3">
        <f>O73</f>
        <v>8635358.987932235</v>
      </c>
      <c r="AA28" s="273">
        <f>Z28-Y28</f>
        <v>-6788116.8755598664</v>
      </c>
      <c r="AB28" s="4">
        <f>AA28/Y28</f>
        <v>-0.44011589447405775</v>
      </c>
    </row>
    <row r="29" spans="3:28">
      <c r="C29" s="174"/>
      <c r="D29" s="10"/>
      <c r="E29" s="10"/>
      <c r="F29" s="10"/>
      <c r="G29" s="53"/>
      <c r="H29" s="10"/>
      <c r="I29" s="10"/>
      <c r="L29" t="s">
        <v>10</v>
      </c>
      <c r="M29" s="173">
        <f>M8-P23-Q23</f>
        <v>60046.5</v>
      </c>
      <c r="N29" s="277">
        <f>O8*M29</f>
        <v>324731394.03000009</v>
      </c>
      <c r="O29" s="3">
        <f t="shared" si="8"/>
        <v>5407.9987015063343</v>
      </c>
      <c r="P29" s="3">
        <f>Q8*N29</f>
        <v>7145738.7735605007</v>
      </c>
      <c r="Q29" s="3">
        <f>$Q$12*N29</f>
        <v>331680.96568120708</v>
      </c>
      <c r="R29" s="3">
        <f>$Q$13*N29</f>
        <v>3884.9001892828901</v>
      </c>
      <c r="S29" s="3">
        <f>SUM(P29:R29)</f>
        <v>7481304.6394309914</v>
      </c>
      <c r="U29" s="22" t="s">
        <v>39</v>
      </c>
      <c r="V29" s="171">
        <f>N33/N36</f>
        <v>0.36371006371294157</v>
      </c>
      <c r="X29" s="158" t="s">
        <v>304</v>
      </c>
      <c r="Y29" s="173">
        <f>W17</f>
        <v>1130574.2146197692</v>
      </c>
      <c r="Z29" s="3">
        <f>P73</f>
        <v>1842555.6359452661</v>
      </c>
      <c r="AA29" s="273">
        <f>Z29-Y29</f>
        <v>711981.42132549686</v>
      </c>
      <c r="AB29" s="4">
        <f>AA29/Y29</f>
        <v>0.62975204291648201</v>
      </c>
    </row>
    <row r="30" spans="3:28">
      <c r="C30" s="180" t="s">
        <v>239</v>
      </c>
      <c r="D30" s="24" t="s">
        <v>43</v>
      </c>
      <c r="E30" s="24" t="s">
        <v>66</v>
      </c>
      <c r="G30" s="34"/>
      <c r="L30" s="2" t="s">
        <v>22</v>
      </c>
      <c r="M30" s="173">
        <f>M9+R22+R23</f>
        <v>9749.0017674783994</v>
      </c>
      <c r="N30" s="273">
        <f>N9+(R22*O7)+(R23*O8)</f>
        <v>51301799.266259648</v>
      </c>
      <c r="O30" s="3">
        <f t="shared" si="8"/>
        <v>5262.2617668812845</v>
      </c>
      <c r="P30" s="3">
        <f>Q9*N30</f>
        <v>124613.97205670396</v>
      </c>
      <c r="Q30" s="3">
        <f>$Q$12*N30</f>
        <v>52399.708296280238</v>
      </c>
      <c r="R30" s="3">
        <f>$Q$13*N30</f>
        <v>613.74530872008177</v>
      </c>
      <c r="S30" s="3">
        <f>SUM(P30:R30)</f>
        <v>177627.42566170427</v>
      </c>
      <c r="U30" s="166" t="s">
        <v>226</v>
      </c>
      <c r="V30" s="148">
        <f>SUM(N28:N29)/N33</f>
        <v>0.61587464860789776</v>
      </c>
      <c r="Y30" s="173"/>
      <c r="Z30" s="3"/>
      <c r="AA30" s="273"/>
      <c r="AB30" s="4"/>
    </row>
    <row r="31" spans="3:28">
      <c r="C31" s="39" t="s">
        <v>47</v>
      </c>
      <c r="D31" t="str">
        <f>'Input-Metrics-Profitability'!$H$8</f>
        <v>Cost + %</v>
      </c>
      <c r="E31" s="155">
        <f>IF($D$31=$D$19,$D$20,IF($D$31=$E$19,$E$20,IF($D$31=$F$19,$F$20,IF($D$31=$G$19,$G$20))))</f>
        <v>1225410.7225789654</v>
      </c>
      <c r="G31" s="34"/>
      <c r="L31" t="s">
        <v>11</v>
      </c>
      <c r="M31" s="173">
        <f>M10+S22+S23</f>
        <v>28784.286724273374</v>
      </c>
      <c r="N31" s="273">
        <f>N10+(S22*O7)+(S23*O8)</f>
        <v>153231238.83900556</v>
      </c>
      <c r="O31" s="3">
        <f t="shared" si="8"/>
        <v>5323.4335909316751</v>
      </c>
      <c r="P31" s="3">
        <f>Q10*N31</f>
        <v>86439.756056978571</v>
      </c>
      <c r="Q31" s="3">
        <f>$Q$12*N31</f>
        <v>156510.53826336766</v>
      </c>
      <c r="R31" s="3">
        <f>$Q$13*N31</f>
        <v>1833.1706749446871</v>
      </c>
      <c r="S31" s="3">
        <f>SUM(P31:R31)</f>
        <v>244783.46499529091</v>
      </c>
      <c r="U31" s="166" t="s">
        <v>24</v>
      </c>
      <c r="V31" s="148">
        <f>SUM(N30:N32)/$N$33</f>
        <v>0.38412535139210213</v>
      </c>
      <c r="AA31" s="273"/>
      <c r="AB31" s="4"/>
    </row>
    <row r="32" spans="3:28">
      <c r="C32" s="39" t="s">
        <v>48</v>
      </c>
      <c r="D32" t="str">
        <f>'Input-Metrics-Profitability'!$H$9</f>
        <v>Cost + %</v>
      </c>
      <c r="E32" s="155">
        <f>IF($D$32=$D$19,$D$21,IF($D$32=$E$19,$E$21,IF($D$32=$F$19,$F$21,IF($D$32=$G$19,$G$21))))</f>
        <v>16016534.177982869</v>
      </c>
      <c r="G32" s="34"/>
      <c r="L32" t="s">
        <v>12</v>
      </c>
      <c r="M32" s="173">
        <f>M11+T22+T23</f>
        <v>2090.2115082482323</v>
      </c>
      <c r="N32" s="273">
        <f>N11+(T22*O7)+(T23*O8)</f>
        <v>10790894.171734881</v>
      </c>
      <c r="O32" s="3">
        <f t="shared" si="8"/>
        <v>5162.5848050078575</v>
      </c>
      <c r="P32" s="3">
        <f>Q11*N32</f>
        <v>133702.25146359889</v>
      </c>
      <c r="Q32" s="3">
        <f>$Q$12*N32</f>
        <v>11021.829934663105</v>
      </c>
      <c r="R32" s="3">
        <f>$Q$13*N32</f>
        <v>129.09607010904395</v>
      </c>
      <c r="S32" s="3">
        <f>SUM(P32:R32)</f>
        <v>144853.17746837105</v>
      </c>
      <c r="AA32" s="273"/>
      <c r="AB32" s="4"/>
    </row>
    <row r="33" spans="3:19">
      <c r="C33" s="39" t="s">
        <v>62</v>
      </c>
      <c r="D33" t="str">
        <f>'Input-Metrics-Profitability'!$H$10</f>
        <v>Cost + %</v>
      </c>
      <c r="E33" s="155">
        <f>IF($D$33=$D$19,$D$22,IF($D$33=$E$19,$E$22,IF($D$33=$F$19,$F$22,IF($D$33=$G$19,$G$22))))</f>
        <v>8093.4234803049721</v>
      </c>
      <c r="G33" s="34"/>
      <c r="L33" s="183" t="s">
        <v>243</v>
      </c>
      <c r="M33" s="184">
        <f>SUM(M28:M32)</f>
        <v>104086.00000000001</v>
      </c>
      <c r="N33" s="275">
        <f>SUM(N28:N32)</f>
        <v>560556421.22200024</v>
      </c>
      <c r="O33" s="120">
        <f t="shared" si="8"/>
        <v>5385.5121843667748</v>
      </c>
      <c r="P33" s="120">
        <f>SUM(P28:P32)</f>
        <v>8048746.5716327811</v>
      </c>
      <c r="Q33" s="120">
        <f>SUM(Q28:Q32)</f>
        <v>572552.88071266026</v>
      </c>
      <c r="R33" s="120">
        <f>SUM(R28:R32)</f>
        <v>6706.1755867925167</v>
      </c>
      <c r="S33" s="120">
        <f>SUM(S28:S32)</f>
        <v>8628005.6279322356</v>
      </c>
    </row>
    <row r="34" spans="3:19">
      <c r="C34" s="39" t="s">
        <v>63</v>
      </c>
      <c r="D34" t="str">
        <f>'Input-Metrics-Profitability'!$H$11</f>
        <v>Cost + %</v>
      </c>
      <c r="E34" s="155">
        <f>IF($D$34=$D$19,$D$23,IF($D$34=$E$19,$E$23,IF($D$34=$F$19,$F$23,IF($D$34=$G$19,$G$23))))</f>
        <v>20802.670120347731</v>
      </c>
      <c r="G34" s="34"/>
      <c r="L34" s="206"/>
      <c r="M34" s="173"/>
      <c r="N34" s="278"/>
      <c r="O34" s="155"/>
      <c r="P34" s="155"/>
      <c r="Q34" s="155"/>
      <c r="R34" s="155"/>
      <c r="S34" s="155"/>
    </row>
    <row r="35" spans="3:19">
      <c r="C35" s="39" t="s">
        <v>64</v>
      </c>
      <c r="D35" t="str">
        <f>'Input-Metrics-Profitability'!$H$11</f>
        <v>Cost + %</v>
      </c>
      <c r="E35" s="155">
        <f>IF($D$35=$D$19,$D$24,IF($D$35=$E$19,$E$24,IF($D$35=$F$19,$F$24,IF($D$35=$G$19,$G$24))))</f>
        <v>1999.5473493833963</v>
      </c>
      <c r="G35" s="34"/>
      <c r="L35" t="s">
        <v>31</v>
      </c>
      <c r="M35" s="173">
        <f>M16+Q22+Q23</f>
        <v>183834</v>
      </c>
      <c r="N35" s="274">
        <f>N16+(Q22*O7)+(Q23*O8)</f>
        <v>980661370.49799967</v>
      </c>
      <c r="O35" s="9">
        <f>N35/M35</f>
        <v>5334.494002730723</v>
      </c>
      <c r="P35" s="9">
        <v>0</v>
      </c>
      <c r="Q35" s="9">
        <v>0</v>
      </c>
      <c r="R35" s="9">
        <f>0.04*M35</f>
        <v>7353.3600000000006</v>
      </c>
      <c r="S35" s="9">
        <f>SUM(P35:R35)</f>
        <v>7353.3600000000006</v>
      </c>
    </row>
    <row r="36" spans="3:19" ht="15" thickBot="1">
      <c r="C36" s="181" t="s">
        <v>31</v>
      </c>
      <c r="D36" s="36" t="str">
        <f>'Input-Metrics-Profitability'!$H$12</f>
        <v>Flat Fee $</v>
      </c>
      <c r="E36" s="182">
        <f>$D$25</f>
        <v>3168.98</v>
      </c>
      <c r="F36" s="36"/>
      <c r="G36" s="37"/>
      <c r="L36" s="187" t="s">
        <v>244</v>
      </c>
      <c r="M36" s="190">
        <f>M35+M33</f>
        <v>287920</v>
      </c>
      <c r="N36" s="276">
        <f>N35+N33</f>
        <v>1541217791.7199998</v>
      </c>
      <c r="O36" s="192">
        <f>N36/M36</f>
        <v>5352.9375928035561</v>
      </c>
      <c r="P36" s="192">
        <f>P33+P35</f>
        <v>8048746.5716327811</v>
      </c>
      <c r="Q36" s="192">
        <f>Q33+Q35</f>
        <v>572552.88071266026</v>
      </c>
      <c r="R36" s="192">
        <f>R33+R35</f>
        <v>14059.535586792517</v>
      </c>
      <c r="S36" s="192">
        <f>S33+S35</f>
        <v>8635358.987932235</v>
      </c>
    </row>
    <row r="37" spans="3:19" ht="15" thickTop="1">
      <c r="C37" s="3"/>
      <c r="E37" s="155"/>
      <c r="M37" s="173"/>
    </row>
    <row r="38" spans="3:19">
      <c r="C38" s="3"/>
      <c r="E38" s="155"/>
      <c r="M38" s="173"/>
    </row>
    <row r="39" spans="3:19" ht="15" thickBot="1">
      <c r="C39" s="3"/>
      <c r="E39" s="155"/>
      <c r="L39" s="24" t="s">
        <v>270</v>
      </c>
    </row>
    <row r="40" spans="3:19">
      <c r="C40" s="3"/>
      <c r="E40" s="155"/>
      <c r="L40" s="251" t="s">
        <v>42</v>
      </c>
      <c r="M40" s="253" t="s">
        <v>44</v>
      </c>
      <c r="N40" s="253" t="s">
        <v>45</v>
      </c>
      <c r="O40" s="253"/>
      <c r="P40" s="254"/>
    </row>
    <row r="41" spans="3:19">
      <c r="C41" s="197" t="s">
        <v>281</v>
      </c>
      <c r="L41" s="242" t="s">
        <v>47</v>
      </c>
      <c r="M41" s="207">
        <f>'Input-Metrics-Profitability'!$AP$8</f>
        <v>2</v>
      </c>
      <c r="N41" s="159">
        <f>'Input-Metrics-Profitability'!$AQ$8</f>
        <v>2.9499999999999998E-2</v>
      </c>
      <c r="P41" s="255"/>
    </row>
    <row r="42" spans="3:19">
      <c r="C42" s="22"/>
      <c r="D42" s="194" t="s">
        <v>174</v>
      </c>
      <c r="E42" s="22" t="s">
        <v>187</v>
      </c>
      <c r="F42" s="165" t="s">
        <v>269</v>
      </c>
      <c r="G42" s="22" t="s">
        <v>259</v>
      </c>
      <c r="H42" s="22" t="s">
        <v>44</v>
      </c>
      <c r="I42" s="22" t="s">
        <v>45</v>
      </c>
      <c r="L42" s="242" t="s">
        <v>48</v>
      </c>
      <c r="M42" s="207">
        <f>'Input-Metrics-Profitability'!$AP$9</f>
        <v>2</v>
      </c>
      <c r="N42" s="159">
        <f>'Input-Metrics-Profitability'!$AQ$9</f>
        <v>2.9499999999999998E-2</v>
      </c>
      <c r="P42" s="255"/>
    </row>
    <row r="43" spans="3:19">
      <c r="C43" s="22" t="s">
        <v>9</v>
      </c>
      <c r="D43" s="194">
        <f>Data!$AL$8</f>
        <v>6832</v>
      </c>
      <c r="E43" s="194">
        <f>Data!$AM$8</f>
        <v>41002189.829999998</v>
      </c>
      <c r="F43" s="204">
        <f>Data!$AN$8</f>
        <v>1116503.63699</v>
      </c>
      <c r="G43" s="205">
        <f>F43/E43</f>
        <v>2.7230341638316346E-2</v>
      </c>
      <c r="H43" s="195">
        <f>'Input-Metrics-Profitability'!$AP$8</f>
        <v>2</v>
      </c>
      <c r="I43" s="44">
        <f>'Input-Metrics-Profitability'!$AQ$8</f>
        <v>2.9499999999999998E-2</v>
      </c>
      <c r="L43" s="242" t="s">
        <v>62</v>
      </c>
      <c r="M43" s="207">
        <f>'Input-Metrics-Profitability'!$AP$10</f>
        <v>7</v>
      </c>
      <c r="N43" s="159">
        <f>'Input-Metrics-Profitability'!$AQ$10</f>
        <v>1.4999999999999999E-2</v>
      </c>
      <c r="P43" s="255"/>
    </row>
    <row r="44" spans="3:19">
      <c r="C44" s="22" t="s">
        <v>10</v>
      </c>
      <c r="D44" s="194">
        <f>Data!$AL$9</f>
        <v>120093</v>
      </c>
      <c r="E44" s="194">
        <f>Data!$AM$9</f>
        <v>649462788.06000018</v>
      </c>
      <c r="F44" s="204">
        <f>Data!$AN$9</f>
        <v>14291477.547121001</v>
      </c>
      <c r="G44" s="205">
        <f t="shared" ref="G44:G48" si="9">F44/E44</f>
        <v>2.2005075286623956E-2</v>
      </c>
      <c r="H44" s="195">
        <f>'Input-Metrics-Profitability'!$AP$9</f>
        <v>2</v>
      </c>
      <c r="I44" s="44">
        <f>'Input-Metrics-Profitability'!$AQ$9</f>
        <v>2.9499999999999998E-2</v>
      </c>
      <c r="L44" s="242" t="s">
        <v>63</v>
      </c>
      <c r="M44" s="207">
        <f>'Input-Metrics-Profitability'!$AP$11</f>
        <v>7</v>
      </c>
      <c r="N44" s="159">
        <f>'Input-Metrics-Profitability'!$AQ$11</f>
        <v>1.7500000000000002E-2</v>
      </c>
      <c r="P44" s="255"/>
    </row>
    <row r="45" spans="3:19">
      <c r="C45" s="29" t="s">
        <v>22</v>
      </c>
      <c r="D45" s="194">
        <f>Data!$AL$10</f>
        <v>611</v>
      </c>
      <c r="E45" s="194">
        <f>Data!$AM$10</f>
        <v>1591575.21</v>
      </c>
      <c r="F45" s="204">
        <f>Data!$AN$10</f>
        <v>3865.995181099287</v>
      </c>
      <c r="G45" s="205">
        <f t="shared" si="9"/>
        <v>2.4290370676854707E-3</v>
      </c>
      <c r="H45" s="195">
        <f>'Input-Metrics-Profitability'!$AP$10</f>
        <v>7</v>
      </c>
      <c r="I45" s="44">
        <f>'Input-Metrics-Profitability'!$AQ$10</f>
        <v>1.4999999999999999E-2</v>
      </c>
      <c r="L45" s="242" t="s">
        <v>64</v>
      </c>
      <c r="M45" s="207">
        <f>'Input-Metrics-Profitability'!$AP$11</f>
        <v>7</v>
      </c>
      <c r="N45" s="159">
        <f>'Input-Metrics-Profitability'!$AQ$11</f>
        <v>1.7500000000000002E-2</v>
      </c>
      <c r="P45" s="255"/>
    </row>
    <row r="46" spans="3:19">
      <c r="C46" s="22" t="s">
        <v>11</v>
      </c>
      <c r="D46" s="194">
        <f>Data!$AL$11</f>
        <v>1804</v>
      </c>
      <c r="E46" s="194">
        <f>Data!$AM$11</f>
        <v>6459971.7400000002</v>
      </c>
      <c r="F46" s="204">
        <f>Data!$AN$11</f>
        <v>3644.1549750000004</v>
      </c>
      <c r="G46" s="205">
        <f t="shared" si="9"/>
        <v>5.6411314502128153E-4</v>
      </c>
      <c r="H46" s="195">
        <f>'Input-Metrics-Profitability'!$AP$11</f>
        <v>7</v>
      </c>
      <c r="I46" s="44">
        <f>'Input-Metrics-Profitability'!$AQ$11</f>
        <v>1.7500000000000002E-2</v>
      </c>
      <c r="L46" s="246" t="s">
        <v>31</v>
      </c>
      <c r="M46" s="207">
        <f>'Input-Metrics-Profitability'!$AP$12</f>
        <v>0.05</v>
      </c>
      <c r="N46" s="259" t="str">
        <f>'Input-Metrics-Profitability'!$AQ$12</f>
        <v>N/A</v>
      </c>
      <c r="P46" s="255"/>
    </row>
    <row r="47" spans="3:19" ht="15" thickBot="1">
      <c r="C47" s="22" t="s">
        <v>12</v>
      </c>
      <c r="D47" s="194">
        <f>Data!$AL$12</f>
        <v>131</v>
      </c>
      <c r="E47" s="194">
        <f>Data!$AM$12</f>
        <v>132891.95999999996</v>
      </c>
      <c r="F47" s="204">
        <f>Data!$AN$12</f>
        <v>1646.5692250000002</v>
      </c>
      <c r="G47" s="205">
        <f t="shared" si="9"/>
        <v>1.2390284747098324E-2</v>
      </c>
      <c r="H47" s="195">
        <f>'Input-Metrics-Profitability'!$AP$11</f>
        <v>7</v>
      </c>
      <c r="I47" s="44">
        <f>'Input-Metrics-Profitability'!$AQ$11</f>
        <v>1.7500000000000002E-2</v>
      </c>
      <c r="L47" s="257"/>
      <c r="M47" s="248"/>
      <c r="N47" s="248"/>
      <c r="O47" s="248"/>
      <c r="P47" s="258"/>
    </row>
    <row r="48" spans="3:19">
      <c r="C48" s="22" t="s">
        <v>31</v>
      </c>
      <c r="D48" s="194">
        <f>Data!$AL$17</f>
        <v>158449</v>
      </c>
      <c r="E48" s="194">
        <f>Data!$AM$17</f>
        <v>842568374.91999972</v>
      </c>
      <c r="F48" s="203">
        <f>D48*0.04</f>
        <v>6337.96</v>
      </c>
      <c r="G48" s="205">
        <f t="shared" si="9"/>
        <v>7.5221907071954571E-6</v>
      </c>
      <c r="H48" s="195">
        <f>'Input-Metrics-Profitability'!$AP$12</f>
        <v>0.05</v>
      </c>
      <c r="I48" s="167" t="str">
        <f>'Input-Metrics-Profitability'!$AQ$12</f>
        <v>N/A</v>
      </c>
    </row>
    <row r="49" spans="3:16">
      <c r="C49" s="22" t="s">
        <v>13</v>
      </c>
      <c r="D49" s="194"/>
      <c r="E49" s="194"/>
      <c r="F49" s="204">
        <f>Data!$AN$13</f>
        <v>713601.20239999995</v>
      </c>
      <c r="G49" s="205">
        <f>F49/SUM(E43:E47)</f>
        <v>1.021400984872331E-3</v>
      </c>
      <c r="H49" s="195"/>
      <c r="I49" s="167"/>
    </row>
    <row r="50" spans="3:16">
      <c r="C50" s="22" t="s">
        <v>14</v>
      </c>
      <c r="D50" s="194"/>
      <c r="E50" s="194"/>
      <c r="F50" s="204">
        <f>Data!$AN$14</f>
        <v>8358.241</v>
      </c>
      <c r="G50" s="205">
        <f>F50/SUM(E43:E47)</f>
        <v>1.1963426575639269E-5</v>
      </c>
      <c r="H50" s="195"/>
      <c r="I50" s="167"/>
    </row>
    <row r="51" spans="3:16">
      <c r="L51" s="371" t="s">
        <v>271</v>
      </c>
      <c r="M51" s="371"/>
      <c r="N51" s="371"/>
    </row>
    <row r="52" spans="3:16" ht="15" thickBot="1"/>
    <row r="53" spans="3:16">
      <c r="C53" s="395" t="s">
        <v>242</v>
      </c>
      <c r="D53" s="396"/>
      <c r="E53" s="396"/>
      <c r="F53" s="396"/>
      <c r="G53" s="397"/>
      <c r="H53" s="198"/>
      <c r="I53" s="198"/>
      <c r="L53" s="251"/>
      <c r="M53" s="252" t="s">
        <v>56</v>
      </c>
      <c r="N53" s="253" t="s">
        <v>58</v>
      </c>
      <c r="O53" s="253"/>
      <c r="P53" s="254"/>
    </row>
    <row r="54" spans="3:16">
      <c r="C54" s="39"/>
      <c r="G54" s="34"/>
      <c r="L54" s="242" t="s">
        <v>47</v>
      </c>
      <c r="M54" s="10">
        <f t="shared" ref="M54:N58" si="10">M41*M28</f>
        <v>6831.9999999999991</v>
      </c>
      <c r="N54" s="10">
        <f t="shared" si="10"/>
        <v>604782.29999249987</v>
      </c>
      <c r="P54" s="255"/>
    </row>
    <row r="55" spans="3:16">
      <c r="C55" s="39"/>
      <c r="D55" s="3" t="s">
        <v>56</v>
      </c>
      <c r="E55" t="s">
        <v>58</v>
      </c>
      <c r="F55" t="s">
        <v>57</v>
      </c>
      <c r="G55" s="34" t="s">
        <v>59</v>
      </c>
      <c r="L55" s="242" t="s">
        <v>48</v>
      </c>
      <c r="M55" s="10">
        <f t="shared" si="10"/>
        <v>120093</v>
      </c>
      <c r="N55" s="10">
        <f t="shared" si="10"/>
        <v>9579576.123885002</v>
      </c>
      <c r="P55" s="255"/>
    </row>
    <row r="56" spans="3:16">
      <c r="C56" s="39" t="s">
        <v>47</v>
      </c>
      <c r="D56" s="10">
        <f>H43*D43</f>
        <v>13664</v>
      </c>
      <c r="E56" s="10">
        <f>I43*E43</f>
        <v>1209564.599985</v>
      </c>
      <c r="F56" s="10">
        <f>(H43*D43)+(F43)+(($G$49+$G$50)*E43)</f>
        <v>1172537.840751756</v>
      </c>
      <c r="G56" s="53">
        <f>(I43*E43)+(F43)+(($G$49+$G$50)*E43)</f>
        <v>2368438.4407367562</v>
      </c>
      <c r="H56" s="10"/>
      <c r="L56" s="242" t="s">
        <v>62</v>
      </c>
      <c r="M56" s="10">
        <f t="shared" si="10"/>
        <v>68243.012372348792</v>
      </c>
      <c r="N56" s="10">
        <f t="shared" si="10"/>
        <v>769526.98899389466</v>
      </c>
      <c r="P56" s="256"/>
    </row>
    <row r="57" spans="3:16">
      <c r="C57" s="39" t="s">
        <v>48</v>
      </c>
      <c r="D57" s="10">
        <f t="shared" ref="D57:D61" si="11">H44*D44</f>
        <v>240186</v>
      </c>
      <c r="E57" s="10">
        <f t="shared" ref="E57:E60" si="12">I44*E44</f>
        <v>19159152.247770004</v>
      </c>
      <c r="F57" s="10">
        <f>(H44*D44)+(F44)+(($G$49+$G$50)*E44)</f>
        <v>15202795.278861981</v>
      </c>
      <c r="G57" s="53">
        <f>(I44*E44)+(F44)+(($G$49+$G$50)*E44)</f>
        <v>34121761.526631989</v>
      </c>
      <c r="H57" s="10"/>
      <c r="L57" s="242" t="s">
        <v>63</v>
      </c>
      <c r="M57" s="10">
        <f t="shared" si="10"/>
        <v>201490.00706991361</v>
      </c>
      <c r="N57" s="10">
        <f t="shared" si="10"/>
        <v>2681546.6796825975</v>
      </c>
      <c r="P57" s="255"/>
    </row>
    <row r="58" spans="3:16">
      <c r="C58" s="39" t="s">
        <v>62</v>
      </c>
      <c r="D58" s="10">
        <f t="shared" si="11"/>
        <v>4277</v>
      </c>
      <c r="E58" s="10">
        <f t="shared" si="12"/>
        <v>23873.628149999997</v>
      </c>
      <c r="F58" s="10">
        <f>(H45*D45)+(F45)+(($G$49+$G$50)*E45)</f>
        <v>9787.6723612561163</v>
      </c>
      <c r="G58" s="53">
        <f>(I45*E45)+(F45)+(($G$49+$G$50)*E45)</f>
        <v>29384.300511256111</v>
      </c>
      <c r="H58" s="10"/>
      <c r="L58" s="242" t="s">
        <v>64</v>
      </c>
      <c r="M58" s="10">
        <f t="shared" si="10"/>
        <v>14631.480557737626</v>
      </c>
      <c r="N58" s="10">
        <f t="shared" si="10"/>
        <v>188840.64800536042</v>
      </c>
      <c r="P58" s="255"/>
    </row>
    <row r="59" spans="3:16">
      <c r="C59" s="39" t="s">
        <v>63</v>
      </c>
      <c r="D59" s="10">
        <f t="shared" si="11"/>
        <v>12628</v>
      </c>
      <c r="E59" s="10">
        <f t="shared" si="12"/>
        <v>113049.50545000001</v>
      </c>
      <c r="F59" s="10">
        <f>(H46*D46)+(F46)+(($G$49+$G$50)*E46)</f>
        <v>22947.659870075622</v>
      </c>
      <c r="G59" s="53">
        <f>(I46*E46)+(F46)+(($G$49+$G$50)*E46)</f>
        <v>123369.16532007563</v>
      </c>
      <c r="H59" s="10"/>
      <c r="L59" s="246" t="s">
        <v>31</v>
      </c>
      <c r="M59" s="10">
        <f>M46*M35</f>
        <v>9191.7000000000007</v>
      </c>
      <c r="N59" s="25"/>
      <c r="P59" s="255"/>
    </row>
    <row r="60" spans="3:16">
      <c r="C60" s="39" t="s">
        <v>64</v>
      </c>
      <c r="D60" s="10">
        <f t="shared" si="11"/>
        <v>917</v>
      </c>
      <c r="E60" s="10">
        <f t="shared" si="12"/>
        <v>2325.6092999999996</v>
      </c>
      <c r="F60" s="10">
        <f>(H47*D47)+(F47)+(($G$49+$G$50)*E47)</f>
        <v>2700.8950470315672</v>
      </c>
      <c r="G60" s="53">
        <f>(I47*E47)+(F47)+(($G$49+$G$50)*E47)</f>
        <v>4109.5043470315668</v>
      </c>
      <c r="H60" s="10"/>
      <c r="L60" s="242"/>
      <c r="P60" s="255"/>
    </row>
    <row r="61" spans="3:16" ht="15" thickBot="1">
      <c r="C61" s="147" t="s">
        <v>31</v>
      </c>
      <c r="D61" s="10">
        <f t="shared" si="11"/>
        <v>7922.4500000000007</v>
      </c>
      <c r="E61" s="25"/>
      <c r="F61" s="177"/>
      <c r="G61" s="178"/>
      <c r="L61" s="257"/>
      <c r="M61" s="137">
        <f>SUM(M54:M59)</f>
        <v>420481.20000000007</v>
      </c>
      <c r="N61" s="137">
        <f>SUM(N54:N59)</f>
        <v>13824272.740559354</v>
      </c>
      <c r="O61" s="248"/>
      <c r="P61" s="258"/>
    </row>
    <row r="62" spans="3:16">
      <c r="C62" s="39"/>
      <c r="G62" s="34"/>
      <c r="M62" s="173"/>
    </row>
    <row r="63" spans="3:16">
      <c r="C63" s="39"/>
      <c r="D63" s="135">
        <f>SUM(D56:D61)</f>
        <v>279594.45</v>
      </c>
      <c r="E63" s="135">
        <f>SUM(E56:E61)</f>
        <v>20507965.590655003</v>
      </c>
      <c r="F63" s="135">
        <f>SUM(F56:F61)</f>
        <v>16410769.3468921</v>
      </c>
      <c r="G63" s="179">
        <f>SUM(G56:G61)</f>
        <v>36647062.93754711</v>
      </c>
      <c r="H63" s="10"/>
      <c r="I63" s="10"/>
      <c r="M63" s="173"/>
    </row>
    <row r="64" spans="3:16" ht="15" thickBot="1">
      <c r="C64" s="39"/>
      <c r="G64" s="34"/>
      <c r="L64" s="56" t="s">
        <v>278</v>
      </c>
      <c r="M64" s="173"/>
    </row>
    <row r="65" spans="3:16">
      <c r="C65" s="39"/>
      <c r="D65" s="10"/>
      <c r="E65" s="10"/>
      <c r="F65" s="10"/>
      <c r="G65" s="53"/>
      <c r="H65" s="10"/>
      <c r="I65" s="10"/>
      <c r="L65" s="239" t="s">
        <v>240</v>
      </c>
      <c r="M65" s="240" t="s">
        <v>43</v>
      </c>
      <c r="N65" s="240" t="s">
        <v>66</v>
      </c>
      <c r="O65" s="240" t="s">
        <v>172</v>
      </c>
      <c r="P65" s="241" t="s">
        <v>67</v>
      </c>
    </row>
    <row r="66" spans="3:16">
      <c r="C66" s="110" t="s">
        <v>240</v>
      </c>
      <c r="D66" s="24" t="s">
        <v>43</v>
      </c>
      <c r="E66" s="24" t="s">
        <v>66</v>
      </c>
      <c r="G66" s="34"/>
      <c r="L66" s="242" t="s">
        <v>47</v>
      </c>
      <c r="M66" t="str">
        <f>'Input-Metrics-Profitability'!$AN$8</f>
        <v>% of Principal</v>
      </c>
      <c r="N66" s="155">
        <f>IF($M$66=$M$53,$M$54,IF($M$66=$N$53,$N$54))</f>
        <v>604782.29999249987</v>
      </c>
      <c r="O66" s="3">
        <f>S28</f>
        <v>579436.92037587787</v>
      </c>
      <c r="P66" s="243">
        <f>N66-O66</f>
        <v>25345.379616621998</v>
      </c>
    </row>
    <row r="67" spans="3:16">
      <c r="C67" s="39" t="s">
        <v>47</v>
      </c>
      <c r="D67" t="str">
        <f>'Input-Metrics-Profitability'!$AN$8</f>
        <v>% of Principal</v>
      </c>
      <c r="E67" s="155">
        <f>IF($D$67=$D$55,$D$56,IF($D$67=$E$55,$E$56,IF($D$67=$F$55,$F$56,IF($D$67=$G$55,$G$56))))</f>
        <v>1209564.599985</v>
      </c>
      <c r="G67" s="34"/>
      <c r="L67" s="242" t="s">
        <v>48</v>
      </c>
      <c r="M67" t="str">
        <f>'Input-Metrics-Profitability'!$AN$9</f>
        <v>% of Principal</v>
      </c>
      <c r="N67" s="155">
        <f>IF($M$67=$M$53,$M$55,IF($M$67=$N$53,$N$55))</f>
        <v>9579576.123885002</v>
      </c>
      <c r="O67" s="3">
        <f t="shared" ref="O67:O70" si="13">S29</f>
        <v>7481304.6394309914</v>
      </c>
      <c r="P67" s="243">
        <f t="shared" ref="P67:P72" si="14">N67-O67</f>
        <v>2098271.4844540106</v>
      </c>
    </row>
    <row r="68" spans="3:16">
      <c r="C68" s="39" t="s">
        <v>48</v>
      </c>
      <c r="D68" t="str">
        <f>'Input-Metrics-Profitability'!$AN$9</f>
        <v>% of Principal</v>
      </c>
      <c r="E68" s="155">
        <f>IF($D$68=$D$55,$D$57,IF($D$68=$E$55,$E$57,IF($D$68=$F$55,$F$57,IF($D$68=$G$55,$G$57))))</f>
        <v>19159152.247770004</v>
      </c>
      <c r="G68" s="34"/>
      <c r="L68" s="242" t="s">
        <v>62</v>
      </c>
      <c r="M68" t="str">
        <f>'Input-Metrics-Profitability'!$AN$10</f>
        <v>Flat Fee $</v>
      </c>
      <c r="N68" s="155">
        <f>IF($M$68=$M$53,$M$56,IF($M$68=$N$53,$N$56))</f>
        <v>68243.012372348792</v>
      </c>
      <c r="O68" s="3">
        <f t="shared" si="13"/>
        <v>177627.42566170427</v>
      </c>
      <c r="P68" s="243">
        <f t="shared" si="14"/>
        <v>-109384.41328935548</v>
      </c>
    </row>
    <row r="69" spans="3:16">
      <c r="C69" s="39" t="s">
        <v>62</v>
      </c>
      <c r="D69" t="str">
        <f>'Input-Metrics-Profitability'!$AN$10</f>
        <v>Flat Fee $</v>
      </c>
      <c r="E69" s="155">
        <f>IF($D$69=$D$55,$D$58,IF($D$69=$E$55,$E$58,IF($D$69=$F$55,$F$58,IF($D$69=$G$55,$G$58))))</f>
        <v>4277</v>
      </c>
      <c r="G69" s="34"/>
      <c r="L69" s="242" t="s">
        <v>63</v>
      </c>
      <c r="M69" t="str">
        <f>'Input-Metrics-Profitability'!$AN$11</f>
        <v>Flat Fee $</v>
      </c>
      <c r="N69" s="155">
        <f>IF($M$69=$M$53,$M$57,IF($M$69=$N$53,$N$57))</f>
        <v>201490.00706991361</v>
      </c>
      <c r="O69" s="3">
        <f t="shared" si="13"/>
        <v>244783.46499529091</v>
      </c>
      <c r="P69" s="243">
        <f t="shared" si="14"/>
        <v>-43293.457925377297</v>
      </c>
    </row>
    <row r="70" spans="3:16">
      <c r="C70" s="39" t="s">
        <v>63</v>
      </c>
      <c r="D70" t="str">
        <f>'Input-Metrics-Profitability'!$AN$11</f>
        <v>Flat Fee $</v>
      </c>
      <c r="E70" s="155">
        <f>IF($D$70=$D$55,$D$59,IF($D$70=$E$55,$E$59,IF($D$70=$F$55,$F$59,IF($D$70=$G$55,$G$59))))</f>
        <v>12628</v>
      </c>
      <c r="G70" s="34"/>
      <c r="L70" s="242" t="s">
        <v>64</v>
      </c>
      <c r="M70" t="str">
        <f>'Input-Metrics-Profitability'!$AN$11</f>
        <v>Flat Fee $</v>
      </c>
      <c r="N70" s="155">
        <f>IF($M$70=$M$53,$M$58,IF($M$70=$N$53,$N$58))</f>
        <v>14631.480557737626</v>
      </c>
      <c r="O70" s="3">
        <f t="shared" si="13"/>
        <v>144853.17746837105</v>
      </c>
      <c r="P70" s="243">
        <f t="shared" si="14"/>
        <v>-130221.69691063343</v>
      </c>
    </row>
    <row r="71" spans="3:16">
      <c r="C71" s="39" t="s">
        <v>64</v>
      </c>
      <c r="D71" t="str">
        <f>'Input-Metrics-Profitability'!$AN$11</f>
        <v>Flat Fee $</v>
      </c>
      <c r="E71" s="155">
        <f>IF($D$71=$D$55,$D$60,IF($D$71=$E$55,$E$60,IF($D$71=$F$55,$F$60,IF($D$71=$G$55,$G$60))))</f>
        <v>917</v>
      </c>
      <c r="G71" s="34"/>
      <c r="L71" s="244" t="s">
        <v>243</v>
      </c>
      <c r="N71" s="155">
        <f>SUM(N66:N70)</f>
        <v>10468722.923877502</v>
      </c>
      <c r="O71" s="155">
        <f t="shared" ref="O71:P71" si="15">SUM(O66:O70)</f>
        <v>8628005.6279322356</v>
      </c>
      <c r="P71" s="245">
        <f t="shared" si="15"/>
        <v>1840717.295945266</v>
      </c>
    </row>
    <row r="72" spans="3:16">
      <c r="C72" s="181" t="s">
        <v>31</v>
      </c>
      <c r="D72" s="36" t="str">
        <f>'Input-Metrics-Profitability'!$AN$12</f>
        <v>Flat Fee $</v>
      </c>
      <c r="E72" s="182">
        <f>$D$61</f>
        <v>7922.4500000000007</v>
      </c>
      <c r="F72" s="36"/>
      <c r="G72" s="37"/>
      <c r="L72" s="246" t="s">
        <v>31</v>
      </c>
      <c r="M72" t="str">
        <f>'Input-Metrics-Profitability'!$AN$12</f>
        <v>Flat Fee $</v>
      </c>
      <c r="N72" s="155">
        <f>$M$59</f>
        <v>9191.7000000000007</v>
      </c>
      <c r="O72" s="3">
        <f>S35</f>
        <v>7353.3600000000006</v>
      </c>
      <c r="P72" s="243">
        <f t="shared" si="14"/>
        <v>1838.3400000000001</v>
      </c>
    </row>
    <row r="73" spans="3:16" ht="15" thickBot="1">
      <c r="L73" s="247" t="s">
        <v>244</v>
      </c>
      <c r="M73" s="248"/>
      <c r="N73" s="249">
        <f>N72+N71</f>
        <v>10477914.623877501</v>
      </c>
      <c r="O73" s="249">
        <f t="shared" ref="O73:P73" si="16">O72+O71</f>
        <v>8635358.987932235</v>
      </c>
      <c r="P73" s="250">
        <f t="shared" si="16"/>
        <v>1842555.6359452661</v>
      </c>
    </row>
    <row r="76" spans="3:16">
      <c r="C76" s="342"/>
      <c r="D76" s="343"/>
    </row>
    <row r="77" spans="3:16">
      <c r="C77" s="180" t="s">
        <v>317</v>
      </c>
      <c r="D77" s="34"/>
    </row>
    <row r="78" spans="3:16">
      <c r="C78" s="174" t="s">
        <v>318</v>
      </c>
      <c r="D78" s="34" t="s">
        <v>319</v>
      </c>
    </row>
    <row r="79" spans="3:16">
      <c r="C79" s="174" t="str">
        <f>'Client Summary'!G8</f>
        <v>Cost + %</v>
      </c>
      <c r="D79" s="34">
        <f>IF(C79="Cost + %",1,IF(C79="Cost + $",1,0))</f>
        <v>1</v>
      </c>
    </row>
    <row r="80" spans="3:16">
      <c r="C80" s="174" t="str">
        <f>'Client Summary'!G9</f>
        <v>Cost + %</v>
      </c>
      <c r="D80" s="34">
        <f t="shared" ref="D80:D82" si="17">IF(C80="Cost + %",1,IF(C80="Cost + $",1,0))</f>
        <v>1</v>
      </c>
    </row>
    <row r="81" spans="3:4">
      <c r="C81" s="174" t="str">
        <f>'Client Summary'!G10</f>
        <v>Cost + %</v>
      </c>
      <c r="D81" s="34">
        <f t="shared" si="17"/>
        <v>1</v>
      </c>
    </row>
    <row r="82" spans="3:4">
      <c r="C82" s="174" t="str">
        <f>'Client Summary'!G11</f>
        <v>Cost + %</v>
      </c>
      <c r="D82" s="34">
        <f t="shared" si="17"/>
        <v>1</v>
      </c>
    </row>
    <row r="83" spans="3:4">
      <c r="C83" s="174"/>
      <c r="D83" s="34">
        <f>SUM(D79:D82)</f>
        <v>4</v>
      </c>
    </row>
    <row r="84" spans="3:4">
      <c r="C84" s="174"/>
      <c r="D84" s="34"/>
    </row>
    <row r="85" spans="3:4">
      <c r="C85" s="39" t="s">
        <v>9</v>
      </c>
      <c r="D85" s="344">
        <f>F43+(SUM($G$49:$G$50)*E43)</f>
        <v>1158873.840751756</v>
      </c>
    </row>
    <row r="86" spans="3:4">
      <c r="C86" s="39" t="s">
        <v>10</v>
      </c>
      <c r="D86" s="344">
        <f>F44+(SUM($G$49:$G$50)*E44)</f>
        <v>14962609.278861981</v>
      </c>
    </row>
    <row r="87" spans="3:4">
      <c r="C87" s="345" t="s">
        <v>22</v>
      </c>
      <c r="D87" s="344">
        <f>F45+(SUM($G$49:$G$50)*E45)</f>
        <v>5510.6723612561163</v>
      </c>
    </row>
    <row r="88" spans="3:4">
      <c r="C88" s="39" t="s">
        <v>11</v>
      </c>
      <c r="D88" s="344">
        <f>F46+(SUM($G$49:$G$50)*E46)</f>
        <v>10319.659870075622</v>
      </c>
    </row>
    <row r="89" spans="3:4">
      <c r="C89" s="39" t="s">
        <v>12</v>
      </c>
      <c r="D89" s="344">
        <f>F47+(SUM($G$49:$G$50)*E47)</f>
        <v>1783.8950470315674</v>
      </c>
    </row>
    <row r="90" spans="3:4">
      <c r="C90" s="346"/>
      <c r="D90" s="347">
        <f>SUM(D85:D89)</f>
        <v>16139097.3468921</v>
      </c>
    </row>
    <row r="96" spans="3:4">
      <c r="C96"/>
      <c r="D96" s="173"/>
    </row>
    <row r="97" spans="3:4">
      <c r="C97"/>
      <c r="D97" s="173"/>
    </row>
    <row r="98" spans="3:4">
      <c r="C98"/>
      <c r="D98" s="173"/>
    </row>
  </sheetData>
  <mergeCells count="10">
    <mergeCell ref="U27:V27"/>
    <mergeCell ref="C2:G2"/>
    <mergeCell ref="L2:T2"/>
    <mergeCell ref="C17:G17"/>
    <mergeCell ref="C53:G53"/>
    <mergeCell ref="R20:T20"/>
    <mergeCell ref="P20:Q20"/>
    <mergeCell ref="L4:T4"/>
    <mergeCell ref="L20:M20"/>
    <mergeCell ref="L51:N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4128-B16E-4F31-A14F-4E6DCC9BD469}">
  <dimension ref="A2:AG102"/>
  <sheetViews>
    <sheetView zoomScale="60" zoomScaleNormal="60" workbookViewId="0">
      <pane xSplit="1" ySplit="1" topLeftCell="L2" activePane="bottomRight" state="frozen"/>
      <selection pane="topRight" activeCell="B1" sqref="B1"/>
      <selection pane="bottomLeft" activeCell="A2" sqref="A2"/>
      <selection pane="bottomRight" activeCell="Q10" sqref="Q10"/>
    </sheetView>
  </sheetViews>
  <sheetFormatPr defaultRowHeight="14.6" outlineLevelRow="1"/>
  <cols>
    <col min="1" max="1" width="36.84375" bestFit="1" customWidth="1"/>
    <col min="2" max="2" width="15.4609375" bestFit="1" customWidth="1"/>
    <col min="3" max="3" width="15.84375" bestFit="1" customWidth="1"/>
    <col min="4" max="5" width="16.61328125" bestFit="1" customWidth="1"/>
    <col min="6" max="6" width="16.23046875" bestFit="1" customWidth="1"/>
    <col min="7" max="8" width="16.61328125" bestFit="1" customWidth="1"/>
    <col min="9" max="9" width="15.4609375" bestFit="1" customWidth="1"/>
    <col min="10" max="10" width="16.23046875" bestFit="1" customWidth="1"/>
    <col min="11" max="11" width="16.61328125" bestFit="1" customWidth="1"/>
    <col min="12" max="12" width="15.84375" bestFit="1" customWidth="1"/>
    <col min="13" max="13" width="16.61328125" bestFit="1" customWidth="1"/>
    <col min="14" max="14" width="18" bestFit="1" customWidth="1"/>
    <col min="16" max="16" width="44.921875" bestFit="1" customWidth="1"/>
    <col min="17" max="18" width="14.4609375" bestFit="1" customWidth="1"/>
    <col min="19" max="20" width="14.921875" bestFit="1" customWidth="1"/>
    <col min="21" max="25" width="16.3828125" bestFit="1" customWidth="1"/>
    <col min="26" max="26" width="16.07421875" bestFit="1" customWidth="1"/>
    <col min="27" max="28" width="16.765625" bestFit="1" customWidth="1"/>
    <col min="29" max="29" width="13.3828125" customWidth="1"/>
    <col min="30" max="30" width="54.765625" bestFit="1" customWidth="1"/>
    <col min="31" max="31" width="19.3046875" bestFit="1" customWidth="1"/>
    <col min="32" max="32" width="16.61328125" bestFit="1" customWidth="1"/>
    <col min="33" max="33" width="15.69140625" bestFit="1" customWidth="1"/>
  </cols>
  <sheetData>
    <row r="2" spans="1:31">
      <c r="P2" s="18"/>
      <c r="Q2" s="399" t="s">
        <v>88</v>
      </c>
      <c r="R2" s="400"/>
      <c r="S2" s="400"/>
      <c r="T2" s="400"/>
      <c r="U2" s="400"/>
      <c r="V2" s="400"/>
      <c r="W2" s="400"/>
      <c r="X2" s="400"/>
      <c r="Y2" s="400"/>
      <c r="Z2" s="400"/>
      <c r="AA2" s="400"/>
      <c r="AB2" s="401"/>
    </row>
    <row r="4" spans="1:31" ht="61.3">
      <c r="C4" s="210" t="s">
        <v>275</v>
      </c>
      <c r="P4" t="s">
        <v>104</v>
      </c>
      <c r="Q4" s="6">
        <f>$AE$5</f>
        <v>-0.3</v>
      </c>
      <c r="R4" s="6">
        <f t="shared" ref="R4:AB4" si="0">$AE$5</f>
        <v>-0.3</v>
      </c>
      <c r="S4" s="6">
        <f t="shared" si="0"/>
        <v>-0.3</v>
      </c>
      <c r="T4" s="6">
        <f t="shared" si="0"/>
        <v>-0.3</v>
      </c>
      <c r="U4" s="6">
        <f t="shared" si="0"/>
        <v>-0.3</v>
      </c>
      <c r="V4" s="6">
        <f t="shared" si="0"/>
        <v>-0.3</v>
      </c>
      <c r="W4" s="6">
        <f t="shared" si="0"/>
        <v>-0.3</v>
      </c>
      <c r="X4" s="6">
        <f t="shared" si="0"/>
        <v>-0.3</v>
      </c>
      <c r="Y4" s="6">
        <f t="shared" si="0"/>
        <v>-0.3</v>
      </c>
      <c r="Z4" s="6">
        <f t="shared" si="0"/>
        <v>-0.3</v>
      </c>
      <c r="AA4" s="6">
        <f t="shared" si="0"/>
        <v>-0.3</v>
      </c>
      <c r="AB4" s="6">
        <f t="shared" si="0"/>
        <v>-0.3</v>
      </c>
      <c r="AD4" s="33" t="s">
        <v>100</v>
      </c>
      <c r="AE4" s="33"/>
    </row>
    <row r="5" spans="1:31" ht="23.15">
      <c r="D5" s="211" t="s">
        <v>276</v>
      </c>
      <c r="P5" t="s">
        <v>91</v>
      </c>
      <c r="Q5" s="6"/>
      <c r="R5" s="71">
        <f>R4+Q4</f>
        <v>-0.6</v>
      </c>
      <c r="S5" s="71">
        <f t="shared" ref="S5:AB5" si="1">S4+R5</f>
        <v>-0.89999999999999991</v>
      </c>
      <c r="T5" s="71">
        <f t="shared" si="1"/>
        <v>-1.2</v>
      </c>
      <c r="U5" s="71">
        <f t="shared" si="1"/>
        <v>-1.5</v>
      </c>
      <c r="V5" s="71">
        <f t="shared" si="1"/>
        <v>-1.8</v>
      </c>
      <c r="W5" s="71">
        <f t="shared" si="1"/>
        <v>-2.1</v>
      </c>
      <c r="X5" s="71">
        <f t="shared" si="1"/>
        <v>-2.4</v>
      </c>
      <c r="Y5" s="71">
        <f t="shared" si="1"/>
        <v>-2.6999999999999997</v>
      </c>
      <c r="Z5" s="71">
        <f t="shared" si="1"/>
        <v>-2.9999999999999996</v>
      </c>
      <c r="AA5" s="71">
        <f t="shared" si="1"/>
        <v>-3.2999999999999994</v>
      </c>
      <c r="AB5" s="71">
        <f t="shared" si="1"/>
        <v>-3.5999999999999992</v>
      </c>
      <c r="AC5" s="6"/>
      <c r="AD5" s="33" t="s">
        <v>47</v>
      </c>
      <c r="AE5" s="213">
        <f>-'Input-Metrics-Profitability'!AF9</f>
        <v>-0.3</v>
      </c>
    </row>
    <row r="6" spans="1:31">
      <c r="P6" t="s">
        <v>105</v>
      </c>
      <c r="Q6" s="6">
        <f>$AE$6</f>
        <v>-0.3</v>
      </c>
      <c r="R6" s="6">
        <f t="shared" ref="R6:AB6" si="2">$AE$6</f>
        <v>-0.3</v>
      </c>
      <c r="S6" s="6">
        <f t="shared" si="2"/>
        <v>-0.3</v>
      </c>
      <c r="T6" s="6">
        <f t="shared" si="2"/>
        <v>-0.3</v>
      </c>
      <c r="U6" s="6">
        <f t="shared" si="2"/>
        <v>-0.3</v>
      </c>
      <c r="V6" s="6">
        <f t="shared" si="2"/>
        <v>-0.3</v>
      </c>
      <c r="W6" s="6">
        <f t="shared" si="2"/>
        <v>-0.3</v>
      </c>
      <c r="X6" s="6">
        <f t="shared" si="2"/>
        <v>-0.3</v>
      </c>
      <c r="Y6" s="6">
        <f t="shared" si="2"/>
        <v>-0.3</v>
      </c>
      <c r="Z6" s="6">
        <f t="shared" si="2"/>
        <v>-0.3</v>
      </c>
      <c r="AA6" s="6">
        <f t="shared" si="2"/>
        <v>-0.3</v>
      </c>
      <c r="AB6" s="6">
        <f t="shared" si="2"/>
        <v>-0.3</v>
      </c>
      <c r="AD6" s="33" t="s">
        <v>48</v>
      </c>
      <c r="AE6" s="213">
        <f>-'Input-Metrics-Profitability'!AF10</f>
        <v>-0.3</v>
      </c>
    </row>
    <row r="7" spans="1:31">
      <c r="P7" t="s">
        <v>91</v>
      </c>
      <c r="R7" s="71">
        <f>R6+Q6</f>
        <v>-0.6</v>
      </c>
      <c r="S7" s="71">
        <f>S6+R7</f>
        <v>-0.89999999999999991</v>
      </c>
      <c r="T7" s="71">
        <f t="shared" ref="T7:AB7" si="3">T6+S7</f>
        <v>-1.2</v>
      </c>
      <c r="U7" s="71">
        <f t="shared" si="3"/>
        <v>-1.5</v>
      </c>
      <c r="V7" s="71">
        <f t="shared" si="3"/>
        <v>-1.8</v>
      </c>
      <c r="W7" s="71">
        <f t="shared" si="3"/>
        <v>-2.1</v>
      </c>
      <c r="X7" s="71">
        <f t="shared" si="3"/>
        <v>-2.4</v>
      </c>
      <c r="Y7" s="71">
        <f t="shared" si="3"/>
        <v>-2.6999999999999997</v>
      </c>
      <c r="Z7" s="71">
        <f t="shared" si="3"/>
        <v>-2.9999999999999996</v>
      </c>
      <c r="AA7" s="71">
        <f t="shared" si="3"/>
        <v>-3.2999999999999994</v>
      </c>
      <c r="AB7" s="71">
        <f t="shared" si="3"/>
        <v>-3.5999999999999992</v>
      </c>
    </row>
    <row r="8" spans="1:31">
      <c r="R8" s="71"/>
      <c r="S8" s="71"/>
      <c r="T8" s="71"/>
      <c r="U8" s="71"/>
      <c r="V8" s="71"/>
      <c r="W8" s="71"/>
      <c r="X8" s="71"/>
      <c r="Y8" s="71"/>
      <c r="Z8" s="71"/>
      <c r="AA8" s="71"/>
      <c r="AB8" s="71"/>
    </row>
    <row r="9" spans="1:31">
      <c r="P9" s="33" t="s">
        <v>145</v>
      </c>
      <c r="Q9" s="212">
        <f>'Input-Metrics-Profitability'!AI9</f>
        <v>0</v>
      </c>
      <c r="R9" s="71"/>
      <c r="S9" s="71"/>
      <c r="T9" s="71"/>
      <c r="U9" s="71"/>
      <c r="V9" s="71"/>
      <c r="W9" s="71"/>
      <c r="X9" s="71"/>
      <c r="Y9" s="71"/>
      <c r="Z9" s="71"/>
      <c r="AA9" s="71"/>
      <c r="AB9" s="71"/>
    </row>
    <row r="10" spans="1:31">
      <c r="P10" s="33" t="s">
        <v>144</v>
      </c>
      <c r="Q10" s="212">
        <f>'Input-Metrics-Profitability'!AI10</f>
        <v>0</v>
      </c>
      <c r="R10" s="71"/>
      <c r="S10" s="71"/>
      <c r="T10" s="71"/>
      <c r="U10" s="71"/>
      <c r="V10" s="71"/>
      <c r="W10" s="71"/>
      <c r="X10" s="71"/>
      <c r="Y10" s="71"/>
      <c r="Z10" s="71"/>
      <c r="AA10" s="71"/>
      <c r="AB10" s="71"/>
      <c r="AD10" t="s">
        <v>131</v>
      </c>
    </row>
    <row r="11" spans="1:31">
      <c r="R11" s="6"/>
      <c r="S11" s="3"/>
      <c r="T11" s="3"/>
      <c r="U11" s="3"/>
      <c r="V11" s="8"/>
      <c r="W11" s="3"/>
      <c r="X11" s="6"/>
      <c r="Y11" s="6"/>
      <c r="Z11" s="6"/>
      <c r="AA11" s="6"/>
      <c r="AB11" s="6"/>
      <c r="AD11" t="s">
        <v>132</v>
      </c>
    </row>
    <row r="12" spans="1:31">
      <c r="A12" s="65" t="s">
        <v>93</v>
      </c>
      <c r="B12" s="54">
        <v>44927</v>
      </c>
      <c r="C12" s="54">
        <v>44958</v>
      </c>
      <c r="D12" s="54">
        <v>44986</v>
      </c>
      <c r="E12" s="54">
        <v>45017</v>
      </c>
      <c r="F12" s="54">
        <v>45047</v>
      </c>
      <c r="G12" s="54">
        <v>45078</v>
      </c>
      <c r="H12" s="54">
        <v>45108</v>
      </c>
      <c r="I12" s="54">
        <v>45139</v>
      </c>
      <c r="J12" s="54">
        <v>45170</v>
      </c>
      <c r="K12" s="54">
        <v>45200</v>
      </c>
      <c r="L12" s="54">
        <v>45231</v>
      </c>
      <c r="M12" s="54">
        <v>45261</v>
      </c>
      <c r="N12" s="55" t="s">
        <v>32</v>
      </c>
      <c r="P12" s="24" t="s">
        <v>106</v>
      </c>
      <c r="Q12" s="38"/>
      <c r="R12" s="38"/>
      <c r="S12" s="38"/>
      <c r="T12" s="38"/>
      <c r="U12" s="38"/>
      <c r="V12" s="38"/>
      <c r="W12" s="38"/>
      <c r="X12" s="38"/>
      <c r="Y12" s="38"/>
      <c r="Z12" s="38"/>
      <c r="AA12" s="38"/>
      <c r="AB12" s="38"/>
    </row>
    <row r="13" spans="1:31">
      <c r="A13" t="s">
        <v>9</v>
      </c>
      <c r="B13" s="57">
        <f>Data!B8</f>
        <v>410</v>
      </c>
      <c r="C13" s="57">
        <f>Data!C8</f>
        <v>503</v>
      </c>
      <c r="D13" s="57">
        <f>Data!D8</f>
        <v>513</v>
      </c>
      <c r="E13" s="57">
        <f>Data!E8</f>
        <v>534</v>
      </c>
      <c r="F13" s="57">
        <f>Data!F8</f>
        <v>618</v>
      </c>
      <c r="G13" s="57">
        <f>Data!G8</f>
        <v>607</v>
      </c>
      <c r="H13" s="57">
        <f>Data!H8</f>
        <v>637</v>
      </c>
      <c r="I13" s="57">
        <f>Data!I8</f>
        <v>522</v>
      </c>
      <c r="J13" s="57">
        <f>Data!J8</f>
        <v>544</v>
      </c>
      <c r="K13" s="57">
        <f>Data!K8</f>
        <v>648</v>
      </c>
      <c r="L13" s="57">
        <f>Data!L8</f>
        <v>645</v>
      </c>
      <c r="M13" s="57">
        <f>Data!M8</f>
        <v>651</v>
      </c>
      <c r="N13" s="57">
        <f>SUM(B13:M13)</f>
        <v>6832</v>
      </c>
      <c r="P13" t="s">
        <v>101</v>
      </c>
      <c r="Q13" s="58">
        <f>($N$13*(1+Q4))</f>
        <v>4782.3999999999996</v>
      </c>
      <c r="R13" s="58">
        <f t="shared" ref="R13:AB13" si="4">($N$13*(1+R5))</f>
        <v>2732.8</v>
      </c>
      <c r="S13" s="58">
        <f t="shared" si="4"/>
        <v>683.20000000000061</v>
      </c>
      <c r="T13" s="58">
        <f t="shared" si="4"/>
        <v>-1366.3999999999996</v>
      </c>
      <c r="U13" s="58">
        <f t="shared" si="4"/>
        <v>-3416</v>
      </c>
      <c r="V13" s="58">
        <f t="shared" si="4"/>
        <v>-5465.6</v>
      </c>
      <c r="W13" s="58">
        <f t="shared" si="4"/>
        <v>-7515.2000000000007</v>
      </c>
      <c r="X13" s="58">
        <f t="shared" si="4"/>
        <v>-9564.7999999999993</v>
      </c>
      <c r="Y13" s="58">
        <f t="shared" si="4"/>
        <v>-11614.399999999998</v>
      </c>
      <c r="Z13" s="58">
        <f t="shared" si="4"/>
        <v>-13663.999999999996</v>
      </c>
      <c r="AA13" s="58">
        <f t="shared" si="4"/>
        <v>-15713.599999999995</v>
      </c>
      <c r="AB13" s="58">
        <f t="shared" si="4"/>
        <v>-17763.199999999993</v>
      </c>
      <c r="AD13" t="s">
        <v>133</v>
      </c>
    </row>
    <row r="14" spans="1:31">
      <c r="A14" t="s">
        <v>10</v>
      </c>
      <c r="B14" s="57">
        <f>Data!B9</f>
        <v>9294</v>
      </c>
      <c r="C14" s="57">
        <f>Data!C9</f>
        <v>10460</v>
      </c>
      <c r="D14" s="57">
        <f>Data!D9</f>
        <v>10574</v>
      </c>
      <c r="E14" s="57">
        <f>Data!E9</f>
        <v>10011</v>
      </c>
      <c r="F14" s="57">
        <f>Data!F9</f>
        <v>10707</v>
      </c>
      <c r="G14" s="57">
        <f>Data!G9</f>
        <v>9560</v>
      </c>
      <c r="H14" s="57">
        <f>Data!H9</f>
        <v>10218</v>
      </c>
      <c r="I14" s="57">
        <f>Data!I9</f>
        <v>9993</v>
      </c>
      <c r="J14" s="57">
        <f>Data!J9</f>
        <v>9495</v>
      </c>
      <c r="K14" s="57">
        <f>Data!K9</f>
        <v>9972</v>
      </c>
      <c r="L14" s="57">
        <f>Data!L9</f>
        <v>9656</v>
      </c>
      <c r="M14" s="57">
        <f>Data!M9</f>
        <v>10153</v>
      </c>
      <c r="N14" s="57">
        <f t="shared" ref="N14:N19" si="5">SUM(B14:M14)</f>
        <v>120093</v>
      </c>
      <c r="P14" t="s">
        <v>102</v>
      </c>
      <c r="Q14" s="58">
        <f>($N$14*(1+Q6))</f>
        <v>84065.099999999991</v>
      </c>
      <c r="R14" s="58">
        <f t="shared" ref="R14:AB14" si="6">($N$14*(1+R7))</f>
        <v>48037.200000000004</v>
      </c>
      <c r="S14" s="58">
        <f t="shared" si="6"/>
        <v>12009.30000000001</v>
      </c>
      <c r="T14" s="58">
        <f t="shared" si="6"/>
        <v>-24018.599999999995</v>
      </c>
      <c r="U14" s="58">
        <f t="shared" si="6"/>
        <v>-60046.5</v>
      </c>
      <c r="V14" s="58">
        <f t="shared" si="6"/>
        <v>-96074.400000000009</v>
      </c>
      <c r="W14" s="58">
        <f t="shared" si="6"/>
        <v>-132102.30000000002</v>
      </c>
      <c r="X14" s="58">
        <f t="shared" si="6"/>
        <v>-168130.19999999998</v>
      </c>
      <c r="Y14" s="58">
        <f t="shared" si="6"/>
        <v>-204158.09999999998</v>
      </c>
      <c r="Z14" s="58">
        <f t="shared" si="6"/>
        <v>-240185.99999999994</v>
      </c>
      <c r="AA14" s="58">
        <f t="shared" si="6"/>
        <v>-276213.89999999991</v>
      </c>
      <c r="AB14" s="58">
        <f t="shared" si="6"/>
        <v>-312241.79999999993</v>
      </c>
      <c r="AD14" s="3" t="s">
        <v>134</v>
      </c>
    </row>
    <row r="15" spans="1:31">
      <c r="A15" s="56" t="s">
        <v>94</v>
      </c>
      <c r="B15" s="58">
        <f>SUM(Data!B10:B12)</f>
        <v>191.91666666666666</v>
      </c>
      <c r="C15" s="58">
        <f>SUM(Data!C10:C12)</f>
        <v>230.91666666666666</v>
      </c>
      <c r="D15" s="58">
        <f>SUM(Data!D10:D12)</f>
        <v>207.91666666666666</v>
      </c>
      <c r="E15" s="58">
        <f>SUM(Data!E10:E12)</f>
        <v>196.91666666666666</v>
      </c>
      <c r="F15" s="58">
        <f>SUM(Data!F10:F12)</f>
        <v>238.91666666666666</v>
      </c>
      <c r="G15" s="58">
        <f>SUM(Data!G10:G12)</f>
        <v>207.91666666666666</v>
      </c>
      <c r="H15" s="58">
        <f>SUM(Data!H10:H12)</f>
        <v>200.91666666666666</v>
      </c>
      <c r="I15" s="58">
        <f>SUM(Data!I10:I12)</f>
        <v>218.91666666666666</v>
      </c>
      <c r="J15" s="58">
        <f>SUM(Data!J10:J12)</f>
        <v>213.91666666666666</v>
      </c>
      <c r="K15" s="58">
        <f>SUM(Data!K10:K12)</f>
        <v>226.91666666666666</v>
      </c>
      <c r="L15" s="58">
        <f>SUM(Data!L10:L12)</f>
        <v>191.91666666666666</v>
      </c>
      <c r="M15" s="58">
        <f>SUM(Data!M10:M12)</f>
        <v>218.91666666666666</v>
      </c>
      <c r="N15" s="57">
        <f t="shared" si="5"/>
        <v>2546</v>
      </c>
      <c r="P15" t="s">
        <v>146</v>
      </c>
      <c r="Q15" s="58">
        <f>$N$15+((SUM($N$13:$N$14)-SUM(Q13:Q14))*$Q$9)</f>
        <v>2546</v>
      </c>
      <c r="R15" s="58">
        <f>$N$15+((SUM($N$13:$N$14)-SUM(R13:R14))*$Q$9)</f>
        <v>2546</v>
      </c>
      <c r="S15" s="58">
        <f t="shared" ref="S15:AB15" si="7">$N$15+((SUM($N$13:$N$14)-SUM(S13:S14))*$Q$9)</f>
        <v>2546</v>
      </c>
      <c r="T15" s="58">
        <f t="shared" si="7"/>
        <v>2546</v>
      </c>
      <c r="U15" s="58">
        <f t="shared" si="7"/>
        <v>2546</v>
      </c>
      <c r="V15" s="58">
        <f t="shared" si="7"/>
        <v>2546</v>
      </c>
      <c r="W15" s="58">
        <f t="shared" si="7"/>
        <v>2546</v>
      </c>
      <c r="X15" s="58">
        <f t="shared" si="7"/>
        <v>2546</v>
      </c>
      <c r="Y15" s="58">
        <f t="shared" si="7"/>
        <v>2546</v>
      </c>
      <c r="Z15" s="58">
        <f t="shared" si="7"/>
        <v>2546</v>
      </c>
      <c r="AA15" s="58">
        <f t="shared" si="7"/>
        <v>2546</v>
      </c>
      <c r="AB15" s="58">
        <f t="shared" si="7"/>
        <v>2546</v>
      </c>
      <c r="AD15" s="3" t="s">
        <v>135</v>
      </c>
    </row>
    <row r="16" spans="1:31">
      <c r="A16" s="56"/>
      <c r="B16" s="58"/>
      <c r="C16" s="58"/>
      <c r="D16" s="58"/>
      <c r="E16" s="58"/>
      <c r="F16" s="58"/>
      <c r="G16" s="58"/>
      <c r="H16" s="58"/>
      <c r="I16" s="58"/>
      <c r="J16" s="58"/>
      <c r="K16" s="58"/>
      <c r="L16" s="58"/>
      <c r="M16" s="58"/>
      <c r="N16" s="57"/>
      <c r="AD16" s="3" t="s">
        <v>136</v>
      </c>
    </row>
    <row r="17" spans="1:30">
      <c r="A17" s="68" t="s">
        <v>142</v>
      </c>
      <c r="B17" s="121">
        <f t="shared" ref="B17:M17" si="8">SUM(B13:B15)</f>
        <v>9895.9166666666661</v>
      </c>
      <c r="C17" s="121">
        <f t="shared" si="8"/>
        <v>11193.916666666666</v>
      </c>
      <c r="D17" s="121">
        <f t="shared" si="8"/>
        <v>11294.916666666666</v>
      </c>
      <c r="E17" s="121">
        <f t="shared" si="8"/>
        <v>10741.916666666666</v>
      </c>
      <c r="F17" s="121">
        <f t="shared" si="8"/>
        <v>11563.916666666666</v>
      </c>
      <c r="G17" s="121">
        <f t="shared" si="8"/>
        <v>10374.916666666666</v>
      </c>
      <c r="H17" s="121">
        <f t="shared" si="8"/>
        <v>11055.916666666666</v>
      </c>
      <c r="I17" s="121">
        <f t="shared" si="8"/>
        <v>10733.916666666666</v>
      </c>
      <c r="J17" s="121">
        <f t="shared" si="8"/>
        <v>10252.916666666666</v>
      </c>
      <c r="K17" s="121">
        <f t="shared" si="8"/>
        <v>10846.916666666666</v>
      </c>
      <c r="L17" s="121">
        <f t="shared" si="8"/>
        <v>10492.916666666666</v>
      </c>
      <c r="M17" s="121">
        <f t="shared" si="8"/>
        <v>11022.916666666666</v>
      </c>
      <c r="N17" s="122">
        <f>SUM(B17:M17)</f>
        <v>129471.00000000001</v>
      </c>
      <c r="P17" s="115" t="s">
        <v>147</v>
      </c>
      <c r="Q17" s="121">
        <f>SUM(Q13:Q15)</f>
        <v>91393.499999999985</v>
      </c>
      <c r="R17" s="121">
        <f t="shared" ref="R17:AB17" si="9">SUM(R13:R15)</f>
        <v>53316.000000000007</v>
      </c>
      <c r="S17" s="121">
        <f t="shared" si="9"/>
        <v>15238.500000000011</v>
      </c>
      <c r="T17" s="121">
        <f t="shared" si="9"/>
        <v>-22838.999999999993</v>
      </c>
      <c r="U17" s="121">
        <f t="shared" si="9"/>
        <v>-60916.5</v>
      </c>
      <c r="V17" s="121">
        <f t="shared" si="9"/>
        <v>-98994.000000000015</v>
      </c>
      <c r="W17" s="121">
        <f t="shared" si="9"/>
        <v>-137071.50000000003</v>
      </c>
      <c r="X17" s="121">
        <f t="shared" si="9"/>
        <v>-175148.99999999997</v>
      </c>
      <c r="Y17" s="121">
        <f t="shared" si="9"/>
        <v>-213226.49999999997</v>
      </c>
      <c r="Z17" s="121">
        <f t="shared" si="9"/>
        <v>-251303.99999999994</v>
      </c>
      <c r="AA17" s="121">
        <f t="shared" si="9"/>
        <v>-289381.49999999988</v>
      </c>
      <c r="AB17" s="121">
        <f t="shared" si="9"/>
        <v>-327458.99999999994</v>
      </c>
      <c r="AC17" s="58"/>
      <c r="AD17" s="3" t="s">
        <v>137</v>
      </c>
    </row>
    <row r="18" spans="1:30">
      <c r="B18" s="59"/>
      <c r="C18" s="59"/>
      <c r="D18" s="59"/>
      <c r="E18" s="59"/>
      <c r="F18" s="59"/>
      <c r="G18" s="59"/>
      <c r="H18" s="59"/>
      <c r="I18" s="59"/>
      <c r="J18" s="59"/>
      <c r="K18" s="59"/>
      <c r="L18" s="59"/>
      <c r="M18" s="59"/>
      <c r="N18" s="59"/>
      <c r="Q18" s="58"/>
      <c r="R18" s="58"/>
      <c r="S18" s="58"/>
      <c r="T18" s="58"/>
      <c r="U18" s="58"/>
      <c r="V18" s="58"/>
      <c r="W18" s="58"/>
      <c r="X18" s="58"/>
      <c r="Y18" s="58"/>
      <c r="Z18" s="58"/>
      <c r="AA18" s="58"/>
      <c r="AB18" s="58"/>
    </row>
    <row r="19" spans="1:30">
      <c r="A19" s="56" t="s">
        <v>31</v>
      </c>
      <c r="B19" s="58">
        <f>Data!B17</f>
        <v>12179</v>
      </c>
      <c r="C19" s="58">
        <f>Data!C17</f>
        <v>13416</v>
      </c>
      <c r="D19" s="58">
        <f>Data!D17</f>
        <v>13746</v>
      </c>
      <c r="E19" s="58">
        <f>Data!E17</f>
        <v>13022</v>
      </c>
      <c r="F19" s="58">
        <f>Data!F17</f>
        <v>13809</v>
      </c>
      <c r="G19" s="58">
        <f>Data!G17</f>
        <v>13108</v>
      </c>
      <c r="H19" s="58">
        <f>Data!H17</f>
        <v>13157</v>
      </c>
      <c r="I19" s="58">
        <f>Data!I17</f>
        <v>13041</v>
      </c>
      <c r="J19" s="58">
        <f>Data!J17</f>
        <v>13180</v>
      </c>
      <c r="K19" s="58">
        <f>Data!K17</f>
        <v>13390</v>
      </c>
      <c r="L19" s="58">
        <f>Data!L17</f>
        <v>12959</v>
      </c>
      <c r="M19" s="58">
        <f>Data!M17</f>
        <v>13442</v>
      </c>
      <c r="N19" s="57">
        <f t="shared" si="5"/>
        <v>158449</v>
      </c>
      <c r="P19" t="s">
        <v>143</v>
      </c>
      <c r="Q19" s="58">
        <f t="shared" ref="Q19:AB19" si="10">$N$19+((SUM($N$13:$N$14)-SUM(Q13:Q14))*$Q$10)</f>
        <v>158449</v>
      </c>
      <c r="R19" s="58">
        <f>$N$19+((SUM($N$13:$N$14)-SUM(R13:R14))*$Q$10)</f>
        <v>158449</v>
      </c>
      <c r="S19" s="58">
        <f>$N$19+((SUM($N$13:$N$14)-SUM(S13:S14))*$Q$10)</f>
        <v>158449</v>
      </c>
      <c r="T19" s="58">
        <f t="shared" si="10"/>
        <v>158449</v>
      </c>
      <c r="U19" s="58">
        <f t="shared" si="10"/>
        <v>158449</v>
      </c>
      <c r="V19" s="58">
        <f t="shared" si="10"/>
        <v>158449</v>
      </c>
      <c r="W19" s="58">
        <f t="shared" si="10"/>
        <v>158449</v>
      </c>
      <c r="X19" s="58">
        <f t="shared" si="10"/>
        <v>158449</v>
      </c>
      <c r="Y19" s="58">
        <f t="shared" si="10"/>
        <v>158449</v>
      </c>
      <c r="Z19" s="58">
        <f t="shared" si="10"/>
        <v>158449</v>
      </c>
      <c r="AA19" s="58">
        <f t="shared" si="10"/>
        <v>158449</v>
      </c>
      <c r="AB19" s="58">
        <f t="shared" si="10"/>
        <v>158449</v>
      </c>
      <c r="AD19" s="3" t="s">
        <v>138</v>
      </c>
    </row>
    <row r="20" spans="1:30">
      <c r="A20" s="56"/>
      <c r="B20" s="58"/>
      <c r="C20" s="58"/>
      <c r="D20" s="58"/>
      <c r="E20" s="58"/>
      <c r="F20" s="58"/>
      <c r="G20" s="58"/>
      <c r="H20" s="58"/>
      <c r="I20" s="58"/>
      <c r="J20" s="58"/>
      <c r="K20" s="58"/>
      <c r="L20" s="58"/>
      <c r="M20" s="58"/>
      <c r="N20" s="57"/>
      <c r="Q20" s="58"/>
      <c r="R20" s="58"/>
      <c r="S20" s="58"/>
      <c r="T20" s="58"/>
      <c r="U20" s="58"/>
      <c r="V20" s="58"/>
      <c r="W20" s="58"/>
      <c r="X20" s="58"/>
      <c r="Y20" s="58"/>
      <c r="Z20" s="58"/>
      <c r="AA20" s="58"/>
      <c r="AB20" s="58"/>
    </row>
    <row r="21" spans="1:30" ht="15" thickBot="1">
      <c r="A21" s="123" t="s">
        <v>95</v>
      </c>
      <c r="B21" s="124">
        <f>B17+B19</f>
        <v>22074.916666666664</v>
      </c>
      <c r="C21" s="124">
        <f t="shared" ref="C21:M21" si="11">C17+C19</f>
        <v>24609.916666666664</v>
      </c>
      <c r="D21" s="124">
        <f t="shared" si="11"/>
        <v>25040.916666666664</v>
      </c>
      <c r="E21" s="124">
        <f t="shared" si="11"/>
        <v>23763.916666666664</v>
      </c>
      <c r="F21" s="124">
        <f t="shared" si="11"/>
        <v>25372.916666666664</v>
      </c>
      <c r="G21" s="124">
        <f t="shared" si="11"/>
        <v>23482.916666666664</v>
      </c>
      <c r="H21" s="124">
        <f t="shared" si="11"/>
        <v>24212.916666666664</v>
      </c>
      <c r="I21" s="124">
        <f t="shared" si="11"/>
        <v>23774.916666666664</v>
      </c>
      <c r="J21" s="124">
        <f t="shared" si="11"/>
        <v>23432.916666666664</v>
      </c>
      <c r="K21" s="124">
        <f t="shared" si="11"/>
        <v>24236.916666666664</v>
      </c>
      <c r="L21" s="124">
        <f t="shared" si="11"/>
        <v>23451.916666666664</v>
      </c>
      <c r="M21" s="124">
        <f t="shared" si="11"/>
        <v>24464.916666666664</v>
      </c>
      <c r="N21" s="124">
        <f>SUM(B21:M21)</f>
        <v>287919.99999999994</v>
      </c>
      <c r="P21" s="126" t="s">
        <v>152</v>
      </c>
      <c r="Q21" s="124">
        <f>Q17+Q19</f>
        <v>249842.5</v>
      </c>
      <c r="R21" s="124">
        <f t="shared" ref="R21:AB21" si="12">R17+R19</f>
        <v>211765</v>
      </c>
      <c r="S21" s="124">
        <f t="shared" si="12"/>
        <v>173687.5</v>
      </c>
      <c r="T21" s="124">
        <f t="shared" si="12"/>
        <v>135610</v>
      </c>
      <c r="U21" s="124">
        <f t="shared" si="12"/>
        <v>97532.5</v>
      </c>
      <c r="V21" s="124">
        <f t="shared" si="12"/>
        <v>59454.999999999985</v>
      </c>
      <c r="W21" s="124">
        <f t="shared" si="12"/>
        <v>21377.499999999971</v>
      </c>
      <c r="X21" s="124">
        <f t="shared" si="12"/>
        <v>-16699.999999999971</v>
      </c>
      <c r="Y21" s="124">
        <f t="shared" si="12"/>
        <v>-54777.499999999971</v>
      </c>
      <c r="Z21" s="124">
        <f t="shared" si="12"/>
        <v>-92854.999999999942</v>
      </c>
      <c r="AA21" s="124">
        <f t="shared" si="12"/>
        <v>-130932.49999999988</v>
      </c>
      <c r="AB21" s="124">
        <f t="shared" si="12"/>
        <v>-169009.99999999994</v>
      </c>
    </row>
    <row r="22" spans="1:30">
      <c r="A22" s="65"/>
      <c r="B22" s="125"/>
      <c r="C22" s="125"/>
      <c r="D22" s="125"/>
      <c r="E22" s="125"/>
      <c r="F22" s="125"/>
      <c r="G22" s="125"/>
      <c r="H22" s="125"/>
      <c r="I22" s="125"/>
      <c r="J22" s="125"/>
      <c r="K22" s="125"/>
      <c r="L22" s="125"/>
      <c r="M22" s="125"/>
      <c r="N22" s="125"/>
      <c r="Q22" s="3"/>
      <c r="R22" s="3"/>
      <c r="S22" s="3"/>
      <c r="T22" s="3"/>
      <c r="U22" s="3"/>
      <c r="V22" s="3"/>
      <c r="W22" s="3"/>
      <c r="X22" s="3"/>
      <c r="Y22" s="3"/>
      <c r="Z22" s="3"/>
      <c r="AA22" s="3"/>
      <c r="AB22" s="3"/>
    </row>
    <row r="23" spans="1:30">
      <c r="Q23" s="3"/>
      <c r="R23" s="3"/>
      <c r="S23" s="3"/>
      <c r="T23" s="3"/>
      <c r="U23" s="3"/>
      <c r="V23" s="3"/>
      <c r="W23" s="3"/>
      <c r="X23" s="3"/>
      <c r="Y23" s="3"/>
      <c r="Z23" s="3"/>
      <c r="AA23" s="3"/>
      <c r="AB23" s="3"/>
    </row>
    <row r="24" spans="1:30">
      <c r="A24" t="s">
        <v>23</v>
      </c>
      <c r="B24" s="54">
        <v>44927</v>
      </c>
      <c r="C24" s="54">
        <v>44958</v>
      </c>
      <c r="D24" s="54">
        <v>44986</v>
      </c>
      <c r="E24" s="54">
        <v>45017</v>
      </c>
      <c r="F24" s="54">
        <v>45047</v>
      </c>
      <c r="G24" s="54">
        <v>45078</v>
      </c>
      <c r="H24" s="54">
        <v>45108</v>
      </c>
      <c r="I24" s="54">
        <v>45139</v>
      </c>
      <c r="J24" s="54">
        <v>45170</v>
      </c>
      <c r="K24" s="54">
        <v>45200</v>
      </c>
      <c r="L24" s="54">
        <v>45231</v>
      </c>
      <c r="M24" s="54">
        <v>45261</v>
      </c>
      <c r="N24" s="55" t="s">
        <v>32</v>
      </c>
      <c r="O24" s="77"/>
      <c r="P24" s="24" t="s">
        <v>149</v>
      </c>
      <c r="Q24" s="8"/>
      <c r="R24" s="8"/>
      <c r="S24" s="8"/>
      <c r="T24" s="8"/>
      <c r="U24" s="8"/>
      <c r="V24" s="8"/>
      <c r="W24" s="8"/>
      <c r="X24" s="8"/>
      <c r="Y24" s="8"/>
      <c r="Z24" s="8"/>
      <c r="AA24" s="8"/>
      <c r="AB24" s="8"/>
    </row>
    <row r="25" spans="1:30">
      <c r="A25" t="s">
        <v>9</v>
      </c>
      <c r="B25" s="9">
        <f>Data!N8</f>
        <v>2219849.21</v>
      </c>
      <c r="C25" s="9">
        <f>Data!O8</f>
        <v>2820649.9699999993</v>
      </c>
      <c r="D25" s="9">
        <f>Data!P8</f>
        <v>2986207.21</v>
      </c>
      <c r="E25" s="9">
        <f>Data!Q8</f>
        <v>2843119.4699999993</v>
      </c>
      <c r="F25" s="9">
        <f>Data!R8</f>
        <v>3980682.3300000005</v>
      </c>
      <c r="G25" s="9">
        <f>Data!S8</f>
        <v>3864977.6199999992</v>
      </c>
      <c r="H25" s="9">
        <f>Data!T8</f>
        <v>3645693.3499999996</v>
      </c>
      <c r="I25" s="9">
        <f>Data!U8</f>
        <v>3168290.3299999996</v>
      </c>
      <c r="J25" s="9">
        <f>Data!V8</f>
        <v>3257389.7600000002</v>
      </c>
      <c r="K25" s="9">
        <f>Data!W8</f>
        <v>3794735.2200000007</v>
      </c>
      <c r="L25" s="9">
        <f>Data!X8</f>
        <v>4197004.9700000007</v>
      </c>
      <c r="M25" s="9">
        <f>Data!Y8</f>
        <v>4223590.3899999997</v>
      </c>
      <c r="N25" s="9">
        <f>SUM(B25:M25)</f>
        <v>41002189.829999998</v>
      </c>
      <c r="P25" t="s">
        <v>107</v>
      </c>
      <c r="Q25" s="73">
        <f>$N$25*(1+Q4)</f>
        <v>28701532.880999997</v>
      </c>
      <c r="R25" s="73">
        <f>$N$25*(1+R5)</f>
        <v>16400875.932</v>
      </c>
      <c r="S25" s="73">
        <f>$N$25*(1+S5)</f>
        <v>4100218.9830000033</v>
      </c>
      <c r="T25" s="73">
        <f t="shared" ref="T25:AB25" si="13">$N$25*(1+T5)</f>
        <v>-8200437.9659999982</v>
      </c>
      <c r="U25" s="73">
        <f>$N$25*(1+U5)</f>
        <v>-20501094.914999999</v>
      </c>
      <c r="V25" s="73">
        <f t="shared" si="13"/>
        <v>-32801751.864</v>
      </c>
      <c r="W25" s="73">
        <f t="shared" si="13"/>
        <v>-45102408.813000001</v>
      </c>
      <c r="X25" s="73">
        <f t="shared" si="13"/>
        <v>-57403065.761999995</v>
      </c>
      <c r="Y25" s="73">
        <f t="shared" si="13"/>
        <v>-69703722.710999981</v>
      </c>
      <c r="Z25" s="73">
        <f t="shared" si="13"/>
        <v>-82004379.659999982</v>
      </c>
      <c r="AA25" s="73">
        <f t="shared" si="13"/>
        <v>-94305036.608999968</v>
      </c>
      <c r="AB25" s="73">
        <f t="shared" si="13"/>
        <v>-106605693.55799997</v>
      </c>
    </row>
    <row r="26" spans="1:30">
      <c r="A26" s="69" t="s">
        <v>98</v>
      </c>
      <c r="B26" s="111">
        <f t="shared" ref="B26:N26" si="14">B25/B13</f>
        <v>5414.2663658536585</v>
      </c>
      <c r="C26" s="111">
        <f t="shared" si="14"/>
        <v>5607.6540159045708</v>
      </c>
      <c r="D26" s="111">
        <f t="shared" si="14"/>
        <v>5821.0666861598438</v>
      </c>
      <c r="E26" s="111">
        <f t="shared" si="14"/>
        <v>5324.1937640449423</v>
      </c>
      <c r="F26" s="111">
        <f t="shared" si="14"/>
        <v>6441.2335436893209</v>
      </c>
      <c r="G26" s="111">
        <f t="shared" si="14"/>
        <v>6367.3436902800649</v>
      </c>
      <c r="H26" s="111">
        <f t="shared" si="14"/>
        <v>5723.2234693877544</v>
      </c>
      <c r="I26" s="111">
        <f t="shared" si="14"/>
        <v>6069.5217049808425</v>
      </c>
      <c r="J26" s="111">
        <f t="shared" si="14"/>
        <v>5987.8488235294126</v>
      </c>
      <c r="K26" s="111">
        <f t="shared" si="14"/>
        <v>5856.0728703703717</v>
      </c>
      <c r="L26" s="111">
        <f t="shared" si="14"/>
        <v>6506.9844496124042</v>
      </c>
      <c r="M26" s="111">
        <f t="shared" si="14"/>
        <v>6487.8500614439317</v>
      </c>
      <c r="N26" s="111">
        <f t="shared" si="14"/>
        <v>6001.4914856557371</v>
      </c>
      <c r="Q26" s="73"/>
      <c r="R26" s="73"/>
      <c r="S26" s="73"/>
      <c r="T26" s="73"/>
      <c r="U26" s="73"/>
      <c r="V26" s="73"/>
      <c r="W26" s="73"/>
      <c r="X26" s="73"/>
      <c r="Y26" s="73"/>
      <c r="Z26" s="73"/>
      <c r="AA26" s="73"/>
      <c r="AB26" s="73"/>
    </row>
    <row r="27" spans="1:30">
      <c r="A27" t="s">
        <v>10</v>
      </c>
      <c r="B27" s="9">
        <f>Data!N9</f>
        <v>50925918.000000007</v>
      </c>
      <c r="C27" s="9">
        <f>Data!O9</f>
        <v>55991655.689999998</v>
      </c>
      <c r="D27" s="9">
        <f>Data!P9</f>
        <v>57892344.359999999</v>
      </c>
      <c r="E27" s="9">
        <f>Data!Q9</f>
        <v>54799881.989999995</v>
      </c>
      <c r="F27" s="9">
        <f>Data!R9</f>
        <v>55427556.099999994</v>
      </c>
      <c r="G27" s="9">
        <f>Data!S9</f>
        <v>49859979.920000002</v>
      </c>
      <c r="H27" s="9">
        <f>Data!T9</f>
        <v>55890787.43</v>
      </c>
      <c r="I27" s="9">
        <f>Data!U9</f>
        <v>52229680.600000009</v>
      </c>
      <c r="J27" s="9">
        <f>Data!V9</f>
        <v>49871188.580000006</v>
      </c>
      <c r="K27" s="9">
        <f>Data!W9</f>
        <v>54361721.5</v>
      </c>
      <c r="L27" s="9">
        <f>Data!X9</f>
        <v>52962299.57</v>
      </c>
      <c r="M27" s="9">
        <f>Data!Y9</f>
        <v>59249774.32</v>
      </c>
      <c r="N27" s="9">
        <f>SUM(B27:M27)</f>
        <v>649462788.06000018</v>
      </c>
      <c r="P27" t="s">
        <v>108</v>
      </c>
      <c r="Q27" s="73">
        <f>$N$27*(1+Q6)</f>
        <v>454623951.64200008</v>
      </c>
      <c r="R27" s="73">
        <f>$N$27*(1+R7)</f>
        <v>259785115.2240001</v>
      </c>
      <c r="S27" s="73">
        <f>$N$27*(1+S7)</f>
        <v>64946278.806000076</v>
      </c>
      <c r="T27" s="73">
        <f t="shared" ref="T27:AB27" si="15">$N$27*(1+T7)</f>
        <v>-129892557.612</v>
      </c>
      <c r="U27" s="73">
        <f t="shared" si="15"/>
        <v>-324731394.03000009</v>
      </c>
      <c r="V27" s="73">
        <f t="shared" si="15"/>
        <v>-519570230.44800019</v>
      </c>
      <c r="W27" s="73">
        <f t="shared" si="15"/>
        <v>-714409066.86600029</v>
      </c>
      <c r="X27" s="73">
        <f t="shared" si="15"/>
        <v>-909247903.28400016</v>
      </c>
      <c r="Y27" s="73">
        <f t="shared" si="15"/>
        <v>-1104086739.7020001</v>
      </c>
      <c r="Z27" s="73">
        <f t="shared" si="15"/>
        <v>-1298925576.1200001</v>
      </c>
      <c r="AA27" s="73">
        <f t="shared" si="15"/>
        <v>-1493764412.5380001</v>
      </c>
      <c r="AB27" s="73">
        <f t="shared" si="15"/>
        <v>-1688603248.9559999</v>
      </c>
    </row>
    <row r="28" spans="1:30">
      <c r="A28" s="69" t="s">
        <v>98</v>
      </c>
      <c r="B28" s="111">
        <f t="shared" ref="B28:N28" si="16">B27/B14</f>
        <v>5479.4402840542298</v>
      </c>
      <c r="C28" s="111">
        <f t="shared" si="16"/>
        <v>5352.9307543021032</v>
      </c>
      <c r="D28" s="111">
        <f t="shared" si="16"/>
        <v>5474.9710951390198</v>
      </c>
      <c r="E28" s="111">
        <f t="shared" si="16"/>
        <v>5473.9668354809701</v>
      </c>
      <c r="F28" s="111">
        <f t="shared" si="16"/>
        <v>5176.7587652937327</v>
      </c>
      <c r="G28" s="111">
        <f t="shared" si="16"/>
        <v>5215.4790711297073</v>
      </c>
      <c r="H28" s="111">
        <f t="shared" si="16"/>
        <v>5469.8363114112353</v>
      </c>
      <c r="I28" s="111">
        <f t="shared" si="16"/>
        <v>5226.6266986890832</v>
      </c>
      <c r="J28" s="111">
        <f t="shared" si="16"/>
        <v>5252.3631995787264</v>
      </c>
      <c r="K28" s="111">
        <f t="shared" si="16"/>
        <v>5451.4361712795826</v>
      </c>
      <c r="L28" s="111">
        <f t="shared" si="16"/>
        <v>5484.9108916735713</v>
      </c>
      <c r="M28" s="111">
        <f t="shared" si="16"/>
        <v>5835.6913542795237</v>
      </c>
      <c r="N28" s="111">
        <f t="shared" si="16"/>
        <v>5407.9987015063343</v>
      </c>
      <c r="Q28" s="73"/>
      <c r="R28" s="73"/>
      <c r="S28" s="73"/>
      <c r="T28" s="73"/>
      <c r="U28" s="73"/>
      <c r="V28" s="73"/>
      <c r="W28" s="73"/>
      <c r="X28" s="73"/>
      <c r="Y28" s="73"/>
      <c r="Z28" s="73"/>
      <c r="AA28" s="73"/>
      <c r="AB28" s="73"/>
    </row>
    <row r="29" spans="1:30">
      <c r="A29" s="56" t="s">
        <v>92</v>
      </c>
      <c r="B29" s="9">
        <f t="shared" ref="B29:M29" si="17">B25+B27</f>
        <v>53145767.210000008</v>
      </c>
      <c r="C29" s="9">
        <f t="shared" si="17"/>
        <v>58812305.659999996</v>
      </c>
      <c r="D29" s="9">
        <f t="shared" si="17"/>
        <v>60878551.57</v>
      </c>
      <c r="E29" s="9">
        <f t="shared" si="17"/>
        <v>57643001.459999993</v>
      </c>
      <c r="F29" s="9">
        <f t="shared" si="17"/>
        <v>59408238.429999992</v>
      </c>
      <c r="G29" s="9">
        <f t="shared" si="17"/>
        <v>53724957.539999999</v>
      </c>
      <c r="H29" s="9">
        <f t="shared" si="17"/>
        <v>59536480.780000001</v>
      </c>
      <c r="I29" s="9">
        <f t="shared" si="17"/>
        <v>55397970.930000007</v>
      </c>
      <c r="J29" s="9">
        <f t="shared" si="17"/>
        <v>53128578.340000004</v>
      </c>
      <c r="K29" s="9">
        <f t="shared" si="17"/>
        <v>58156456.719999999</v>
      </c>
      <c r="L29" s="9">
        <f t="shared" si="17"/>
        <v>57159304.539999999</v>
      </c>
      <c r="M29" s="9">
        <f t="shared" si="17"/>
        <v>63473364.710000001</v>
      </c>
      <c r="N29" s="9">
        <f>SUM(B29:M29)</f>
        <v>690464977.88999999</v>
      </c>
      <c r="P29" t="s">
        <v>148</v>
      </c>
      <c r="Q29" s="73">
        <f>Q25+Q27</f>
        <v>483325484.52300006</v>
      </c>
      <c r="R29" s="73">
        <f>R25+R27</f>
        <v>276185991.15600008</v>
      </c>
      <c r="S29" s="73">
        <f>S25+S27</f>
        <v>69046497.789000079</v>
      </c>
      <c r="T29" s="73">
        <f t="shared" ref="T29:AB29" si="18">T25+T27</f>
        <v>-138092995.57800001</v>
      </c>
      <c r="U29" s="73">
        <f t="shared" si="18"/>
        <v>-345232488.94500011</v>
      </c>
      <c r="V29" s="73">
        <f t="shared" si="18"/>
        <v>-552371982.31200016</v>
      </c>
      <c r="W29" s="73">
        <f t="shared" si="18"/>
        <v>-759511475.67900026</v>
      </c>
      <c r="X29" s="73">
        <f t="shared" si="18"/>
        <v>-966650969.04600012</v>
      </c>
      <c r="Y29" s="73">
        <f t="shared" si="18"/>
        <v>-1173790462.4130001</v>
      </c>
      <c r="Z29" s="73">
        <f t="shared" si="18"/>
        <v>-1380929955.7800002</v>
      </c>
      <c r="AA29" s="73">
        <f t="shared" si="18"/>
        <v>-1588069449.1470001</v>
      </c>
      <c r="AB29" s="73">
        <f t="shared" si="18"/>
        <v>-1795208942.5139999</v>
      </c>
      <c r="AD29" s="73"/>
    </row>
    <row r="30" spans="1:30">
      <c r="A30" s="69" t="s">
        <v>98</v>
      </c>
      <c r="B30" s="111">
        <f t="shared" ref="B30:N30" si="19">B29/SUM(B13:B14)</f>
        <v>5476.6866457131091</v>
      </c>
      <c r="C30" s="111">
        <f t="shared" si="19"/>
        <v>5364.6178655477515</v>
      </c>
      <c r="D30" s="111">
        <f t="shared" si="19"/>
        <v>5490.9850789212587</v>
      </c>
      <c r="E30" s="111">
        <f t="shared" si="19"/>
        <v>5466.3823100995724</v>
      </c>
      <c r="F30" s="111">
        <f t="shared" si="19"/>
        <v>5245.7605677704187</v>
      </c>
      <c r="G30" s="111">
        <f t="shared" si="19"/>
        <v>5284.2487990557684</v>
      </c>
      <c r="H30" s="111">
        <f t="shared" si="19"/>
        <v>5484.705737448181</v>
      </c>
      <c r="I30" s="111">
        <f t="shared" si="19"/>
        <v>5268.4708445078468</v>
      </c>
      <c r="J30" s="111">
        <f t="shared" si="19"/>
        <v>5292.2181830859654</v>
      </c>
      <c r="K30" s="111">
        <f t="shared" si="19"/>
        <v>5476.1258681732579</v>
      </c>
      <c r="L30" s="111">
        <f t="shared" si="19"/>
        <v>5548.9083137559455</v>
      </c>
      <c r="M30" s="111">
        <f t="shared" si="19"/>
        <v>5874.987477786005</v>
      </c>
      <c r="N30" s="111">
        <f t="shared" si="19"/>
        <v>5439.9446751231044</v>
      </c>
      <c r="Q30" s="73"/>
      <c r="R30" s="73"/>
      <c r="S30" s="73"/>
      <c r="T30" s="73"/>
      <c r="U30" s="73"/>
      <c r="V30" s="73"/>
      <c r="W30" s="73"/>
      <c r="X30" s="73"/>
      <c r="Y30" s="73"/>
      <c r="Z30" s="73"/>
      <c r="AA30" s="73"/>
      <c r="AB30" s="73"/>
    </row>
    <row r="31" spans="1:30">
      <c r="A31" s="56" t="s">
        <v>99</v>
      </c>
      <c r="B31" s="9">
        <f>Data!N10+Data!N11+Data!N12</f>
        <v>713375.15999999992</v>
      </c>
      <c r="C31" s="9">
        <f>Data!O10+Data!O11+Data!O12</f>
        <v>726386.23</v>
      </c>
      <c r="D31" s="9">
        <f>Data!P10+Data!P11+Data!P12</f>
        <v>619898.36</v>
      </c>
      <c r="E31" s="9">
        <f>Data!Q10+Data!Q11+Data!Q12</f>
        <v>615397.53</v>
      </c>
      <c r="F31" s="9">
        <f>Data!R10+Data!R11+Data!R12</f>
        <v>683765.52</v>
      </c>
      <c r="G31" s="9">
        <f>Data!S10+Data!S11+Data!S12</f>
        <v>666795.44999999995</v>
      </c>
      <c r="H31" s="9">
        <f>Data!T10+Data!T11+Data!T12</f>
        <v>540283.34</v>
      </c>
      <c r="I31" s="9">
        <f>Data!U10+Data!U11+Data!U12</f>
        <v>718245.68</v>
      </c>
      <c r="J31" s="9">
        <f>Data!V10+Data!V11+Data!V12</f>
        <v>767065.69000000006</v>
      </c>
      <c r="K31" s="9">
        <f>Data!W10+Data!W11+Data!W12</f>
        <v>754788.19</v>
      </c>
      <c r="L31" s="9">
        <f>Data!X10+Data!X11+Data!X12</f>
        <v>602381.30000000005</v>
      </c>
      <c r="M31" s="9">
        <f>Data!Y10+Data!Y11+Data!Y12</f>
        <v>665219.62</v>
      </c>
      <c r="N31" s="9">
        <f>SUM(B31:M31)</f>
        <v>8073602.0700000003</v>
      </c>
      <c r="P31" t="s">
        <v>109</v>
      </c>
      <c r="Q31" s="73">
        <f>$N$31+(($N$29-Q29)*$Q$9)</f>
        <v>8073602.0700000003</v>
      </c>
      <c r="R31" s="73">
        <f>$N$31+(($N$29-R29)*$Q$9)</f>
        <v>8073602.0700000003</v>
      </c>
      <c r="S31" s="73">
        <f>$N$31+(($N$29-S29)*$Q$9)</f>
        <v>8073602.0700000003</v>
      </c>
      <c r="T31" s="73">
        <f t="shared" ref="T31:AB31" si="20">$N$31+(($N$29-T29)*$Q$9)</f>
        <v>8073602.0700000003</v>
      </c>
      <c r="U31" s="73">
        <f t="shared" si="20"/>
        <v>8073602.0700000003</v>
      </c>
      <c r="V31" s="73">
        <f t="shared" si="20"/>
        <v>8073602.0700000003</v>
      </c>
      <c r="W31" s="73">
        <f t="shared" si="20"/>
        <v>8073602.0700000003</v>
      </c>
      <c r="X31" s="73">
        <f t="shared" si="20"/>
        <v>8073602.0700000003</v>
      </c>
      <c r="Y31" s="73">
        <f t="shared" si="20"/>
        <v>8073602.0700000003</v>
      </c>
      <c r="Z31" s="73">
        <f t="shared" si="20"/>
        <v>8073602.0700000003</v>
      </c>
      <c r="AA31" s="73">
        <f t="shared" si="20"/>
        <v>8073602.0700000003</v>
      </c>
      <c r="AB31" s="73">
        <f t="shared" si="20"/>
        <v>8073602.0700000003</v>
      </c>
    </row>
    <row r="32" spans="1:30">
      <c r="A32" s="69" t="s">
        <v>98</v>
      </c>
      <c r="B32" s="111">
        <f t="shared" ref="B32:N32" si="21">B31/B15</f>
        <v>3717.1089535388619</v>
      </c>
      <c r="C32" s="111">
        <f t="shared" si="21"/>
        <v>3145.6639335979789</v>
      </c>
      <c r="D32" s="111">
        <f t="shared" si="21"/>
        <v>2981.4750781563125</v>
      </c>
      <c r="E32" s="111">
        <f t="shared" si="21"/>
        <v>3125.167312738045</v>
      </c>
      <c r="F32" s="111">
        <f t="shared" si="21"/>
        <v>2861.9414858737359</v>
      </c>
      <c r="G32" s="111">
        <f t="shared" si="21"/>
        <v>3207.0322244488975</v>
      </c>
      <c r="H32" s="111">
        <f t="shared" si="21"/>
        <v>2689.0916963915388</v>
      </c>
      <c r="I32" s="111">
        <f t="shared" si="21"/>
        <v>3280.9090826037309</v>
      </c>
      <c r="J32" s="111">
        <f t="shared" si="21"/>
        <v>3585.8154577327623</v>
      </c>
      <c r="K32" s="111">
        <f t="shared" si="21"/>
        <v>3326.2792067572527</v>
      </c>
      <c r="L32" s="111">
        <f t="shared" si="21"/>
        <v>3138.7649153278335</v>
      </c>
      <c r="M32" s="111">
        <f t="shared" si="21"/>
        <v>3038.6887856870958</v>
      </c>
      <c r="N32" s="111">
        <f t="shared" si="21"/>
        <v>3171.0927219167324</v>
      </c>
      <c r="Q32" s="73"/>
      <c r="R32" s="73"/>
      <c r="S32" s="73"/>
      <c r="T32" s="73"/>
      <c r="U32" s="73"/>
      <c r="V32" s="73"/>
      <c r="W32" s="73"/>
      <c r="X32" s="73"/>
      <c r="Y32" s="73"/>
      <c r="Z32" s="73"/>
      <c r="AA32" s="73"/>
      <c r="AB32" s="73"/>
    </row>
    <row r="33" spans="1:28">
      <c r="A33" s="69"/>
      <c r="B33" s="111"/>
      <c r="C33" s="111"/>
      <c r="D33" s="111"/>
      <c r="E33" s="111"/>
      <c r="F33" s="111"/>
      <c r="G33" s="111"/>
      <c r="H33" s="111"/>
      <c r="I33" s="111"/>
      <c r="J33" s="111"/>
      <c r="K33" s="111"/>
      <c r="L33" s="111"/>
      <c r="M33" s="111"/>
      <c r="N33" s="111"/>
      <c r="Q33" s="73"/>
      <c r="R33" s="73"/>
      <c r="S33" s="73"/>
      <c r="T33" s="73"/>
      <c r="U33" s="73"/>
      <c r="V33" s="73"/>
      <c r="W33" s="73"/>
      <c r="X33" s="73"/>
      <c r="Y33" s="73"/>
      <c r="Z33" s="73"/>
      <c r="AA33" s="73"/>
      <c r="AB33" s="73"/>
    </row>
    <row r="34" spans="1:28">
      <c r="A34" s="67" t="s">
        <v>141</v>
      </c>
      <c r="B34" s="120">
        <f>B29+B31</f>
        <v>53859142.370000005</v>
      </c>
      <c r="C34" s="120">
        <f t="shared" ref="C34:M34" si="22">C29+C31</f>
        <v>59538691.889999993</v>
      </c>
      <c r="D34" s="120">
        <f t="shared" si="22"/>
        <v>61498449.93</v>
      </c>
      <c r="E34" s="120">
        <f t="shared" si="22"/>
        <v>58258398.989999995</v>
      </c>
      <c r="F34" s="120">
        <f t="shared" si="22"/>
        <v>60092003.949999996</v>
      </c>
      <c r="G34" s="120">
        <f t="shared" si="22"/>
        <v>54391752.990000002</v>
      </c>
      <c r="H34" s="120">
        <f t="shared" si="22"/>
        <v>60076764.120000005</v>
      </c>
      <c r="I34" s="120">
        <f t="shared" si="22"/>
        <v>56116216.610000007</v>
      </c>
      <c r="J34" s="120">
        <f t="shared" si="22"/>
        <v>53895644.030000001</v>
      </c>
      <c r="K34" s="120">
        <f t="shared" si="22"/>
        <v>58911244.909999996</v>
      </c>
      <c r="L34" s="120">
        <f t="shared" si="22"/>
        <v>57761685.839999996</v>
      </c>
      <c r="M34" s="120">
        <f t="shared" si="22"/>
        <v>64138584.329999998</v>
      </c>
      <c r="N34" s="120">
        <f>SUM(B34:M34)</f>
        <v>698538579.96000004</v>
      </c>
      <c r="P34" s="115" t="s">
        <v>150</v>
      </c>
      <c r="Q34" s="127">
        <f>Q29+Q31</f>
        <v>491399086.59300005</v>
      </c>
      <c r="R34" s="127">
        <f>R29+R31</f>
        <v>284259593.22600007</v>
      </c>
      <c r="S34" s="127">
        <f>S29+S31</f>
        <v>77120099.859000087</v>
      </c>
      <c r="T34" s="127">
        <f t="shared" ref="T34:AB34" si="23">T29+T31</f>
        <v>-130019393.50800002</v>
      </c>
      <c r="U34" s="127">
        <f t="shared" si="23"/>
        <v>-337158886.87500012</v>
      </c>
      <c r="V34" s="127">
        <f t="shared" si="23"/>
        <v>-544298380.2420001</v>
      </c>
      <c r="W34" s="127">
        <f t="shared" si="23"/>
        <v>-751437873.60900021</v>
      </c>
      <c r="X34" s="127">
        <f t="shared" si="23"/>
        <v>-958577366.97600007</v>
      </c>
      <c r="Y34" s="127">
        <f t="shared" si="23"/>
        <v>-1165716860.3430002</v>
      </c>
      <c r="Z34" s="127">
        <f t="shared" si="23"/>
        <v>-1372856353.7100003</v>
      </c>
      <c r="AA34" s="127">
        <f t="shared" si="23"/>
        <v>-1579995847.0770001</v>
      </c>
      <c r="AB34" s="127">
        <f t="shared" si="23"/>
        <v>-1787135340.444</v>
      </c>
    </row>
    <row r="35" spans="1:28">
      <c r="A35" s="11"/>
      <c r="B35" s="8"/>
      <c r="C35" s="8"/>
      <c r="D35" s="8"/>
      <c r="E35" s="8"/>
      <c r="F35" s="8"/>
      <c r="G35" s="8"/>
      <c r="H35" s="8"/>
      <c r="I35" s="8"/>
      <c r="J35" s="8"/>
      <c r="K35" s="8"/>
      <c r="L35" s="8"/>
      <c r="M35" s="8"/>
      <c r="N35" s="8"/>
      <c r="Q35" s="73"/>
      <c r="R35" s="73"/>
      <c r="S35" s="73"/>
      <c r="T35" s="73"/>
      <c r="U35" s="73"/>
      <c r="V35" s="73"/>
      <c r="W35" s="73"/>
      <c r="X35" s="73"/>
      <c r="Y35" s="73"/>
      <c r="Z35" s="73"/>
      <c r="AA35" s="73"/>
      <c r="AB35" s="73"/>
    </row>
    <row r="36" spans="1:28">
      <c r="A36" s="56" t="s">
        <v>31</v>
      </c>
      <c r="B36" s="9">
        <f>Data!N17</f>
        <v>62012011.699999966</v>
      </c>
      <c r="C36" s="9">
        <f>Data!O17</f>
        <v>69647889.359999985</v>
      </c>
      <c r="D36" s="9">
        <f>Data!P17</f>
        <v>72851116.36999999</v>
      </c>
      <c r="E36" s="9">
        <f>Data!Q17</f>
        <v>68190434.539999992</v>
      </c>
      <c r="F36" s="9">
        <f>Data!R17</f>
        <v>71491940.550000012</v>
      </c>
      <c r="G36" s="9">
        <f>Data!S17</f>
        <v>68092474.149999991</v>
      </c>
      <c r="H36" s="9">
        <f>Data!T17</f>
        <v>69587515.700000003</v>
      </c>
      <c r="I36" s="9">
        <f>Data!U17</f>
        <v>69705694.549999997</v>
      </c>
      <c r="J36" s="9">
        <f>Data!V17</f>
        <v>69480508.840000004</v>
      </c>
      <c r="K36" s="9">
        <f>Data!W17</f>
        <v>74315681.099999994</v>
      </c>
      <c r="L36" s="9">
        <f>Data!X17</f>
        <v>71364232.189999968</v>
      </c>
      <c r="M36" s="9">
        <f>Data!Y17</f>
        <v>75828875.8699999</v>
      </c>
      <c r="N36" s="9">
        <f>SUM(B36:M36)</f>
        <v>842568374.91999972</v>
      </c>
      <c r="P36" t="s">
        <v>151</v>
      </c>
      <c r="Q36" s="73">
        <f>$N$36+(($N$29-Q29)*$Q$10)</f>
        <v>842568374.91999972</v>
      </c>
      <c r="R36" s="73">
        <f t="shared" ref="R36:AB36" si="24">$N$36+(($N$29-R29)*$Q$10)</f>
        <v>842568374.91999972</v>
      </c>
      <c r="S36" s="73">
        <f t="shared" si="24"/>
        <v>842568374.91999972</v>
      </c>
      <c r="T36" s="73">
        <f t="shared" si="24"/>
        <v>842568374.91999972</v>
      </c>
      <c r="U36" s="73">
        <f t="shared" si="24"/>
        <v>842568374.91999972</v>
      </c>
      <c r="V36" s="73">
        <f t="shared" si="24"/>
        <v>842568374.91999972</v>
      </c>
      <c r="W36" s="73">
        <f t="shared" si="24"/>
        <v>842568374.91999972</v>
      </c>
      <c r="X36" s="73">
        <f t="shared" si="24"/>
        <v>842568374.91999972</v>
      </c>
      <c r="Y36" s="73">
        <f t="shared" si="24"/>
        <v>842568374.91999972</v>
      </c>
      <c r="Z36" s="73">
        <f t="shared" si="24"/>
        <v>842568374.91999972</v>
      </c>
      <c r="AA36" s="73">
        <f t="shared" si="24"/>
        <v>842568374.91999972</v>
      </c>
      <c r="AB36" s="73">
        <f t="shared" si="24"/>
        <v>842568374.91999972</v>
      </c>
    </row>
    <row r="37" spans="1:28">
      <c r="A37" s="69" t="s">
        <v>98</v>
      </c>
      <c r="B37" s="111">
        <f t="shared" ref="B37:N37" si="25">B36/B19</f>
        <v>5091.7162082272735</v>
      </c>
      <c r="C37" s="111">
        <f t="shared" si="25"/>
        <v>5191.404991055455</v>
      </c>
      <c r="D37" s="111">
        <f t="shared" si="25"/>
        <v>5299.8047701149417</v>
      </c>
      <c r="E37" s="111">
        <f t="shared" si="25"/>
        <v>5236.556177238519</v>
      </c>
      <c r="F37" s="111">
        <f t="shared" si="25"/>
        <v>5177.1989680643064</v>
      </c>
      <c r="G37" s="111">
        <f t="shared" si="25"/>
        <v>5194.7264380530969</v>
      </c>
      <c r="H37" s="111">
        <f t="shared" si="25"/>
        <v>5289.0108459375242</v>
      </c>
      <c r="I37" s="111">
        <f t="shared" si="25"/>
        <v>5345.1188214094009</v>
      </c>
      <c r="J37" s="111">
        <f t="shared" si="25"/>
        <v>5271.6622792109256</v>
      </c>
      <c r="K37" s="111">
        <f t="shared" si="25"/>
        <v>5550.0882076176249</v>
      </c>
      <c r="L37" s="111">
        <f t="shared" si="25"/>
        <v>5506.9243143761068</v>
      </c>
      <c r="M37" s="111">
        <f t="shared" si="25"/>
        <v>5641.1899918166864</v>
      </c>
      <c r="N37" s="111">
        <f t="shared" si="25"/>
        <v>5317.5998265687995</v>
      </c>
      <c r="Q37" s="73"/>
      <c r="R37" s="73"/>
      <c r="S37" s="73"/>
      <c r="T37" s="73"/>
      <c r="U37" s="73"/>
      <c r="V37" s="73"/>
      <c r="W37" s="73"/>
      <c r="X37" s="73"/>
      <c r="Y37" s="73"/>
      <c r="Z37" s="73"/>
      <c r="AA37" s="73"/>
      <c r="AB37" s="73"/>
    </row>
    <row r="38" spans="1:28">
      <c r="A38" s="69"/>
      <c r="B38" s="111"/>
      <c r="C38" s="111"/>
      <c r="D38" s="111"/>
      <c r="E38" s="111"/>
      <c r="F38" s="111"/>
      <c r="G38" s="111"/>
      <c r="H38" s="111"/>
      <c r="I38" s="111"/>
      <c r="J38" s="111"/>
      <c r="K38" s="111"/>
      <c r="L38" s="111"/>
      <c r="M38" s="111"/>
      <c r="N38" s="111"/>
      <c r="Q38" s="73"/>
      <c r="R38" s="73"/>
      <c r="S38" s="73"/>
      <c r="T38" s="73"/>
      <c r="U38" s="73"/>
      <c r="V38" s="73"/>
      <c r="W38" s="73"/>
      <c r="X38" s="73"/>
      <c r="Y38" s="73"/>
      <c r="Z38" s="73"/>
      <c r="AA38" s="73"/>
      <c r="AB38" s="73"/>
    </row>
    <row r="39" spans="1:28" ht="15" thickBot="1">
      <c r="A39" s="118" t="s">
        <v>96</v>
      </c>
      <c r="B39" s="119">
        <f t="shared" ref="B39:M39" si="26">B29+B31+B36</f>
        <v>115871154.06999996</v>
      </c>
      <c r="C39" s="119">
        <f t="shared" si="26"/>
        <v>129186581.24999997</v>
      </c>
      <c r="D39" s="119">
        <f t="shared" si="26"/>
        <v>134349566.29999998</v>
      </c>
      <c r="E39" s="119">
        <f t="shared" si="26"/>
        <v>126448833.52999999</v>
      </c>
      <c r="F39" s="119">
        <f t="shared" si="26"/>
        <v>131583944.5</v>
      </c>
      <c r="G39" s="119">
        <f t="shared" si="26"/>
        <v>122484227.13999999</v>
      </c>
      <c r="H39" s="119">
        <f t="shared" si="26"/>
        <v>129664279.82000001</v>
      </c>
      <c r="I39" s="119">
        <f t="shared" si="26"/>
        <v>125821911.16</v>
      </c>
      <c r="J39" s="119">
        <f t="shared" si="26"/>
        <v>123376152.87</v>
      </c>
      <c r="K39" s="119">
        <f t="shared" si="26"/>
        <v>133226926.00999999</v>
      </c>
      <c r="L39" s="119">
        <f t="shared" si="26"/>
        <v>129125918.02999997</v>
      </c>
      <c r="M39" s="119">
        <f t="shared" si="26"/>
        <v>139967460.1999999</v>
      </c>
      <c r="N39" s="119">
        <f>SUM(B39:M39)</f>
        <v>1541106954.8799996</v>
      </c>
      <c r="P39" s="126" t="s">
        <v>110</v>
      </c>
      <c r="Q39" s="128">
        <f>Q34+Q36</f>
        <v>1333967461.5129998</v>
      </c>
      <c r="R39" s="128">
        <f>R34+R36</f>
        <v>1126827968.1459999</v>
      </c>
      <c r="S39" s="128">
        <f>S34+S36</f>
        <v>919688474.77899981</v>
      </c>
      <c r="T39" s="128">
        <f t="shared" ref="T39:AB39" si="27">T34+T36</f>
        <v>712548981.4119997</v>
      </c>
      <c r="U39" s="128">
        <f t="shared" si="27"/>
        <v>505409488.0449996</v>
      </c>
      <c r="V39" s="128">
        <f t="shared" si="27"/>
        <v>298269994.67799962</v>
      </c>
      <c r="W39" s="128">
        <f t="shared" si="27"/>
        <v>91130501.310999513</v>
      </c>
      <c r="X39" s="128">
        <f t="shared" si="27"/>
        <v>-116008992.05600035</v>
      </c>
      <c r="Y39" s="128">
        <f t="shared" si="27"/>
        <v>-323148485.42300045</v>
      </c>
      <c r="Z39" s="128">
        <f t="shared" si="27"/>
        <v>-530287978.79000056</v>
      </c>
      <c r="AA39" s="128">
        <f t="shared" si="27"/>
        <v>-737427472.15700042</v>
      </c>
      <c r="AB39" s="128">
        <f t="shared" si="27"/>
        <v>-944566965.52400029</v>
      </c>
    </row>
    <row r="40" spans="1:28">
      <c r="A40" s="69" t="s">
        <v>98</v>
      </c>
      <c r="B40" s="70">
        <f t="shared" ref="B40:N40" si="28">B39/B21</f>
        <v>5248.9962168222592</v>
      </c>
      <c r="C40" s="70">
        <f t="shared" si="28"/>
        <v>5249.3709344810177</v>
      </c>
      <c r="D40" s="70">
        <f t="shared" si="28"/>
        <v>5365.2016053725401</v>
      </c>
      <c r="E40" s="70">
        <f t="shared" si="28"/>
        <v>5321.0434670210789</v>
      </c>
      <c r="F40" s="70">
        <f t="shared" si="28"/>
        <v>5185.9999474505303</v>
      </c>
      <c r="G40" s="70">
        <f t="shared" si="28"/>
        <v>5215.8864624283606</v>
      </c>
      <c r="H40" s="70">
        <f t="shared" si="28"/>
        <v>5355.1697883016996</v>
      </c>
      <c r="I40" s="70">
        <f t="shared" si="28"/>
        <v>5292.2124995881513</v>
      </c>
      <c r="J40" s="70">
        <f t="shared" si="28"/>
        <v>5265.0788045306645</v>
      </c>
      <c r="K40" s="70">
        <f t="shared" si="28"/>
        <v>5496.8595156837191</v>
      </c>
      <c r="L40" s="70">
        <f t="shared" si="28"/>
        <v>5505.9857096257228</v>
      </c>
      <c r="M40" s="70">
        <f t="shared" si="28"/>
        <v>5721.1500904356199</v>
      </c>
      <c r="N40" s="70">
        <f t="shared" si="28"/>
        <v>5352.5526357321478</v>
      </c>
      <c r="Q40" s="8"/>
      <c r="R40" s="8"/>
      <c r="S40" s="8"/>
      <c r="T40" s="8"/>
      <c r="U40" s="8"/>
      <c r="V40" s="8"/>
      <c r="W40" s="8"/>
      <c r="X40" s="8"/>
      <c r="Y40" s="8"/>
      <c r="Z40" s="8"/>
      <c r="AA40" s="8"/>
      <c r="AB40" s="8"/>
    </row>
    <row r="41" spans="1:28">
      <c r="Q41" s="8"/>
      <c r="R41" s="8"/>
      <c r="S41" s="8"/>
      <c r="T41" s="8"/>
      <c r="U41" s="8"/>
      <c r="V41" s="8"/>
      <c r="W41" s="8"/>
      <c r="X41" s="8"/>
      <c r="Y41" s="8"/>
      <c r="Z41" s="8"/>
      <c r="AA41" s="8"/>
      <c r="AB41" s="8"/>
    </row>
    <row r="42" spans="1:28">
      <c r="A42" s="24" t="s">
        <v>103</v>
      </c>
      <c r="B42" s="54">
        <v>44927</v>
      </c>
      <c r="C42" s="54">
        <v>44958</v>
      </c>
      <c r="D42" s="54">
        <v>44986</v>
      </c>
      <c r="E42" s="54">
        <v>45017</v>
      </c>
      <c r="F42" s="54">
        <v>45047</v>
      </c>
      <c r="G42" s="54">
        <v>45078</v>
      </c>
      <c r="H42" s="54">
        <v>45108</v>
      </c>
      <c r="I42" s="54">
        <v>45139</v>
      </c>
      <c r="J42" s="54">
        <v>45170</v>
      </c>
      <c r="K42" s="54">
        <v>45200</v>
      </c>
      <c r="L42" s="54">
        <v>45231</v>
      </c>
      <c r="M42" s="54">
        <v>45261</v>
      </c>
      <c r="N42" s="55" t="s">
        <v>32</v>
      </c>
      <c r="P42" s="24" t="s">
        <v>158</v>
      </c>
      <c r="Q42" s="3"/>
      <c r="R42" s="3"/>
      <c r="S42" s="3"/>
      <c r="T42" s="3"/>
      <c r="U42" s="3"/>
      <c r="V42" s="3"/>
      <c r="W42" s="3"/>
      <c r="X42" s="3"/>
      <c r="Y42" s="3"/>
      <c r="Z42" s="3"/>
      <c r="AA42" s="3"/>
      <c r="AB42" s="3"/>
    </row>
    <row r="43" spans="1:28">
      <c r="A43" t="s">
        <v>9</v>
      </c>
      <c r="B43" s="4">
        <f>B25/B39</f>
        <v>1.9157910593165812E-2</v>
      </c>
      <c r="C43" s="4">
        <f t="shared" ref="C43:M43" si="29">C25/C39</f>
        <v>2.1833923792297892E-2</v>
      </c>
      <c r="D43" s="4">
        <f>D25/D39</f>
        <v>2.2227144398306854E-2</v>
      </c>
      <c r="E43" s="4">
        <f t="shared" si="29"/>
        <v>2.2484347151573124E-2</v>
      </c>
      <c r="F43" s="4">
        <f t="shared" si="29"/>
        <v>3.0252036790096384E-2</v>
      </c>
      <c r="G43" s="4">
        <f t="shared" si="29"/>
        <v>3.1554900661473033E-2</v>
      </c>
      <c r="H43" s="4">
        <f t="shared" si="29"/>
        <v>2.8116404572338289E-2</v>
      </c>
      <c r="I43" s="4">
        <f t="shared" si="29"/>
        <v>2.5180751911891397E-2</v>
      </c>
      <c r="J43" s="4">
        <f t="shared" si="29"/>
        <v>2.6402101899159341E-2</v>
      </c>
      <c r="K43" s="4">
        <f t="shared" si="29"/>
        <v>2.848324534422695E-2</v>
      </c>
      <c r="L43" s="4">
        <f t="shared" si="29"/>
        <v>3.2503195594124686E-2</v>
      </c>
      <c r="M43" s="4">
        <f t="shared" si="29"/>
        <v>3.0175516394774182E-2</v>
      </c>
      <c r="N43" s="4">
        <f>N25/N39</f>
        <v>2.6605674382406956E-2</v>
      </c>
      <c r="P43" t="s">
        <v>153</v>
      </c>
      <c r="Q43" s="6">
        <f>Q25/Q39</f>
        <v>2.1515916773896734E-2</v>
      </c>
      <c r="R43" s="6">
        <f t="shared" ref="R43:AB43" si="30">R25/R39</f>
        <v>1.4554906689958005E-2</v>
      </c>
      <c r="S43" s="6">
        <f t="shared" si="30"/>
        <v>4.4582693982169143E-3</v>
      </c>
      <c r="T43" s="6">
        <f t="shared" si="30"/>
        <v>-1.1508595450869729E-2</v>
      </c>
      <c r="U43" s="6">
        <f t="shared" si="30"/>
        <v>-4.0563336066960942E-2</v>
      </c>
      <c r="V43" s="6">
        <f t="shared" si="30"/>
        <v>-0.10997335450859368</v>
      </c>
      <c r="W43" s="6">
        <f t="shared" si="30"/>
        <v>-0.49492110944369522</v>
      </c>
      <c r="X43" s="6">
        <f t="shared" si="30"/>
        <v>0.49481565820596168</v>
      </c>
      <c r="Y43" s="6">
        <f t="shared" si="30"/>
        <v>0.21570183941836524</v>
      </c>
      <c r="Z43" s="6">
        <f t="shared" si="30"/>
        <v>0.15464121937501915</v>
      </c>
      <c r="AA43" s="6">
        <f t="shared" si="30"/>
        <v>0.12788381253705469</v>
      </c>
      <c r="AB43" s="6">
        <f t="shared" si="30"/>
        <v>0.11286197532735041</v>
      </c>
    </row>
    <row r="44" spans="1:28">
      <c r="A44" t="s">
        <v>10</v>
      </c>
      <c r="B44" s="4">
        <f>B27/B39</f>
        <v>0.43950471028565657</v>
      </c>
      <c r="C44" s="4">
        <f>C27/C39</f>
        <v>0.43341696287825565</v>
      </c>
      <c r="D44" s="4">
        <f t="shared" ref="D44:N44" si="31">D27/D39</f>
        <v>0.43090830848480383</v>
      </c>
      <c r="E44" s="4">
        <f t="shared" si="31"/>
        <v>0.43337593918570017</v>
      </c>
      <c r="F44" s="4">
        <f t="shared" si="31"/>
        <v>0.42123342867259916</v>
      </c>
      <c r="G44" s="4">
        <f t="shared" si="31"/>
        <v>0.40707265812282784</v>
      </c>
      <c r="H44" s="4">
        <f t="shared" si="31"/>
        <v>0.43104228479568629</v>
      </c>
      <c r="I44" s="4">
        <f t="shared" si="31"/>
        <v>0.41510798968537943</v>
      </c>
      <c r="J44" s="4">
        <f t="shared" si="31"/>
        <v>0.40422064896567728</v>
      </c>
      <c r="K44" s="4">
        <f t="shared" si="31"/>
        <v>0.40803854842315901</v>
      </c>
      <c r="L44" s="4">
        <f t="shared" si="31"/>
        <v>0.41016010091556682</v>
      </c>
      <c r="M44" s="4">
        <f t="shared" si="31"/>
        <v>0.42331106269512808</v>
      </c>
      <c r="N44" s="4">
        <f t="shared" si="31"/>
        <v>0.42142616124302124</v>
      </c>
      <c r="P44" t="s">
        <v>154</v>
      </c>
      <c r="Q44" s="6">
        <f>Q27/Q39</f>
        <v>0.34080587777333105</v>
      </c>
      <c r="R44" s="6">
        <f t="shared" ref="R44:AB44" si="32">R27/R39</f>
        <v>0.23054549813085617</v>
      </c>
      <c r="S44" s="6">
        <f t="shared" si="32"/>
        <v>7.0617693476703186E-2</v>
      </c>
      <c r="T44" s="6">
        <f t="shared" si="32"/>
        <v>-0.18229281214408952</v>
      </c>
      <c r="U44" s="6">
        <f t="shared" si="32"/>
        <v>-0.64251147180894896</v>
      </c>
      <c r="V44" s="6">
        <f t="shared" si="32"/>
        <v>-1.7419460211172346</v>
      </c>
      <c r="W44" s="6">
        <f t="shared" si="32"/>
        <v>-7.8394067473408118</v>
      </c>
      <c r="X44" s="6">
        <f t="shared" si="32"/>
        <v>7.8377364303370909</v>
      </c>
      <c r="Y44" s="6">
        <f t="shared" si="32"/>
        <v>3.4166545396514971</v>
      </c>
      <c r="Z44" s="6">
        <f t="shared" si="32"/>
        <v>2.4494720379742718</v>
      </c>
      <c r="AA44" s="6">
        <f t="shared" si="32"/>
        <v>2.0256424786680221</v>
      </c>
      <c r="AB44" s="6">
        <f t="shared" si="32"/>
        <v>1.7877009366077545</v>
      </c>
    </row>
    <row r="45" spans="1:28">
      <c r="A45" s="56" t="s">
        <v>92</v>
      </c>
      <c r="B45" s="4">
        <f>B43+B44</f>
        <v>0.45866262087882237</v>
      </c>
      <c r="C45" s="4">
        <f t="shared" ref="C45:M45" si="33">C43+C44</f>
        <v>0.45525088667055352</v>
      </c>
      <c r="D45" s="4">
        <f>D43+D44</f>
        <v>0.45313545288311069</v>
      </c>
      <c r="E45" s="4">
        <f t="shared" si="33"/>
        <v>0.45586028633727327</v>
      </c>
      <c r="F45" s="4">
        <f t="shared" si="33"/>
        <v>0.45148546546269552</v>
      </c>
      <c r="G45" s="4">
        <f t="shared" si="33"/>
        <v>0.43862755878430087</v>
      </c>
      <c r="H45" s="4">
        <f t="shared" si="33"/>
        <v>0.45915868936802456</v>
      </c>
      <c r="I45" s="4">
        <f t="shared" si="33"/>
        <v>0.44028874159727083</v>
      </c>
      <c r="J45" s="4">
        <f t="shared" si="33"/>
        <v>0.43062275086483659</v>
      </c>
      <c r="K45" s="4">
        <f t="shared" si="33"/>
        <v>0.43652179376738598</v>
      </c>
      <c r="L45" s="4">
        <f t="shared" si="33"/>
        <v>0.4426632965096915</v>
      </c>
      <c r="M45" s="4">
        <f t="shared" si="33"/>
        <v>0.45348657908990225</v>
      </c>
      <c r="N45" s="4">
        <f>N29/N39</f>
        <v>0.44803183562542809</v>
      </c>
      <c r="P45" s="24" t="s">
        <v>155</v>
      </c>
      <c r="Q45" s="129">
        <f>Q29/Q39</f>
        <v>0.36232179454722774</v>
      </c>
      <c r="R45" s="129">
        <f t="shared" ref="R45:AB45" si="34">R29/R39</f>
        <v>0.24510040482081419</v>
      </c>
      <c r="S45" s="129">
        <f t="shared" si="34"/>
        <v>7.5075962874920105E-2</v>
      </c>
      <c r="T45" s="129">
        <f t="shared" si="34"/>
        <v>-0.19380140759495926</v>
      </c>
      <c r="U45" s="129">
        <f t="shared" si="34"/>
        <v>-0.68307480787590991</v>
      </c>
      <c r="V45" s="129">
        <f t="shared" si="34"/>
        <v>-1.8519193756258283</v>
      </c>
      <c r="W45" s="129">
        <f t="shared" si="34"/>
        <v>-8.3343278567845065</v>
      </c>
      <c r="X45" s="129">
        <f t="shared" si="34"/>
        <v>8.3325520885430517</v>
      </c>
      <c r="Y45" s="129">
        <f t="shared" si="34"/>
        <v>3.6323563790698623</v>
      </c>
      <c r="Z45" s="129">
        <f t="shared" si="34"/>
        <v>2.6041132573492911</v>
      </c>
      <c r="AA45" s="129">
        <f t="shared" si="34"/>
        <v>2.1535262912050768</v>
      </c>
      <c r="AB45" s="129">
        <f t="shared" si="34"/>
        <v>1.9005629119351051</v>
      </c>
    </row>
    <row r="46" spans="1:28">
      <c r="A46" s="56" t="s">
        <v>99</v>
      </c>
      <c r="B46" s="4">
        <f t="shared" ref="B46:N46" si="35">B31/B39</f>
        <v>6.1566242756936418E-3</v>
      </c>
      <c r="C46" s="4">
        <f t="shared" si="35"/>
        <v>5.6227684251068466E-3</v>
      </c>
      <c r="D46" s="4">
        <f t="shared" si="35"/>
        <v>4.6140704214539772E-3</v>
      </c>
      <c r="E46" s="4">
        <f t="shared" si="35"/>
        <v>4.8667711106563667E-3</v>
      </c>
      <c r="F46" s="4">
        <f t="shared" si="35"/>
        <v>5.1964206012991201E-3</v>
      </c>
      <c r="G46" s="4">
        <f t="shared" si="35"/>
        <v>5.4439291129122283E-3</v>
      </c>
      <c r="H46" s="4">
        <f t="shared" si="35"/>
        <v>4.1667862633411566E-3</v>
      </c>
      <c r="I46" s="4">
        <f t="shared" si="35"/>
        <v>5.7084308557883148E-3</v>
      </c>
      <c r="J46" s="4">
        <f t="shared" si="35"/>
        <v>6.2172929869862949E-3</v>
      </c>
      <c r="K46" s="4">
        <f t="shared" si="35"/>
        <v>5.6654327515095982E-3</v>
      </c>
      <c r="L46" s="4">
        <f t="shared" si="35"/>
        <v>4.6650688660354626E-3</v>
      </c>
      <c r="M46" s="4">
        <f t="shared" si="35"/>
        <v>4.7526733645767791E-3</v>
      </c>
      <c r="N46" s="4">
        <f t="shared" si="35"/>
        <v>5.2388330637497269E-3</v>
      </c>
      <c r="P46" s="24" t="s">
        <v>156</v>
      </c>
      <c r="Q46" s="23">
        <f>Q31/Q39</f>
        <v>6.0523230910316484E-3</v>
      </c>
      <c r="R46" s="23">
        <f t="shared" ref="R46:AB46" si="36">R31/R39</f>
        <v>7.1648932208203111E-3</v>
      </c>
      <c r="S46" s="23">
        <f t="shared" si="36"/>
        <v>8.7786269931675268E-3</v>
      </c>
      <c r="T46" s="23">
        <f t="shared" si="36"/>
        <v>1.1330592395207987E-2</v>
      </c>
      <c r="U46" s="23">
        <f t="shared" si="36"/>
        <v>1.5974377729294151E-2</v>
      </c>
      <c r="V46" s="23">
        <f t="shared" si="36"/>
        <v>2.7068100090711231E-2</v>
      </c>
      <c r="W46" s="23">
        <f t="shared" si="36"/>
        <v>8.8593851167869206E-2</v>
      </c>
      <c r="X46" s="23">
        <f t="shared" si="36"/>
        <v>-6.9594623028038011E-2</v>
      </c>
      <c r="Y46" s="23">
        <f t="shared" si="36"/>
        <v>-2.4984186633063368E-2</v>
      </c>
      <c r="Z46" s="23">
        <f t="shared" si="36"/>
        <v>-1.5224938887775975E-2</v>
      </c>
      <c r="AA46" s="23">
        <f t="shared" si="36"/>
        <v>-1.0948333734278219E-2</v>
      </c>
      <c r="AB46" s="23">
        <f t="shared" si="36"/>
        <v>-8.5474109985639347E-3</v>
      </c>
    </row>
    <row r="47" spans="1:28">
      <c r="A47" s="56"/>
      <c r="B47" s="4"/>
      <c r="C47" s="4"/>
      <c r="D47" s="4"/>
      <c r="E47" s="4"/>
      <c r="F47" s="4"/>
      <c r="G47" s="4"/>
      <c r="H47" s="4"/>
      <c r="I47" s="4"/>
      <c r="J47" s="4"/>
      <c r="K47" s="4"/>
      <c r="L47" s="4"/>
      <c r="M47" s="4"/>
      <c r="N47" s="4"/>
      <c r="P47" s="24"/>
      <c r="Q47" s="23"/>
      <c r="R47" s="23"/>
      <c r="S47" s="23"/>
      <c r="T47" s="23"/>
      <c r="U47" s="23"/>
      <c r="V47" s="23"/>
      <c r="W47" s="23"/>
      <c r="X47" s="23"/>
      <c r="Y47" s="23"/>
      <c r="Z47" s="23"/>
      <c r="AA47" s="23"/>
      <c r="AB47" s="23"/>
    </row>
    <row r="48" spans="1:28" outlineLevel="1">
      <c r="A48" s="138" t="s">
        <v>167</v>
      </c>
      <c r="B48" s="139">
        <v>44927</v>
      </c>
      <c r="C48" s="139">
        <v>44958</v>
      </c>
      <c r="D48" s="139">
        <v>44986</v>
      </c>
      <c r="E48" s="139">
        <v>45017</v>
      </c>
      <c r="F48" s="139">
        <v>45047</v>
      </c>
      <c r="G48" s="139">
        <v>45078</v>
      </c>
      <c r="H48" s="139">
        <v>45108</v>
      </c>
      <c r="I48" s="139">
        <v>45139</v>
      </c>
      <c r="J48" s="139">
        <v>45170</v>
      </c>
      <c r="K48" s="139">
        <v>45200</v>
      </c>
      <c r="L48" s="139">
        <v>45231</v>
      </c>
      <c r="M48" s="139">
        <v>45261</v>
      </c>
      <c r="N48" s="140" t="s">
        <v>32</v>
      </c>
      <c r="P48" s="138" t="s">
        <v>168</v>
      </c>
      <c r="Q48" s="141"/>
      <c r="R48" s="141"/>
      <c r="S48" s="141"/>
      <c r="T48" s="141"/>
      <c r="U48" s="141"/>
      <c r="V48" s="141"/>
      <c r="W48" s="141"/>
      <c r="X48" s="141"/>
      <c r="Y48" s="141"/>
      <c r="Z48" s="141"/>
      <c r="AA48" s="141"/>
      <c r="AB48" s="141"/>
    </row>
    <row r="49" spans="1:28" outlineLevel="1">
      <c r="A49" s="142" t="s">
        <v>9</v>
      </c>
      <c r="B49" s="32">
        <f>B25/B34</f>
        <v>4.121582914837639E-2</v>
      </c>
      <c r="C49" s="32">
        <f t="shared" ref="C49:N49" si="37">C25/C34</f>
        <v>4.7375074602096695E-2</v>
      </c>
      <c r="D49" s="32">
        <f t="shared" si="37"/>
        <v>4.855743865738113E-2</v>
      </c>
      <c r="E49" s="32">
        <f t="shared" si="37"/>
        <v>4.8801881261584586E-2</v>
      </c>
      <c r="F49" s="32">
        <f t="shared" si="37"/>
        <v>6.6243128342202681E-2</v>
      </c>
      <c r="G49" s="32">
        <f t="shared" si="37"/>
        <v>7.1058155097714543E-2</v>
      </c>
      <c r="H49" s="32">
        <f t="shared" si="37"/>
        <v>6.0683916708928087E-2</v>
      </c>
      <c r="I49" s="32">
        <f t="shared" si="37"/>
        <v>5.6459442945328654E-2</v>
      </c>
      <c r="J49" s="32">
        <f t="shared" si="37"/>
        <v>6.043883172055306E-2</v>
      </c>
      <c r="K49" s="32">
        <f t="shared" si="37"/>
        <v>6.4414446270780745E-2</v>
      </c>
      <c r="L49" s="32">
        <f t="shared" si="37"/>
        <v>7.2660707681311693E-2</v>
      </c>
      <c r="M49" s="32">
        <f t="shared" si="37"/>
        <v>6.5851007379102211E-2</v>
      </c>
      <c r="N49" s="32">
        <f t="shared" si="37"/>
        <v>5.8697101357448114E-2</v>
      </c>
      <c r="P49" s="142" t="s">
        <v>9</v>
      </c>
      <c r="Q49" s="143">
        <f>Q25/Q34</f>
        <v>5.8407786388036093E-2</v>
      </c>
      <c r="R49" s="143">
        <f t="shared" ref="R49:AB49" si="38">R25/R34</f>
        <v>5.7696824743432719E-2</v>
      </c>
      <c r="S49" s="143">
        <f t="shared" si="38"/>
        <v>5.3166671081812646E-2</v>
      </c>
      <c r="T49" s="143">
        <f t="shared" si="38"/>
        <v>6.3070883079418688E-2</v>
      </c>
      <c r="U49" s="143">
        <f t="shared" si="38"/>
        <v>6.0805441330694252E-2</v>
      </c>
      <c r="V49" s="143">
        <f t="shared" si="38"/>
        <v>6.0264283442137079E-2</v>
      </c>
      <c r="W49" s="143">
        <f t="shared" si="38"/>
        <v>6.0021474026032903E-2</v>
      </c>
      <c r="X49" s="143">
        <f t="shared" si="38"/>
        <v>5.9883602241818004E-2</v>
      </c>
      <c r="Y49" s="143">
        <f t="shared" si="38"/>
        <v>5.9794728104464734E-2</v>
      </c>
      <c r="Z49" s="143">
        <f t="shared" si="38"/>
        <v>5.9732673005731263E-2</v>
      </c>
      <c r="AA49" s="143">
        <f t="shared" si="38"/>
        <v>5.9686888913958056E-2</v>
      </c>
      <c r="AB49" s="143">
        <f t="shared" si="38"/>
        <v>5.9651718113030321E-2</v>
      </c>
    </row>
    <row r="50" spans="1:28" outlineLevel="1">
      <c r="A50" s="142" t="s">
        <v>10</v>
      </c>
      <c r="B50" s="32">
        <f>B27/B34</f>
        <v>0.9455389699700486</v>
      </c>
      <c r="C50" s="32">
        <f t="shared" ref="C50:N50" si="39">C27/C34</f>
        <v>0.9404246870832621</v>
      </c>
      <c r="D50" s="32">
        <f t="shared" si="39"/>
        <v>0.94136265915474915</v>
      </c>
      <c r="E50" s="32">
        <f t="shared" si="39"/>
        <v>0.94063487737461426</v>
      </c>
      <c r="F50" s="32">
        <f t="shared" si="39"/>
        <v>0.92237822766101973</v>
      </c>
      <c r="G50" s="32">
        <f t="shared" si="39"/>
        <v>0.91668271712380422</v>
      </c>
      <c r="H50" s="32">
        <f t="shared" si="39"/>
        <v>0.93032286689677979</v>
      </c>
      <c r="I50" s="32">
        <f t="shared" si="39"/>
        <v>0.9307413035876797</v>
      </c>
      <c r="J50" s="32">
        <f t="shared" si="39"/>
        <v>0.92532874367806317</v>
      </c>
      <c r="K50" s="32">
        <f t="shared" si="39"/>
        <v>0.92277325972400681</v>
      </c>
      <c r="L50" s="32">
        <f t="shared" si="39"/>
        <v>0.91691055757454332</v>
      </c>
      <c r="M50" s="32">
        <f t="shared" si="39"/>
        <v>0.92377739451113328</v>
      </c>
      <c r="N50" s="32">
        <f t="shared" si="39"/>
        <v>0.92974505158639908</v>
      </c>
      <c r="P50" s="142" t="s">
        <v>10</v>
      </c>
      <c r="Q50" s="143">
        <f>Q27/Q34</f>
        <v>0.92516238643019932</v>
      </c>
      <c r="R50" s="143">
        <f t="shared" ref="R50:AB50" si="40">R27/R34</f>
        <v>0.91390096030095425</v>
      </c>
      <c r="S50" s="143">
        <f t="shared" si="40"/>
        <v>0.84214464095277886</v>
      </c>
      <c r="T50" s="143">
        <f t="shared" si="40"/>
        <v>0.99902448478970785</v>
      </c>
      <c r="U50" s="143">
        <f t="shared" si="40"/>
        <v>0.96314054492175538</v>
      </c>
      <c r="V50" s="143">
        <f t="shared" si="40"/>
        <v>0.95456876101118371</v>
      </c>
      <c r="W50" s="143">
        <f t="shared" si="40"/>
        <v>0.95072273032345544</v>
      </c>
      <c r="X50" s="143">
        <f t="shared" si="40"/>
        <v>0.94853888127192243</v>
      </c>
      <c r="Y50" s="143">
        <f t="shared" si="40"/>
        <v>0.94713114072754678</v>
      </c>
      <c r="Z50" s="143">
        <f t="shared" si="40"/>
        <v>0.94614820597201599</v>
      </c>
      <c r="AA50" s="143">
        <f t="shared" si="40"/>
        <v>0.94542299924488493</v>
      </c>
      <c r="AB50" s="143">
        <f t="shared" si="40"/>
        <v>0.944865903964766</v>
      </c>
    </row>
    <row r="51" spans="1:28" outlineLevel="1">
      <c r="A51" s="138" t="s">
        <v>92</v>
      </c>
      <c r="B51" s="141">
        <f>B29/B34</f>
        <v>0.98675479911842501</v>
      </c>
      <c r="C51" s="141">
        <f t="shared" ref="C51:N51" si="41">C29/C34</f>
        <v>0.98779976168535877</v>
      </c>
      <c r="D51" s="141">
        <f t="shared" si="41"/>
        <v>0.98992009781213031</v>
      </c>
      <c r="E51" s="141">
        <f t="shared" si="41"/>
        <v>0.98943675863619884</v>
      </c>
      <c r="F51" s="141">
        <f t="shared" si="41"/>
        <v>0.98862135600322243</v>
      </c>
      <c r="G51" s="141">
        <f t="shared" si="41"/>
        <v>0.98774087222151874</v>
      </c>
      <c r="H51" s="141">
        <f t="shared" si="41"/>
        <v>0.99100678360570793</v>
      </c>
      <c r="I51" s="141">
        <f t="shared" si="41"/>
        <v>0.98720074653300827</v>
      </c>
      <c r="J51" s="141">
        <f t="shared" si="41"/>
        <v>0.98576757539861615</v>
      </c>
      <c r="K51" s="141">
        <f t="shared" si="41"/>
        <v>0.98718770599478756</v>
      </c>
      <c r="L51" s="141">
        <f t="shared" si="41"/>
        <v>0.98957126525585504</v>
      </c>
      <c r="M51" s="141">
        <f t="shared" si="41"/>
        <v>0.98962840189023549</v>
      </c>
      <c r="N51" s="141">
        <f t="shared" si="41"/>
        <v>0.98844215294384685</v>
      </c>
      <c r="P51" s="138" t="s">
        <v>92</v>
      </c>
      <c r="Q51" s="141">
        <f>Q29/Q34</f>
        <v>0.98357017281823533</v>
      </c>
      <c r="R51" s="141">
        <f t="shared" ref="R51:AB51" si="42">R29/R34</f>
        <v>0.97159778504438687</v>
      </c>
      <c r="S51" s="141">
        <f t="shared" si="42"/>
        <v>0.89531131203459147</v>
      </c>
      <c r="T51" s="141">
        <f t="shared" si="42"/>
        <v>1.0620953678691265</v>
      </c>
      <c r="U51" s="141">
        <f t="shared" si="42"/>
        <v>1.0239459862524496</v>
      </c>
      <c r="V51" s="141">
        <f t="shared" si="42"/>
        <v>1.0148330444533207</v>
      </c>
      <c r="W51" s="141">
        <f t="shared" si="42"/>
        <v>1.0107442043494883</v>
      </c>
      <c r="X51" s="141">
        <f t="shared" si="42"/>
        <v>1.0084224835137403</v>
      </c>
      <c r="Y51" s="141">
        <f t="shared" si="42"/>
        <v>1.0069258688320115</v>
      </c>
      <c r="Z51" s="141">
        <f t="shared" si="42"/>
        <v>1.0058808789777474</v>
      </c>
      <c r="AA51" s="141">
        <f t="shared" si="42"/>
        <v>1.0051098881588429</v>
      </c>
      <c r="AB51" s="141">
        <f t="shared" si="42"/>
        <v>1.0045176220777963</v>
      </c>
    </row>
    <row r="52" spans="1:28" outlineLevel="1">
      <c r="A52" s="138" t="s">
        <v>24</v>
      </c>
      <c r="B52" s="141">
        <f>B31/B34</f>
        <v>1.3245200881575044E-2</v>
      </c>
      <c r="C52" s="141">
        <f t="shared" ref="C52:N52" si="43">C31/C34</f>
        <v>1.220023831464128E-2</v>
      </c>
      <c r="D52" s="141">
        <f t="shared" si="43"/>
        <v>1.0079902187869664E-2</v>
      </c>
      <c r="E52" s="141">
        <f t="shared" si="43"/>
        <v>1.0563241363801166E-2</v>
      </c>
      <c r="F52" s="141">
        <f t="shared" si="43"/>
        <v>1.1378643996777545E-2</v>
      </c>
      <c r="G52" s="141">
        <f t="shared" si="43"/>
        <v>1.2259127778481257E-2</v>
      </c>
      <c r="H52" s="141">
        <f t="shared" si="43"/>
        <v>8.9932163942920418E-3</v>
      </c>
      <c r="I52" s="141">
        <f t="shared" si="43"/>
        <v>1.2799253466991704E-2</v>
      </c>
      <c r="J52" s="141">
        <f t="shared" si="43"/>
        <v>1.4232424601383877E-2</v>
      </c>
      <c r="K52" s="141">
        <f t="shared" si="43"/>
        <v>1.2812294005212527E-2</v>
      </c>
      <c r="L52" s="141">
        <f t="shared" si="43"/>
        <v>1.0428734744145065E-2</v>
      </c>
      <c r="M52" s="141">
        <f t="shared" si="43"/>
        <v>1.0371598109764516E-2</v>
      </c>
      <c r="N52" s="141">
        <f t="shared" si="43"/>
        <v>1.1557847056153025E-2</v>
      </c>
      <c r="P52" s="138" t="s">
        <v>24</v>
      </c>
      <c r="Q52" s="141">
        <f>Q31/Q34</f>
        <v>1.6429827181764663E-2</v>
      </c>
      <c r="R52" s="141">
        <f t="shared" ref="R52:AB52" si="44">R31/R34</f>
        <v>2.8402214955613118E-2</v>
      </c>
      <c r="S52" s="141">
        <f t="shared" si="44"/>
        <v>0.10468868796540845</v>
      </c>
      <c r="T52" s="141">
        <f t="shared" si="44"/>
        <v>-6.2095367869126665E-2</v>
      </c>
      <c r="U52" s="141">
        <f t="shared" si="44"/>
        <v>-2.3945986252449713E-2</v>
      </c>
      <c r="V52" s="141">
        <f t="shared" si="44"/>
        <v>-1.4833044453320626E-2</v>
      </c>
      <c r="W52" s="141">
        <f t="shared" si="44"/>
        <v>-1.0744204349488222E-2</v>
      </c>
      <c r="X52" s="141">
        <f t="shared" si="44"/>
        <v>-8.4224835137403573E-3</v>
      </c>
      <c r="Y52" s="141">
        <f t="shared" si="44"/>
        <v>-6.9258688320115967E-3</v>
      </c>
      <c r="Z52" s="141">
        <f t="shared" si="44"/>
        <v>-5.8808789777473353E-3</v>
      </c>
      <c r="AA52" s="141">
        <f t="shared" si="44"/>
        <v>-5.1098881588430775E-3</v>
      </c>
      <c r="AB52" s="141">
        <f t="shared" si="44"/>
        <v>-4.5176220777964002E-3</v>
      </c>
    </row>
    <row r="53" spans="1:28">
      <c r="A53" s="56"/>
      <c r="B53" s="4"/>
      <c r="C53" s="4"/>
      <c r="D53" s="4"/>
      <c r="E53" s="4"/>
      <c r="F53" s="4"/>
      <c r="G53" s="4"/>
      <c r="H53" s="4"/>
      <c r="I53" s="4"/>
      <c r="J53" s="4"/>
      <c r="K53" s="4"/>
      <c r="L53" s="4"/>
      <c r="M53" s="4"/>
      <c r="N53" s="4"/>
    </row>
    <row r="54" spans="1:28">
      <c r="A54" s="56" t="s">
        <v>31</v>
      </c>
      <c r="B54" s="4">
        <f t="shared" ref="B54:N54" si="45">B36/B39</f>
        <v>0.53518075484548411</v>
      </c>
      <c r="C54" s="4">
        <f t="shared" si="45"/>
        <v>0.53912634490433964</v>
      </c>
      <c r="D54" s="4">
        <f t="shared" si="45"/>
        <v>0.54225047669543536</v>
      </c>
      <c r="E54" s="4">
        <f t="shared" si="45"/>
        <v>0.53927294255207037</v>
      </c>
      <c r="F54" s="4">
        <f t="shared" si="45"/>
        <v>0.54331811393600538</v>
      </c>
      <c r="G54" s="4">
        <f t="shared" si="45"/>
        <v>0.55592851210278693</v>
      </c>
      <c r="H54" s="4">
        <f t="shared" si="45"/>
        <v>0.53667452436863428</v>
      </c>
      <c r="I54" s="4">
        <f t="shared" si="45"/>
        <v>0.55400282754694086</v>
      </c>
      <c r="J54" s="4">
        <f t="shared" si="45"/>
        <v>0.56315995614817715</v>
      </c>
      <c r="K54" s="4">
        <f t="shared" si="45"/>
        <v>0.55781277348110447</v>
      </c>
      <c r="L54" s="4">
        <f t="shared" si="45"/>
        <v>0.55267163462427293</v>
      </c>
      <c r="M54" s="4">
        <f t="shared" si="45"/>
        <v>0.54176074754552095</v>
      </c>
      <c r="N54" s="4">
        <f t="shared" si="45"/>
        <v>0.54672933131082224</v>
      </c>
      <c r="P54" s="24" t="s">
        <v>151</v>
      </c>
      <c r="Q54" s="23">
        <f>Q36/Q39</f>
        <v>0.63162588236174055</v>
      </c>
      <c r="R54" s="23">
        <f t="shared" ref="R54:AB54" si="46">R36/R39</f>
        <v>0.74773470195836544</v>
      </c>
      <c r="S54" s="23">
        <f t="shared" si="46"/>
        <v>0.91614541013191242</v>
      </c>
      <c r="T54" s="23">
        <f t="shared" si="46"/>
        <v>1.1824708151997514</v>
      </c>
      <c r="U54" s="23">
        <f t="shared" si="46"/>
        <v>1.6671004301466159</v>
      </c>
      <c r="V54" s="23">
        <f t="shared" si="46"/>
        <v>2.8248512755351167</v>
      </c>
      <c r="W54" s="23">
        <f t="shared" si="46"/>
        <v>9.2457340056166366</v>
      </c>
      <c r="X54" s="23">
        <f t="shared" si="46"/>
        <v>-7.2629574655150142</v>
      </c>
      <c r="Y54" s="23">
        <f t="shared" si="46"/>
        <v>-2.6073721924367992</v>
      </c>
      <c r="Z54" s="23">
        <f t="shared" si="46"/>
        <v>-1.5888883184615155</v>
      </c>
      <c r="AA54" s="23">
        <f t="shared" si="46"/>
        <v>-1.1425779574707986</v>
      </c>
      <c r="AB54" s="23">
        <f t="shared" si="46"/>
        <v>-0.89201550093654114</v>
      </c>
    </row>
    <row r="55" spans="1:28">
      <c r="A55" s="56"/>
      <c r="B55" s="4"/>
      <c r="C55" s="4"/>
      <c r="D55" s="4"/>
      <c r="E55" s="4"/>
      <c r="F55" s="4"/>
      <c r="G55" s="4"/>
      <c r="H55" s="4"/>
      <c r="I55" s="4"/>
      <c r="J55" s="4"/>
      <c r="K55" s="4"/>
      <c r="L55" s="4"/>
      <c r="M55" s="4"/>
      <c r="N55" s="4"/>
      <c r="Q55" s="6"/>
      <c r="R55" s="6"/>
      <c r="S55" s="6"/>
      <c r="T55" s="6"/>
      <c r="U55" s="6"/>
      <c r="V55" s="6"/>
      <c r="W55" s="6"/>
      <c r="X55" s="6"/>
      <c r="Y55" s="6"/>
      <c r="Z55" s="6"/>
      <c r="AA55" s="6"/>
      <c r="AB55" s="6"/>
    </row>
    <row r="56" spans="1:28">
      <c r="A56" s="56" t="s">
        <v>70</v>
      </c>
      <c r="B56" s="23">
        <f t="shared" ref="B56:N56" si="47">B45+B46+B54</f>
        <v>1</v>
      </c>
      <c r="C56" s="23">
        <f t="shared" si="47"/>
        <v>1</v>
      </c>
      <c r="D56" s="23">
        <f t="shared" si="47"/>
        <v>1</v>
      </c>
      <c r="E56" s="23">
        <f t="shared" si="47"/>
        <v>1</v>
      </c>
      <c r="F56" s="23">
        <f t="shared" si="47"/>
        <v>1</v>
      </c>
      <c r="G56" s="23">
        <f t="shared" si="47"/>
        <v>1</v>
      </c>
      <c r="H56" s="23">
        <f t="shared" si="47"/>
        <v>1</v>
      </c>
      <c r="I56" s="23">
        <f t="shared" si="47"/>
        <v>1</v>
      </c>
      <c r="J56" s="23">
        <f t="shared" si="47"/>
        <v>1</v>
      </c>
      <c r="K56" s="23">
        <f t="shared" si="47"/>
        <v>1</v>
      </c>
      <c r="L56" s="23">
        <f t="shared" si="47"/>
        <v>0.99999999999999989</v>
      </c>
      <c r="M56" s="23">
        <f t="shared" si="47"/>
        <v>1</v>
      </c>
      <c r="N56" s="23">
        <f t="shared" si="47"/>
        <v>1</v>
      </c>
      <c r="P56" s="24" t="s">
        <v>157</v>
      </c>
      <c r="Q56" s="129">
        <f>Q45+Q46+Q54</f>
        <v>1</v>
      </c>
      <c r="R56" s="129">
        <f t="shared" ref="R56:AB56" si="48">R45+R46+R54</f>
        <v>1</v>
      </c>
      <c r="S56" s="129">
        <f t="shared" si="48"/>
        <v>1</v>
      </c>
      <c r="T56" s="129">
        <f t="shared" si="48"/>
        <v>1</v>
      </c>
      <c r="U56" s="129">
        <f t="shared" si="48"/>
        <v>1</v>
      </c>
      <c r="V56" s="129">
        <f t="shared" si="48"/>
        <v>0.99999999999999956</v>
      </c>
      <c r="W56" s="129">
        <f t="shared" si="48"/>
        <v>1</v>
      </c>
      <c r="X56" s="129">
        <f t="shared" si="48"/>
        <v>0.99999999999999911</v>
      </c>
      <c r="Y56" s="129">
        <f t="shared" si="48"/>
        <v>0.99999999999999956</v>
      </c>
      <c r="Z56" s="129">
        <f t="shared" si="48"/>
        <v>0.99999999999999978</v>
      </c>
      <c r="AA56" s="129">
        <f t="shared" si="48"/>
        <v>0.99999999999999978</v>
      </c>
      <c r="AB56" s="129">
        <f t="shared" si="48"/>
        <v>1</v>
      </c>
    </row>
    <row r="57" spans="1:28">
      <c r="Q57" s="5"/>
      <c r="R57" s="5"/>
      <c r="S57" s="5"/>
      <c r="T57" s="5"/>
      <c r="U57" s="5"/>
      <c r="V57" s="5"/>
      <c r="W57" s="5"/>
      <c r="X57" s="5"/>
      <c r="Y57" s="5"/>
      <c r="Z57" s="5"/>
      <c r="AA57" s="5"/>
      <c r="AB57" s="5"/>
    </row>
    <row r="58" spans="1:28">
      <c r="A58" s="64" t="s">
        <v>19</v>
      </c>
      <c r="B58" s="54">
        <v>44927</v>
      </c>
      <c r="C58" s="54">
        <v>44958</v>
      </c>
      <c r="D58" s="54">
        <v>44986</v>
      </c>
      <c r="E58" s="54">
        <v>45017</v>
      </c>
      <c r="F58" s="54">
        <v>45047</v>
      </c>
      <c r="G58" s="54">
        <v>45078</v>
      </c>
      <c r="H58" s="54">
        <v>45108</v>
      </c>
      <c r="I58" s="54">
        <v>45139</v>
      </c>
      <c r="J58" s="54">
        <v>45170</v>
      </c>
      <c r="K58" s="54">
        <v>45200</v>
      </c>
      <c r="L58" s="54">
        <v>45231</v>
      </c>
      <c r="M58" s="54">
        <v>45261</v>
      </c>
      <c r="N58" s="55" t="s">
        <v>32</v>
      </c>
      <c r="P58" s="64" t="s">
        <v>159</v>
      </c>
    </row>
    <row r="59" spans="1:28">
      <c r="A59" t="s">
        <v>9</v>
      </c>
      <c r="B59" s="60">
        <f>Data!Z8</f>
        <v>58761.80000000001</v>
      </c>
      <c r="C59" s="60">
        <f>Data!AA8</f>
        <v>75395.77</v>
      </c>
      <c r="D59" s="60">
        <f>Data!AB8</f>
        <v>78423.340000000011</v>
      </c>
      <c r="E59" s="60">
        <f>Data!AC8</f>
        <v>79148.10000000002</v>
      </c>
      <c r="F59" s="60">
        <f>Data!AD8</f>
        <v>107161.23999999999</v>
      </c>
      <c r="G59" s="60">
        <f>Data!AE8</f>
        <v>102147.75000000001</v>
      </c>
      <c r="H59" s="60">
        <f>Data!AF8</f>
        <v>102738.18</v>
      </c>
      <c r="I59" s="60">
        <f>Data!AG8</f>
        <v>86108.78</v>
      </c>
      <c r="J59" s="60">
        <f>Data!AH8</f>
        <v>89676.449999999983</v>
      </c>
      <c r="K59" s="60">
        <f>Data!AI8</f>
        <v>104228.91555999999</v>
      </c>
      <c r="L59" s="60">
        <f>Data!AJ8</f>
        <v>116485.70144999999</v>
      </c>
      <c r="M59" s="60">
        <f>Data!AK8</f>
        <v>116227.60998000001</v>
      </c>
      <c r="N59" s="61">
        <f>SUM(B59:M59)</f>
        <v>1116503.63699</v>
      </c>
      <c r="O59" s="62"/>
      <c r="P59" t="s">
        <v>111</v>
      </c>
      <c r="Q59" s="60">
        <f>((SUM($K$59:$M$59)/SUM($K$25:$M$25))*Q25)</f>
        <v>791690.27343268576</v>
      </c>
      <c r="R59" s="60">
        <f t="shared" ref="R59:AB59" si="49">((SUM($K$59:$M$59)/SUM($K$25:$M$25))*R25)</f>
        <v>452394.44196153479</v>
      </c>
      <c r="S59" s="60">
        <f t="shared" si="49"/>
        <v>113098.61049038378</v>
      </c>
      <c r="T59" s="60">
        <f t="shared" si="49"/>
        <v>-226197.22098076734</v>
      </c>
      <c r="U59" s="60">
        <f t="shared" si="49"/>
        <v>-565493.05245191848</v>
      </c>
      <c r="V59" s="60">
        <f t="shared" si="49"/>
        <v>-904788.88392306957</v>
      </c>
      <c r="W59" s="60">
        <f t="shared" si="49"/>
        <v>-1244084.7153942208</v>
      </c>
      <c r="X59" s="60">
        <f t="shared" si="49"/>
        <v>-1583380.5468653715</v>
      </c>
      <c r="Y59" s="60">
        <f t="shared" si="49"/>
        <v>-1922676.3783365223</v>
      </c>
      <c r="Z59" s="60">
        <f t="shared" si="49"/>
        <v>-2261972.2098076735</v>
      </c>
      <c r="AA59" s="60">
        <f t="shared" si="49"/>
        <v>-2601268.0412788242</v>
      </c>
      <c r="AB59" s="60">
        <f t="shared" si="49"/>
        <v>-2940563.8727499754</v>
      </c>
    </row>
    <row r="60" spans="1:28">
      <c r="A60" t="s">
        <v>10</v>
      </c>
      <c r="B60" s="60">
        <f>Data!Z9</f>
        <v>1170512.2000000004</v>
      </c>
      <c r="C60" s="60">
        <f>Data!AA9</f>
        <v>1200356.43</v>
      </c>
      <c r="D60" s="60">
        <f>Data!AB9</f>
        <v>1203251.1300000004</v>
      </c>
      <c r="E60" s="60">
        <f>Data!AC9</f>
        <v>1266192.7500000002</v>
      </c>
      <c r="F60" s="60">
        <f>Data!AD9</f>
        <v>1210817.5100000002</v>
      </c>
      <c r="G60" s="60">
        <f>Data!AE9</f>
        <v>1150494.3799999999</v>
      </c>
      <c r="H60" s="60">
        <f>Data!AF9</f>
        <v>1146867.99</v>
      </c>
      <c r="I60" s="60">
        <f>Data!AG9</f>
        <v>1180122.22</v>
      </c>
      <c r="J60" s="60">
        <f>Data!AH9</f>
        <v>1106144.68</v>
      </c>
      <c r="K60" s="60">
        <f>Data!AI9</f>
        <v>1193245.3407769999</v>
      </c>
      <c r="L60" s="60">
        <f>Data!AJ9</f>
        <v>1153404.3692139999</v>
      </c>
      <c r="M60" s="60">
        <f>Data!AK9</f>
        <v>1310068.5471299998</v>
      </c>
      <c r="N60" s="61">
        <f>SUM(B60:M60)</f>
        <v>14291477.547121001</v>
      </c>
      <c r="P60" t="s">
        <v>112</v>
      </c>
      <c r="Q60" s="60">
        <f>((SUM($K$60:$M$60)/SUM($K$27:$M$27))*Q27)</f>
        <v>9980151.4409966897</v>
      </c>
      <c r="R60" s="60">
        <f t="shared" ref="R60:AB60" si="50">((SUM($K$60:$M$60)/SUM($K$27:$M$27))*R27)</f>
        <v>5702943.6805695379</v>
      </c>
      <c r="S60" s="60">
        <f t="shared" si="50"/>
        <v>1425735.9201423856</v>
      </c>
      <c r="T60" s="60">
        <f t="shared" si="50"/>
        <v>-2851471.840284768</v>
      </c>
      <c r="U60" s="60">
        <f t="shared" si="50"/>
        <v>-7128679.6007119212</v>
      </c>
      <c r="V60" s="60">
        <f t="shared" si="50"/>
        <v>-11405887.361139076</v>
      </c>
      <c r="W60" s="60">
        <f t="shared" si="50"/>
        <v>-15683095.121566229</v>
      </c>
      <c r="X60" s="60">
        <f t="shared" si="50"/>
        <v>-19960302.881993379</v>
      </c>
      <c r="Y60" s="60">
        <f t="shared" si="50"/>
        <v>-24237510.64242053</v>
      </c>
      <c r="Z60" s="60">
        <f t="shared" si="50"/>
        <v>-28514718.402847681</v>
      </c>
      <c r="AA60" s="60">
        <f t="shared" si="50"/>
        <v>-32791926.163274832</v>
      </c>
      <c r="AB60" s="60">
        <f t="shared" si="50"/>
        <v>-37069133.923701979</v>
      </c>
    </row>
    <row r="61" spans="1:28">
      <c r="A61" s="56" t="s">
        <v>92</v>
      </c>
      <c r="B61" s="60">
        <f>B59+B60</f>
        <v>1229274.0000000005</v>
      </c>
      <c r="C61" s="60">
        <f t="shared" ref="C61:M61" si="51">C59+C60</f>
        <v>1275752.2</v>
      </c>
      <c r="D61" s="60">
        <f t="shared" si="51"/>
        <v>1281674.4700000004</v>
      </c>
      <c r="E61" s="60">
        <f t="shared" si="51"/>
        <v>1345340.8500000003</v>
      </c>
      <c r="F61" s="60">
        <f t="shared" si="51"/>
        <v>1317978.7500000002</v>
      </c>
      <c r="G61" s="60">
        <f t="shared" si="51"/>
        <v>1252642.1299999999</v>
      </c>
      <c r="H61" s="60">
        <f t="shared" si="51"/>
        <v>1249606.17</v>
      </c>
      <c r="I61" s="60">
        <f t="shared" si="51"/>
        <v>1266231</v>
      </c>
      <c r="J61" s="60">
        <f t="shared" si="51"/>
        <v>1195821.1299999999</v>
      </c>
      <c r="K61" s="60">
        <f t="shared" si="51"/>
        <v>1297474.2563370001</v>
      </c>
      <c r="L61" s="60">
        <f t="shared" si="51"/>
        <v>1269890.070664</v>
      </c>
      <c r="M61" s="60">
        <f t="shared" si="51"/>
        <v>1426296.1571099998</v>
      </c>
      <c r="N61" s="61">
        <f t="shared" ref="N61:N67" si="52">SUM(B61:M61)</f>
        <v>15407981.184110999</v>
      </c>
      <c r="P61" t="s">
        <v>113</v>
      </c>
      <c r="Q61" s="60">
        <f>((SUM($K$62:$M$62)/SUM($K$31:$M$31))*Q31)</f>
        <v>8789.7887155911794</v>
      </c>
      <c r="R61" s="60">
        <f t="shared" ref="R61:AB61" si="53">((SUM($K$62:$M$62)/SUM($K$31:$M$31))*R31)</f>
        <v>8789.7887155911794</v>
      </c>
      <c r="S61" s="60">
        <f t="shared" si="53"/>
        <v>8789.7887155911794</v>
      </c>
      <c r="T61" s="60">
        <f t="shared" si="53"/>
        <v>8789.7887155911794</v>
      </c>
      <c r="U61" s="60">
        <f t="shared" si="53"/>
        <v>8789.7887155911794</v>
      </c>
      <c r="V61" s="60">
        <f t="shared" si="53"/>
        <v>8789.7887155911794</v>
      </c>
      <c r="W61" s="60">
        <f t="shared" si="53"/>
        <v>8789.7887155911794</v>
      </c>
      <c r="X61" s="60">
        <f t="shared" si="53"/>
        <v>8789.7887155911794</v>
      </c>
      <c r="Y61" s="60">
        <f t="shared" si="53"/>
        <v>8789.7887155911794</v>
      </c>
      <c r="Z61" s="60">
        <f t="shared" si="53"/>
        <v>8789.7887155911794</v>
      </c>
      <c r="AA61" s="60">
        <f t="shared" si="53"/>
        <v>8789.7887155911794</v>
      </c>
      <c r="AB61" s="60">
        <f t="shared" si="53"/>
        <v>8789.7887155911794</v>
      </c>
    </row>
    <row r="62" spans="1:28">
      <c r="A62" s="56" t="s">
        <v>99</v>
      </c>
      <c r="B62" s="60">
        <f>(Data!Z12+Data!Z10+Data!Z11)</f>
        <v>967.86305898534442</v>
      </c>
      <c r="C62" s="60">
        <f>(Data!AA12+Data!AA10+Data!AA11)</f>
        <v>805.69792121777732</v>
      </c>
      <c r="D62" s="60">
        <f>(Data!AB12+Data!AB10+Data!AB11)</f>
        <v>675.06498272063845</v>
      </c>
      <c r="E62" s="60">
        <f>(Data!AC12+Data!AC10+Data!AC11)</f>
        <v>698.489486653737</v>
      </c>
      <c r="F62" s="60">
        <f>(Data!AD12+Data!AD10+Data!AD11)</f>
        <v>746.07155571430087</v>
      </c>
      <c r="G62" s="60">
        <f>(Data!AE12+Data!AE10+Data!AE11)</f>
        <v>622.12064964707474</v>
      </c>
      <c r="H62" s="60">
        <f>(Data!AF12+Data!AF10+Data!AF11)</f>
        <v>568.59270911064118</v>
      </c>
      <c r="I62" s="60">
        <f>(Data!AG12+Data!AG10+Data!AG11)</f>
        <v>901.80022588451061</v>
      </c>
      <c r="J62" s="60">
        <f>(Data!AH12+Data!AH10+Data!AH11)</f>
        <v>952.2334878889003</v>
      </c>
      <c r="K62" s="60">
        <f>(Data!AI12+Data!AI10+Data!AI11)</f>
        <v>777.88950335382685</v>
      </c>
      <c r="L62" s="60">
        <f>(Data!AJ12+Data!AJ10+Data!AJ11)</f>
        <v>739.7210010023249</v>
      </c>
      <c r="M62" s="60">
        <f>(Data!AK12+Data!AK10+Data!AK11)</f>
        <v>684.1790839202107</v>
      </c>
      <c r="N62" s="61">
        <f t="shared" si="52"/>
        <v>9139.7236660992876</v>
      </c>
      <c r="P62" t="s">
        <v>25</v>
      </c>
      <c r="Q62" s="72">
        <f>$N$63</f>
        <v>721959.44339999999</v>
      </c>
      <c r="R62" s="72">
        <f t="shared" ref="R62:AB62" si="54">$N$63</f>
        <v>721959.44339999999</v>
      </c>
      <c r="S62" s="72">
        <f t="shared" si="54"/>
        <v>721959.44339999999</v>
      </c>
      <c r="T62" s="72">
        <f t="shared" si="54"/>
        <v>721959.44339999999</v>
      </c>
      <c r="U62" s="72">
        <f t="shared" si="54"/>
        <v>721959.44339999999</v>
      </c>
      <c r="V62" s="72">
        <f t="shared" si="54"/>
        <v>721959.44339999999</v>
      </c>
      <c r="W62" s="72">
        <f t="shared" si="54"/>
        <v>721959.44339999999</v>
      </c>
      <c r="X62" s="72">
        <f t="shared" si="54"/>
        <v>721959.44339999999</v>
      </c>
      <c r="Y62" s="72">
        <f t="shared" si="54"/>
        <v>721959.44339999999</v>
      </c>
      <c r="Z62" s="72">
        <f t="shared" si="54"/>
        <v>721959.44339999999</v>
      </c>
      <c r="AA62" s="72">
        <f t="shared" si="54"/>
        <v>721959.44339999999</v>
      </c>
      <c r="AB62" s="72">
        <f t="shared" si="54"/>
        <v>721959.44339999999</v>
      </c>
    </row>
    <row r="63" spans="1:28">
      <c r="A63" t="s">
        <v>18</v>
      </c>
      <c r="B63" s="60">
        <f>(Data!Z13+Data!Z14)</f>
        <v>59897.719999999994</v>
      </c>
      <c r="C63" s="60">
        <f>(Data!AA13+Data!AA14)</f>
        <v>67833.239999999991</v>
      </c>
      <c r="D63" s="60">
        <f>(Data!AB13+Data!AB14)</f>
        <v>65908.11</v>
      </c>
      <c r="E63" s="60">
        <f>(Data!AC13+Data!AC14)</f>
        <v>64773.324999999997</v>
      </c>
      <c r="F63" s="60">
        <f>(Data!AD13+Data!AD14)</f>
        <v>64505.665000000008</v>
      </c>
      <c r="G63" s="60">
        <f>(Data!AE13+Data!AE14)</f>
        <v>52858.105099999993</v>
      </c>
      <c r="H63" s="60">
        <f>(Data!AF13+Data!AF14)</f>
        <v>55936.24029999999</v>
      </c>
      <c r="I63" s="60">
        <f>(Data!AG13+Data!AG14)</f>
        <v>54138.720000000001</v>
      </c>
      <c r="J63" s="60">
        <f>(Data!AH13+Data!AH14)</f>
        <v>54893.259999999995</v>
      </c>
      <c r="K63" s="60">
        <f>(Data!AI13+Data!AI14)</f>
        <v>57946.094700000001</v>
      </c>
      <c r="L63" s="60">
        <f>(Data!AJ13+Data!AJ14)</f>
        <v>58867.8825</v>
      </c>
      <c r="M63" s="60">
        <f>(Data!AK13+Data!AK14)</f>
        <v>64401.080799999989</v>
      </c>
      <c r="N63" s="61">
        <f t="shared" si="52"/>
        <v>721959.44339999999</v>
      </c>
    </row>
    <row r="64" spans="1:28">
      <c r="B64" s="60"/>
      <c r="C64" s="60"/>
      <c r="D64" s="60"/>
      <c r="E64" s="60"/>
      <c r="F64" s="60"/>
      <c r="G64" s="60"/>
      <c r="H64" s="60"/>
      <c r="I64" s="60"/>
      <c r="J64" s="60"/>
      <c r="K64" s="60"/>
      <c r="L64" s="60"/>
      <c r="M64" s="60"/>
      <c r="N64" s="61"/>
      <c r="Q64" s="10"/>
      <c r="R64" s="10"/>
    </row>
    <row r="65" spans="1:31">
      <c r="A65" s="115" t="s">
        <v>140</v>
      </c>
      <c r="B65" s="116">
        <f>SUM(B61:B63)</f>
        <v>1290139.5830589859</v>
      </c>
      <c r="C65" s="116">
        <f t="shared" ref="C65:M65" si="55">SUM(C61:C63)</f>
        <v>1344391.1379212178</v>
      </c>
      <c r="D65" s="116">
        <f t="shared" si="55"/>
        <v>1348257.6449827212</v>
      </c>
      <c r="E65" s="116">
        <f t="shared" si="55"/>
        <v>1410812.6644866541</v>
      </c>
      <c r="F65" s="116">
        <f t="shared" si="55"/>
        <v>1383230.4865557146</v>
      </c>
      <c r="G65" s="116">
        <f t="shared" si="55"/>
        <v>1306122.3557496469</v>
      </c>
      <c r="H65" s="116">
        <f t="shared" si="55"/>
        <v>1306111.0030091105</v>
      </c>
      <c r="I65" s="116">
        <f t="shared" si="55"/>
        <v>1321271.5202258844</v>
      </c>
      <c r="J65" s="116">
        <f t="shared" si="55"/>
        <v>1251666.6234878888</v>
      </c>
      <c r="K65" s="116">
        <f t="shared" si="55"/>
        <v>1356198.2405403538</v>
      </c>
      <c r="L65" s="116">
        <f t="shared" si="55"/>
        <v>1329497.6741650023</v>
      </c>
      <c r="M65" s="116">
        <f t="shared" si="55"/>
        <v>1491381.41699392</v>
      </c>
      <c r="N65" s="117">
        <f>SUM(B65:M65)</f>
        <v>16139080.351177098</v>
      </c>
      <c r="P65" s="132" t="s">
        <v>160</v>
      </c>
      <c r="Q65" s="130">
        <f>SUM(Q59:Q62)</f>
        <v>11502590.946544966</v>
      </c>
      <c r="R65" s="130">
        <f t="shared" ref="R65:AB65" si="56">SUM(R59:R62)</f>
        <v>6886087.3546466641</v>
      </c>
      <c r="S65" s="130">
        <f t="shared" si="56"/>
        <v>2269583.7627483606</v>
      </c>
      <c r="T65" s="130">
        <f t="shared" si="56"/>
        <v>-2346919.8291499438</v>
      </c>
      <c r="U65" s="130">
        <f t="shared" si="56"/>
        <v>-6963423.4210482491</v>
      </c>
      <c r="V65" s="130">
        <f t="shared" si="56"/>
        <v>-11579927.012946555</v>
      </c>
      <c r="W65" s="130">
        <f t="shared" si="56"/>
        <v>-16196430.604844861</v>
      </c>
      <c r="X65" s="130">
        <f t="shared" si="56"/>
        <v>-20812934.19674316</v>
      </c>
      <c r="Y65" s="130">
        <f t="shared" si="56"/>
        <v>-25429437.788641464</v>
      </c>
      <c r="Z65" s="130">
        <f t="shared" si="56"/>
        <v>-30045941.380539767</v>
      </c>
      <c r="AA65" s="130">
        <f t="shared" si="56"/>
        <v>-34662444.97243806</v>
      </c>
      <c r="AB65" s="130">
        <f t="shared" si="56"/>
        <v>-39278948.56433636</v>
      </c>
      <c r="AC65" s="10"/>
    </row>
    <row r="66" spans="1:31">
      <c r="B66" s="60"/>
      <c r="C66" s="60"/>
      <c r="D66" s="60"/>
      <c r="E66" s="60"/>
      <c r="F66" s="60"/>
      <c r="G66" s="60"/>
      <c r="H66" s="60"/>
      <c r="I66" s="60"/>
      <c r="J66" s="60"/>
      <c r="K66" s="60"/>
      <c r="L66" s="60"/>
      <c r="M66" s="60"/>
      <c r="N66" s="61"/>
      <c r="AC66" s="10"/>
    </row>
    <row r="67" spans="1:31">
      <c r="A67" s="56" t="s">
        <v>31</v>
      </c>
      <c r="B67" s="60">
        <f>Data!Z17</f>
        <v>0</v>
      </c>
      <c r="C67" s="60">
        <f>Data!AA17</f>
        <v>0</v>
      </c>
      <c r="D67" s="60">
        <f>Data!AB17</f>
        <v>0</v>
      </c>
      <c r="E67" s="60">
        <f>Data!AC17</f>
        <v>0</v>
      </c>
      <c r="F67" s="60">
        <f>Data!AD17</f>
        <v>0</v>
      </c>
      <c r="G67" s="60">
        <f>Data!AE17</f>
        <v>0</v>
      </c>
      <c r="H67" s="60">
        <f>Data!AF17</f>
        <v>0</v>
      </c>
      <c r="I67" s="60">
        <f>Data!AG17</f>
        <v>0</v>
      </c>
      <c r="J67" s="60">
        <f>Data!AH17</f>
        <v>0</v>
      </c>
      <c r="K67" s="60">
        <f>Data!AI17</f>
        <v>0</v>
      </c>
      <c r="L67" s="60">
        <f>Data!AJ17</f>
        <v>0</v>
      </c>
      <c r="M67" s="60">
        <f>Data!AK17</f>
        <v>0</v>
      </c>
      <c r="N67" s="61">
        <f t="shared" si="52"/>
        <v>0</v>
      </c>
      <c r="P67" t="s">
        <v>151</v>
      </c>
      <c r="Q67" s="131">
        <f>Data!$A$19*Q19</f>
        <v>6337.96</v>
      </c>
      <c r="R67" s="131">
        <f>Data!$A$19*'Shift Calcs &amp; Graphs'!R19</f>
        <v>6337.96</v>
      </c>
      <c r="S67" s="131">
        <f>Data!$A$19*'Shift Calcs &amp; Graphs'!S19</f>
        <v>6337.96</v>
      </c>
      <c r="T67" s="131">
        <f>Data!$A$19*'Shift Calcs &amp; Graphs'!T19</f>
        <v>6337.96</v>
      </c>
      <c r="U67" s="131">
        <f>Data!$A$19*'Shift Calcs &amp; Graphs'!U19</f>
        <v>6337.96</v>
      </c>
      <c r="V67" s="131">
        <f>Data!$A$19*'Shift Calcs &amp; Graphs'!V19</f>
        <v>6337.96</v>
      </c>
      <c r="W67" s="131">
        <f>Data!$A$19*'Shift Calcs &amp; Graphs'!W19</f>
        <v>6337.96</v>
      </c>
      <c r="X67" s="131">
        <f>Data!$A$19*'Shift Calcs &amp; Graphs'!X19</f>
        <v>6337.96</v>
      </c>
      <c r="Y67" s="131">
        <f>Data!$A$19*'Shift Calcs &amp; Graphs'!Y19</f>
        <v>6337.96</v>
      </c>
      <c r="Z67" s="131">
        <f>Data!$A$19*'Shift Calcs &amp; Graphs'!Z19</f>
        <v>6337.96</v>
      </c>
      <c r="AA67" s="131">
        <f>Data!$A$19*'Shift Calcs &amp; Graphs'!AA19</f>
        <v>6337.96</v>
      </c>
      <c r="AB67" s="131">
        <f>Data!$A$19*'Shift Calcs &amp; Graphs'!AB19</f>
        <v>6337.96</v>
      </c>
    </row>
    <row r="68" spans="1:31">
      <c r="B68" s="62"/>
      <c r="C68" s="62"/>
      <c r="D68" s="62"/>
      <c r="E68" s="62"/>
      <c r="F68" s="62"/>
      <c r="G68" s="62"/>
      <c r="H68" s="62"/>
      <c r="I68" s="62"/>
      <c r="J68" s="62"/>
      <c r="K68" s="62"/>
      <c r="L68" s="62"/>
      <c r="M68" s="62"/>
      <c r="N68" s="62"/>
    </row>
    <row r="69" spans="1:31" ht="15" thickBot="1">
      <c r="A69" s="112" t="s">
        <v>97</v>
      </c>
      <c r="B69" s="113">
        <f>B65+B67</f>
        <v>1290139.5830589859</v>
      </c>
      <c r="C69" s="113">
        <f t="shared" ref="C69:M69" si="57">C65+C67</f>
        <v>1344391.1379212178</v>
      </c>
      <c r="D69" s="113">
        <f t="shared" si="57"/>
        <v>1348257.6449827212</v>
      </c>
      <c r="E69" s="113">
        <f t="shared" si="57"/>
        <v>1410812.6644866541</v>
      </c>
      <c r="F69" s="113">
        <f t="shared" si="57"/>
        <v>1383230.4865557146</v>
      </c>
      <c r="G69" s="113">
        <f t="shared" si="57"/>
        <v>1306122.3557496469</v>
      </c>
      <c r="H69" s="113">
        <f t="shared" si="57"/>
        <v>1306111.0030091105</v>
      </c>
      <c r="I69" s="113">
        <f t="shared" si="57"/>
        <v>1321271.5202258844</v>
      </c>
      <c r="J69" s="113">
        <f t="shared" si="57"/>
        <v>1251666.6234878888</v>
      </c>
      <c r="K69" s="113">
        <f t="shared" si="57"/>
        <v>1356198.2405403538</v>
      </c>
      <c r="L69" s="113">
        <f t="shared" si="57"/>
        <v>1329497.6741650023</v>
      </c>
      <c r="M69" s="113">
        <f t="shared" si="57"/>
        <v>1491381.41699392</v>
      </c>
      <c r="N69" s="114">
        <f>SUM(B69:M69)</f>
        <v>16139080.351177098</v>
      </c>
      <c r="P69" s="134" t="s">
        <v>114</v>
      </c>
      <c r="Q69" s="133">
        <f>Q65+Q67</f>
        <v>11508928.906544967</v>
      </c>
      <c r="R69" s="133">
        <f t="shared" ref="R69:AB69" si="58">R65+R67</f>
        <v>6892425.3146466641</v>
      </c>
      <c r="S69" s="133">
        <f t="shared" si="58"/>
        <v>2275921.7227483606</v>
      </c>
      <c r="T69" s="133">
        <f t="shared" si="58"/>
        <v>-2340581.8691499438</v>
      </c>
      <c r="U69" s="133">
        <f t="shared" si="58"/>
        <v>-6957085.4610482492</v>
      </c>
      <c r="V69" s="133">
        <f t="shared" si="58"/>
        <v>-11573589.052946554</v>
      </c>
      <c r="W69" s="133">
        <f t="shared" si="58"/>
        <v>-16190092.64484486</v>
      </c>
      <c r="X69" s="133">
        <f t="shared" si="58"/>
        <v>-20806596.23674316</v>
      </c>
      <c r="Y69" s="133">
        <f t="shared" si="58"/>
        <v>-25423099.828641463</v>
      </c>
      <c r="Z69" s="133">
        <f t="shared" si="58"/>
        <v>-30039603.420539767</v>
      </c>
      <c r="AA69" s="133">
        <f t="shared" si="58"/>
        <v>-34656107.012438059</v>
      </c>
      <c r="AB69" s="133">
        <f t="shared" si="58"/>
        <v>-39272610.604336359</v>
      </c>
    </row>
    <row r="71" spans="1:31">
      <c r="A71" t="s">
        <v>17</v>
      </c>
      <c r="B71" s="54">
        <v>44927</v>
      </c>
      <c r="C71" s="54">
        <v>44958</v>
      </c>
      <c r="D71" s="54">
        <v>44986</v>
      </c>
      <c r="E71" s="54">
        <v>45017</v>
      </c>
      <c r="F71" s="54">
        <v>45047</v>
      </c>
      <c r="G71" s="54">
        <v>45078</v>
      </c>
      <c r="H71" s="54">
        <v>45108</v>
      </c>
      <c r="I71" s="54">
        <v>45139</v>
      </c>
      <c r="J71" s="54">
        <v>45170</v>
      </c>
      <c r="K71" s="54">
        <v>45200</v>
      </c>
      <c r="L71" s="54">
        <v>45231</v>
      </c>
      <c r="M71" s="54">
        <v>45261</v>
      </c>
      <c r="N71" s="55" t="s">
        <v>32</v>
      </c>
      <c r="P71" t="s">
        <v>139</v>
      </c>
      <c r="Q71" s="72">
        <f>Q69-$N$69</f>
        <v>-4630151.4446321316</v>
      </c>
      <c r="R71" s="72">
        <f t="shared" ref="R71:AA71" si="59">R69-$N$69</f>
        <v>-9246655.0365304351</v>
      </c>
      <c r="S71" s="72">
        <f t="shared" si="59"/>
        <v>-13863158.628428739</v>
      </c>
      <c r="T71" s="72">
        <f t="shared" si="59"/>
        <v>-18479662.220327042</v>
      </c>
      <c r="U71" s="72">
        <f t="shared" si="59"/>
        <v>-23096165.812225349</v>
      </c>
      <c r="V71" s="72">
        <f t="shared" si="59"/>
        <v>-27712669.404123653</v>
      </c>
      <c r="W71" s="72">
        <f t="shared" si="59"/>
        <v>-32329172.996021956</v>
      </c>
      <c r="X71" s="72">
        <f t="shared" si="59"/>
        <v>-36945676.587920256</v>
      </c>
      <c r="Y71" s="72">
        <f t="shared" si="59"/>
        <v>-41562180.179818563</v>
      </c>
      <c r="Z71" s="72">
        <f t="shared" si="59"/>
        <v>-46178683.771716863</v>
      </c>
      <c r="AA71" s="72">
        <f t="shared" si="59"/>
        <v>-50795187.363615155</v>
      </c>
      <c r="AB71" s="72">
        <f>AB69-$N$69</f>
        <v>-55411690.955513455</v>
      </c>
    </row>
    <row r="72" spans="1:31">
      <c r="A72" t="s">
        <v>9</v>
      </c>
      <c r="B72" s="62">
        <f t="shared" ref="B72:N72" si="60">B59/B25</f>
        <v>2.6471077285470219E-2</v>
      </c>
      <c r="C72" s="62">
        <f t="shared" si="60"/>
        <v>2.6729927783276146E-2</v>
      </c>
      <c r="D72" s="62">
        <f t="shared" si="60"/>
        <v>2.6261854749188691E-2</v>
      </c>
      <c r="E72" s="62">
        <f t="shared" si="60"/>
        <v>2.7838471381577235E-2</v>
      </c>
      <c r="F72" s="62">
        <f t="shared" si="60"/>
        <v>2.6920319461914956E-2</v>
      </c>
      <c r="G72" s="62">
        <f t="shared" si="60"/>
        <v>2.6429066360285944E-2</v>
      </c>
      <c r="H72" s="62">
        <f t="shared" si="60"/>
        <v>2.8180697095656716E-2</v>
      </c>
      <c r="I72" s="62">
        <f t="shared" si="60"/>
        <v>2.7178311023030522E-2</v>
      </c>
      <c r="J72" s="62">
        <f t="shared" si="60"/>
        <v>2.7530156538589957E-2</v>
      </c>
      <c r="K72" s="62">
        <f t="shared" si="60"/>
        <v>2.7466716257478426E-2</v>
      </c>
      <c r="L72" s="62">
        <f t="shared" si="60"/>
        <v>2.7754482609059185E-2</v>
      </c>
      <c r="M72" s="62">
        <f t="shared" si="60"/>
        <v>2.7518674693262576E-2</v>
      </c>
      <c r="N72" s="62">
        <f t="shared" si="60"/>
        <v>2.7230341638316346E-2</v>
      </c>
      <c r="P72" t="s">
        <v>115</v>
      </c>
      <c r="Q72" s="12">
        <f>Q71/$N$69</f>
        <v>-0.28689066191398155</v>
      </c>
      <c r="R72" s="12">
        <f t="shared" ref="R72:AB72" si="61">R71/$N$69</f>
        <v>-0.57293568377680415</v>
      </c>
      <c r="S72" s="12">
        <f t="shared" si="61"/>
        <v>-0.8589807056396267</v>
      </c>
      <c r="T72" s="12">
        <f t="shared" si="61"/>
        <v>-1.1450257275024494</v>
      </c>
      <c r="U72" s="12">
        <f t="shared" si="61"/>
        <v>-1.4310707493652721</v>
      </c>
      <c r="V72" s="12">
        <f t="shared" si="61"/>
        <v>-1.7171157712280947</v>
      </c>
      <c r="W72" s="12">
        <f t="shared" si="61"/>
        <v>-2.0031607930909172</v>
      </c>
      <c r="X72" s="12">
        <f t="shared" si="61"/>
        <v>-2.2892058149537395</v>
      </c>
      <c r="Y72" s="12">
        <f t="shared" si="61"/>
        <v>-2.5752508368165623</v>
      </c>
      <c r="Z72" s="12">
        <f t="shared" si="61"/>
        <v>-2.8612958586793846</v>
      </c>
      <c r="AA72" s="12">
        <f t="shared" si="61"/>
        <v>-3.1473408805422065</v>
      </c>
      <c r="AB72" s="12">
        <f t="shared" si="61"/>
        <v>-3.4333859024050293</v>
      </c>
    </row>
    <row r="73" spans="1:31">
      <c r="A73" t="s">
        <v>10</v>
      </c>
      <c r="B73" s="62">
        <f t="shared" ref="B73:N73" si="62">B60/B27</f>
        <v>2.2984606777240624E-2</v>
      </c>
      <c r="C73" s="62">
        <f t="shared" si="62"/>
        <v>2.1438130650142238E-2</v>
      </c>
      <c r="D73" s="62">
        <f t="shared" si="62"/>
        <v>2.0784287513348172E-2</v>
      </c>
      <c r="E73" s="62">
        <f t="shared" si="62"/>
        <v>2.3105756874276809E-2</v>
      </c>
      <c r="F73" s="62">
        <f t="shared" si="62"/>
        <v>2.1845045951791483E-2</v>
      </c>
      <c r="G73" s="62">
        <f t="shared" si="62"/>
        <v>2.3074505482071198E-2</v>
      </c>
      <c r="H73" s="62">
        <f t="shared" si="62"/>
        <v>2.0519803759007443E-2</v>
      </c>
      <c r="I73" s="62">
        <f t="shared" si="62"/>
        <v>2.2594858066200769E-2</v>
      </c>
      <c r="J73" s="62">
        <f t="shared" si="62"/>
        <v>2.218003443462345E-2</v>
      </c>
      <c r="K73" s="62">
        <f t="shared" si="62"/>
        <v>2.1950102164755764E-2</v>
      </c>
      <c r="L73" s="62">
        <f t="shared" si="62"/>
        <v>2.1777837793646993E-2</v>
      </c>
      <c r="M73" s="62">
        <f t="shared" si="62"/>
        <v>2.2110945774316323E-2</v>
      </c>
      <c r="N73" s="62">
        <f t="shared" si="62"/>
        <v>2.2005075286623956E-2</v>
      </c>
      <c r="Q73" s="8"/>
      <c r="R73" s="8"/>
      <c r="S73" s="8"/>
      <c r="T73" s="8"/>
      <c r="U73" s="8"/>
      <c r="V73" s="8"/>
      <c r="W73" s="8"/>
      <c r="X73" s="8"/>
      <c r="Y73" s="8"/>
      <c r="Z73" s="8"/>
      <c r="AA73" s="8"/>
      <c r="AB73" s="8"/>
    </row>
    <row r="74" spans="1:31">
      <c r="A74" s="24" t="s">
        <v>92</v>
      </c>
      <c r="B74" s="62">
        <f t="shared" ref="B74:N74" si="63">B61/B29</f>
        <v>2.3130233403963314E-2</v>
      </c>
      <c r="C74" s="62">
        <f t="shared" si="63"/>
        <v>2.1691926301533816E-2</v>
      </c>
      <c r="D74" s="62">
        <f t="shared" si="63"/>
        <v>2.1052972466440702E-2</v>
      </c>
      <c r="E74" s="62">
        <f t="shared" si="63"/>
        <v>2.3339188035403882E-2</v>
      </c>
      <c r="F74" s="62">
        <f t="shared" si="63"/>
        <v>2.218511749936768E-2</v>
      </c>
      <c r="G74" s="62">
        <f t="shared" si="63"/>
        <v>2.3315832852308288E-2</v>
      </c>
      <c r="H74" s="62">
        <f t="shared" si="63"/>
        <v>2.0988915596431731E-2</v>
      </c>
      <c r="I74" s="62">
        <f t="shared" si="63"/>
        <v>2.285699239056949E-2</v>
      </c>
      <c r="J74" s="62">
        <f t="shared" si="63"/>
        <v>2.2508058136757585E-2</v>
      </c>
      <c r="K74" s="62">
        <f t="shared" si="63"/>
        <v>2.2310063740365371E-2</v>
      </c>
      <c r="L74" s="62">
        <f t="shared" si="63"/>
        <v>2.2216681621368098E-2</v>
      </c>
      <c r="M74" s="62">
        <f t="shared" si="63"/>
        <v>2.2470782250579066E-2</v>
      </c>
      <c r="N74" s="62">
        <f t="shared" si="63"/>
        <v>2.2315369609616449E-2</v>
      </c>
      <c r="R74" s="10"/>
      <c r="S74" s="3"/>
    </row>
    <row r="75" spans="1:31">
      <c r="A75" s="24" t="s">
        <v>99</v>
      </c>
      <c r="B75" s="62">
        <f t="shared" ref="B75:N75" si="64">B62/B31</f>
        <v>1.3567378193899331E-3</v>
      </c>
      <c r="C75" s="62">
        <f t="shared" si="64"/>
        <v>1.1091866667375804E-3</v>
      </c>
      <c r="D75" s="62">
        <f t="shared" si="64"/>
        <v>1.0889930128555889E-3</v>
      </c>
      <c r="E75" s="62">
        <f t="shared" si="64"/>
        <v>1.1350215959653543E-3</v>
      </c>
      <c r="F75" s="62">
        <f t="shared" si="64"/>
        <v>1.0911219327267348E-3</v>
      </c>
      <c r="G75" s="62">
        <f t="shared" si="64"/>
        <v>9.3300074205226622E-4</v>
      </c>
      <c r="H75" s="62">
        <f t="shared" si="64"/>
        <v>1.0523972645735129E-3</v>
      </c>
      <c r="I75" s="62">
        <f t="shared" si="64"/>
        <v>1.2555595543359349E-3</v>
      </c>
      <c r="J75" s="62">
        <f t="shared" si="64"/>
        <v>1.2413975755960357E-3</v>
      </c>
      <c r="K75" s="62">
        <f t="shared" si="64"/>
        <v>1.0306063524309077E-3</v>
      </c>
      <c r="L75" s="62">
        <f t="shared" si="64"/>
        <v>1.2279946289871961E-3</v>
      </c>
      <c r="M75" s="62">
        <f t="shared" si="64"/>
        <v>1.0285010594248719E-3</v>
      </c>
      <c r="N75" s="62">
        <f t="shared" si="64"/>
        <v>1.1320503025608354E-3</v>
      </c>
      <c r="P75" t="s">
        <v>89</v>
      </c>
      <c r="Q75" s="5">
        <f t="shared" ref="Q75:AB75" si="65">SUM(Q59:Q60)/SUM(Q25:Q27)</f>
        <v>2.2286930979979754E-2</v>
      </c>
      <c r="R75" s="5">
        <f t="shared" si="65"/>
        <v>2.2286930979979757E-2</v>
      </c>
      <c r="S75" s="5">
        <f t="shared" si="65"/>
        <v>2.2286930979979754E-2</v>
      </c>
      <c r="T75" s="5">
        <f t="shared" si="65"/>
        <v>2.228693097997975E-2</v>
      </c>
      <c r="U75" s="5">
        <f t="shared" si="65"/>
        <v>2.228693097997975E-2</v>
      </c>
      <c r="V75" s="5">
        <f t="shared" si="65"/>
        <v>2.2286930979979757E-2</v>
      </c>
      <c r="W75" s="5">
        <f t="shared" si="65"/>
        <v>2.2286930979979754E-2</v>
      </c>
      <c r="X75" s="5">
        <f t="shared" si="65"/>
        <v>2.2286930979979754E-2</v>
      </c>
      <c r="Y75" s="5">
        <f t="shared" si="65"/>
        <v>2.2286930979979754E-2</v>
      </c>
      <c r="Z75" s="5">
        <f t="shared" si="65"/>
        <v>2.2286930979979754E-2</v>
      </c>
      <c r="AA75" s="5">
        <f t="shared" si="65"/>
        <v>2.2286930979979754E-2</v>
      </c>
      <c r="AB75" s="5">
        <f t="shared" si="65"/>
        <v>2.2286930979979754E-2</v>
      </c>
    </row>
    <row r="76" spans="1:31">
      <c r="B76" s="62"/>
      <c r="C76" s="62"/>
      <c r="D76" s="62"/>
      <c r="E76" s="62"/>
      <c r="F76" s="62"/>
      <c r="G76" s="62"/>
      <c r="H76" s="62"/>
      <c r="I76" s="62"/>
      <c r="J76" s="62"/>
      <c r="K76" s="62"/>
      <c r="L76" s="62"/>
      <c r="M76" s="62"/>
      <c r="N76" s="62"/>
      <c r="P76" t="s">
        <v>90</v>
      </c>
      <c r="Q76" s="5">
        <f>Q61/Q31</f>
        <v>1.088707201492181E-3</v>
      </c>
      <c r="R76" s="5">
        <f t="shared" ref="R76:AB76" si="66">R61/R31</f>
        <v>1.088707201492181E-3</v>
      </c>
      <c r="S76" s="5">
        <f t="shared" si="66"/>
        <v>1.088707201492181E-3</v>
      </c>
      <c r="T76" s="5">
        <f t="shared" si="66"/>
        <v>1.088707201492181E-3</v>
      </c>
      <c r="U76" s="5">
        <f t="shared" si="66"/>
        <v>1.088707201492181E-3</v>
      </c>
      <c r="V76" s="5">
        <f t="shared" si="66"/>
        <v>1.088707201492181E-3</v>
      </c>
      <c r="W76" s="5">
        <f t="shared" si="66"/>
        <v>1.088707201492181E-3</v>
      </c>
      <c r="X76" s="5">
        <f t="shared" si="66"/>
        <v>1.088707201492181E-3</v>
      </c>
      <c r="Y76" s="5">
        <f t="shared" si="66"/>
        <v>1.088707201492181E-3</v>
      </c>
      <c r="Z76" s="5">
        <f t="shared" si="66"/>
        <v>1.088707201492181E-3</v>
      </c>
      <c r="AA76" s="5">
        <f t="shared" si="66"/>
        <v>1.088707201492181E-3</v>
      </c>
      <c r="AB76" s="5">
        <f t="shared" si="66"/>
        <v>1.088707201492181E-3</v>
      </c>
    </row>
    <row r="77" spans="1:31">
      <c r="A77" s="66" t="s">
        <v>26</v>
      </c>
      <c r="B77" s="63">
        <f>B65/B34</f>
        <v>2.3953957049594694E-2</v>
      </c>
      <c r="C77" s="63">
        <f t="shared" ref="C77:N77" si="67">C65/C34</f>
        <v>2.2580125549365979E-2</v>
      </c>
      <c r="D77" s="63">
        <f t="shared" si="67"/>
        <v>2.1923441103269464E-2</v>
      </c>
      <c r="E77" s="63">
        <f t="shared" si="67"/>
        <v>2.4216468165024908E-2</v>
      </c>
      <c r="F77" s="63">
        <f t="shared" si="67"/>
        <v>2.3018544825142491E-2</v>
      </c>
      <c r="G77" s="63">
        <f t="shared" si="67"/>
        <v>2.401324252207461E-2</v>
      </c>
      <c r="H77" s="63">
        <f t="shared" si="67"/>
        <v>2.1740701619684877E-2</v>
      </c>
      <c r="I77" s="63">
        <f t="shared" si="67"/>
        <v>2.3545270868999241E-2</v>
      </c>
      <c r="J77" s="63">
        <f t="shared" si="67"/>
        <v>2.3223892134792416E-2</v>
      </c>
      <c r="K77" s="63">
        <f t="shared" si="67"/>
        <v>2.3021041952385281E-2</v>
      </c>
      <c r="L77" s="63">
        <f t="shared" si="67"/>
        <v>2.3016947217359859E-2</v>
      </c>
      <c r="M77" s="63">
        <f t="shared" si="67"/>
        <v>2.3252484172718878E-2</v>
      </c>
      <c r="N77" s="63">
        <f t="shared" si="67"/>
        <v>2.3104064419893974E-2</v>
      </c>
    </row>
    <row r="78" spans="1:31">
      <c r="P78" t="str">
        <f>A77</f>
        <v>All including  Assessment &amp;Fees</v>
      </c>
      <c r="Q78" s="5">
        <f>Q65/Q34</f>
        <v>2.3407839494158349E-2</v>
      </c>
      <c r="R78" s="5">
        <f t="shared" ref="R78:AB78" si="68">R65/R34</f>
        <v>2.4224643666368343E-2</v>
      </c>
      <c r="S78" s="5">
        <f t="shared" si="68"/>
        <v>2.9429211929158247E-2</v>
      </c>
      <c r="T78" s="5">
        <f t="shared" si="68"/>
        <v>1.8050536660944656E-2</v>
      </c>
      <c r="U78" s="5">
        <f t="shared" si="68"/>
        <v>2.0653240036439858E-2</v>
      </c>
      <c r="V78" s="5">
        <f t="shared" si="68"/>
        <v>2.1274961369163018E-2</v>
      </c>
      <c r="W78" s="5">
        <f t="shared" si="68"/>
        <v>2.1553918392556878E-2</v>
      </c>
      <c r="X78" s="5">
        <f t="shared" si="68"/>
        <v>2.1712315472668837E-2</v>
      </c>
      <c r="Y78" s="5">
        <f t="shared" si="68"/>
        <v>2.1814420511305905E-2</v>
      </c>
      <c r="Z78" s="5">
        <f t="shared" si="68"/>
        <v>2.1885713898139279E-2</v>
      </c>
      <c r="AA78" s="5">
        <f t="shared" si="68"/>
        <v>2.1938313975042242E-2</v>
      </c>
      <c r="AB78" s="5">
        <f t="shared" si="68"/>
        <v>2.1978720735597902E-2</v>
      </c>
    </row>
    <row r="80" spans="1:31">
      <c r="P80" t="s">
        <v>116</v>
      </c>
      <c r="Q80" s="74">
        <f>IF($AE$84="% of Principal",$AG$84,IF($AE$84="Cost + %",$AG$84,IF($AE$84="Flat Fee $",$AF$84,IF($AE$84="Cost + $",$AF$84))))</f>
        <v>2.9499999999999998E-2</v>
      </c>
      <c r="R80" s="74">
        <f>$Q$80</f>
        <v>2.9499999999999998E-2</v>
      </c>
      <c r="S80" s="74">
        <f t="shared" ref="S80:AB80" si="69">$Q$80</f>
        <v>2.9499999999999998E-2</v>
      </c>
      <c r="T80" s="74">
        <f t="shared" si="69"/>
        <v>2.9499999999999998E-2</v>
      </c>
      <c r="U80" s="74">
        <f t="shared" si="69"/>
        <v>2.9499999999999998E-2</v>
      </c>
      <c r="V80" s="74">
        <f t="shared" si="69"/>
        <v>2.9499999999999998E-2</v>
      </c>
      <c r="W80" s="74">
        <f t="shared" si="69"/>
        <v>2.9499999999999998E-2</v>
      </c>
      <c r="X80" s="74">
        <f t="shared" si="69"/>
        <v>2.9499999999999998E-2</v>
      </c>
      <c r="Y80" s="74">
        <f t="shared" si="69"/>
        <v>2.9499999999999998E-2</v>
      </c>
      <c r="Z80" s="74">
        <f t="shared" si="69"/>
        <v>2.9499999999999998E-2</v>
      </c>
      <c r="AA80" s="74">
        <f t="shared" si="69"/>
        <v>2.9499999999999998E-2</v>
      </c>
      <c r="AB80" s="74">
        <f t="shared" si="69"/>
        <v>2.9499999999999998E-2</v>
      </c>
      <c r="AE80" s="24"/>
    </row>
    <row r="81" spans="16:33">
      <c r="P81" t="s">
        <v>117</v>
      </c>
      <c r="Q81" s="74">
        <f>IF($AE$85="% of Principal",$AG$85,IF($AE$85="Cost + %",$AG$85,IF($AE$85="Flat Fee $",$AF$85,IF($AE$85="Cost + $",$AF$85))))</f>
        <v>2.9499999999999998E-2</v>
      </c>
      <c r="R81" s="74">
        <f>Q81</f>
        <v>2.9499999999999998E-2</v>
      </c>
      <c r="S81" s="74">
        <f t="shared" ref="S81:Z81" si="70">R81</f>
        <v>2.9499999999999998E-2</v>
      </c>
      <c r="T81" s="74">
        <f t="shared" si="70"/>
        <v>2.9499999999999998E-2</v>
      </c>
      <c r="U81" s="74">
        <f t="shared" si="70"/>
        <v>2.9499999999999998E-2</v>
      </c>
      <c r="V81" s="74">
        <f t="shared" si="70"/>
        <v>2.9499999999999998E-2</v>
      </c>
      <c r="W81" s="74">
        <f t="shared" si="70"/>
        <v>2.9499999999999998E-2</v>
      </c>
      <c r="X81" s="74">
        <f t="shared" si="70"/>
        <v>2.9499999999999998E-2</v>
      </c>
      <c r="Y81" s="74">
        <f t="shared" si="70"/>
        <v>2.9499999999999998E-2</v>
      </c>
      <c r="Z81" s="74">
        <f t="shared" si="70"/>
        <v>2.9499999999999998E-2</v>
      </c>
      <c r="AA81" s="74">
        <f>Z81</f>
        <v>2.9499999999999998E-2</v>
      </c>
      <c r="AB81" s="74">
        <f>AA81</f>
        <v>2.9499999999999998E-2</v>
      </c>
    </row>
    <row r="82" spans="16:33">
      <c r="P82" t="s">
        <v>29</v>
      </c>
      <c r="Q82" s="74">
        <f>IF($AE$86="% of Principal",$AG$86,IF($AE$86="Cost + %",$AG$86,IF($AE$86="Flat Fee $",$AF$86,IF($AE$86="Cost + $",$AF$86))))</f>
        <v>7</v>
      </c>
      <c r="R82" s="74">
        <f>Q82</f>
        <v>7</v>
      </c>
      <c r="S82" s="74">
        <f t="shared" ref="S82:Z82" si="71">R82</f>
        <v>7</v>
      </c>
      <c r="T82" s="74">
        <f t="shared" si="71"/>
        <v>7</v>
      </c>
      <c r="U82" s="74">
        <f t="shared" si="71"/>
        <v>7</v>
      </c>
      <c r="V82" s="74">
        <f t="shared" si="71"/>
        <v>7</v>
      </c>
      <c r="W82" s="74">
        <f t="shared" si="71"/>
        <v>7</v>
      </c>
      <c r="X82" s="74">
        <f t="shared" si="71"/>
        <v>7</v>
      </c>
      <c r="Y82" s="74">
        <f t="shared" si="71"/>
        <v>7</v>
      </c>
      <c r="Z82" s="74">
        <f t="shared" si="71"/>
        <v>7</v>
      </c>
      <c r="AA82" s="74">
        <f>Z82</f>
        <v>7</v>
      </c>
      <c r="AB82" s="74">
        <f>AA82</f>
        <v>7</v>
      </c>
    </row>
    <row r="83" spans="16:33">
      <c r="AD83" s="30" t="s">
        <v>42</v>
      </c>
      <c r="AE83" s="30" t="s">
        <v>43</v>
      </c>
      <c r="AF83" s="30" t="s">
        <v>44</v>
      </c>
      <c r="AG83" s="31" t="s">
        <v>45</v>
      </c>
    </row>
    <row r="84" spans="16:33">
      <c r="P84" t="s">
        <v>118</v>
      </c>
      <c r="Q84" s="9">
        <f t="shared" ref="Q84:AB84" si="72">IF($AE$84="% of Principal",(Q80*Q25),IF($AE$84="Cost + %",(Q80*Q25+Q59),IF($AE$84="Flat Fee $",(Q80*Q13),IF($AE$84="Cost + $",(Q80*Q13+Q59)))))</f>
        <v>846695.21998949989</v>
      </c>
      <c r="R84" s="9">
        <f t="shared" si="72"/>
        <v>483825.83999399998</v>
      </c>
      <c r="S84" s="9">
        <f t="shared" si="72"/>
        <v>120956.4599985001</v>
      </c>
      <c r="T84" s="9">
        <f t="shared" si="72"/>
        <v>-241912.91999699993</v>
      </c>
      <c r="U84" s="9">
        <f t="shared" si="72"/>
        <v>-604782.29999249999</v>
      </c>
      <c r="V84" s="9">
        <f t="shared" si="72"/>
        <v>-967651.67998799996</v>
      </c>
      <c r="W84" s="9">
        <f t="shared" si="72"/>
        <v>-1330521.0599835</v>
      </c>
      <c r="X84" s="9">
        <f t="shared" si="72"/>
        <v>-1693390.4399789998</v>
      </c>
      <c r="Y84" s="9">
        <f t="shared" si="72"/>
        <v>-2056259.8199744993</v>
      </c>
      <c r="Z84" s="9">
        <f t="shared" si="72"/>
        <v>-2419129.1999699995</v>
      </c>
      <c r="AA84" s="9">
        <f t="shared" si="72"/>
        <v>-2781998.5799654988</v>
      </c>
      <c r="AB84" s="9">
        <f t="shared" si="72"/>
        <v>-3144867.959960999</v>
      </c>
      <c r="AD84" s="22" t="s">
        <v>121</v>
      </c>
      <c r="AE84" s="75" t="str">
        <f>'Input-Metrics-Profitability'!$AN$8</f>
        <v>% of Principal</v>
      </c>
      <c r="AF84" s="43">
        <f>'Input-Metrics-Profitability'!$AP$8</f>
        <v>2</v>
      </c>
      <c r="AG84" s="75">
        <f>'Input-Metrics-Profitability'!$AQ$8</f>
        <v>2.9499999999999998E-2</v>
      </c>
    </row>
    <row r="85" spans="16:33">
      <c r="P85" t="s">
        <v>119</v>
      </c>
      <c r="Q85" s="9">
        <f t="shared" ref="Q85:AB85" si="73">IF($AE$85="% of Principal",(Q81*Q27),IF($AE$85="Cost + %",(Q81*Q27+Q60),IF($AE$85="Flat Fee $",(Q81*Q14),IF($AE$85="Cost + $",(Q81*Q14+Q60)))))</f>
        <v>13411406.573439002</v>
      </c>
      <c r="R85" s="9">
        <f t="shared" si="73"/>
        <v>7663660.8991080029</v>
      </c>
      <c r="S85" s="9">
        <f t="shared" si="73"/>
        <v>1915915.2247770021</v>
      </c>
      <c r="T85" s="9">
        <f t="shared" si="73"/>
        <v>-3831830.449554</v>
      </c>
      <c r="U85" s="9">
        <f t="shared" si="73"/>
        <v>-9579576.123885002</v>
      </c>
      <c r="V85" s="9">
        <f t="shared" si="73"/>
        <v>-15327321.798216006</v>
      </c>
      <c r="W85" s="9">
        <f t="shared" si="73"/>
        <v>-21075067.472547006</v>
      </c>
      <c r="X85" s="9">
        <f t="shared" si="73"/>
        <v>-26822813.146878004</v>
      </c>
      <c r="Y85" s="9">
        <f t="shared" si="73"/>
        <v>-32570558.821209002</v>
      </c>
      <c r="Z85" s="9">
        <f t="shared" si="73"/>
        <v>-38318304.49554</v>
      </c>
      <c r="AA85" s="9">
        <f t="shared" si="73"/>
        <v>-44066050.169871002</v>
      </c>
      <c r="AB85" s="9">
        <f t="shared" si="73"/>
        <v>-49813795.844201989</v>
      </c>
      <c r="AD85" s="22" t="s">
        <v>122</v>
      </c>
      <c r="AE85" s="75" t="str">
        <f>'Input-Metrics-Profitability'!$AN$9</f>
        <v>% of Principal</v>
      </c>
      <c r="AF85" s="43">
        <f>'Input-Metrics-Profitability'!$AP$9</f>
        <v>2</v>
      </c>
      <c r="AG85" s="75">
        <f>'Input-Metrics-Profitability'!$AQ$9</f>
        <v>2.9499999999999998E-2</v>
      </c>
    </row>
    <row r="86" spans="16:33">
      <c r="P86" t="s">
        <v>120</v>
      </c>
      <c r="Q86" s="9">
        <f>IF($AE$86="% of Principal",(Q82*Q31),IF($AE$86="Cost + %",(Q82*Q31+Q61),IF($AE$86="Flat Fee $",(Q82*Q15),IF($AE$86="Cost + $",(Q82*Q15+Q61)))))</f>
        <v>17822</v>
      </c>
      <c r="R86" s="9">
        <f t="shared" ref="R86:AB86" si="74">IF($AE$86="% of Principal",(R82*R31),IF($AE$86="Cost + %",(R82*R31+R61),IF($AE$86="Flat Fee $",(R82*R15),IF($AE$86="Cost + $",(R82*R15+R61)))))</f>
        <v>17822</v>
      </c>
      <c r="S86" s="9">
        <f t="shared" si="74"/>
        <v>17822</v>
      </c>
      <c r="T86" s="9">
        <f t="shared" si="74"/>
        <v>17822</v>
      </c>
      <c r="U86" s="9">
        <f t="shared" si="74"/>
        <v>17822</v>
      </c>
      <c r="V86" s="9">
        <f t="shared" si="74"/>
        <v>17822</v>
      </c>
      <c r="W86" s="9">
        <f t="shared" si="74"/>
        <v>17822</v>
      </c>
      <c r="X86" s="9">
        <f t="shared" si="74"/>
        <v>17822</v>
      </c>
      <c r="Y86" s="9">
        <f t="shared" si="74"/>
        <v>17822</v>
      </c>
      <c r="Z86" s="9">
        <f t="shared" si="74"/>
        <v>17822</v>
      </c>
      <c r="AA86" s="9">
        <f t="shared" si="74"/>
        <v>17822</v>
      </c>
      <c r="AB86" s="9">
        <f t="shared" si="74"/>
        <v>17822</v>
      </c>
      <c r="AD86" s="22" t="s">
        <v>24</v>
      </c>
      <c r="AE86" s="75" t="str">
        <f>'Input-Metrics-Profitability'!$AN$11</f>
        <v>Flat Fee $</v>
      </c>
      <c r="AF86" s="43">
        <f>'Input-Metrics-Profitability'!$AP$11</f>
        <v>7</v>
      </c>
      <c r="AG86" s="75">
        <f>'Input-Metrics-Profitability'!$AQ$11</f>
        <v>1.7500000000000002E-2</v>
      </c>
    </row>
    <row r="87" spans="16:33">
      <c r="Q87" s="9"/>
      <c r="R87" s="9"/>
      <c r="S87" s="9"/>
      <c r="T87" s="9"/>
      <c r="U87" s="9"/>
      <c r="V87" s="9"/>
      <c r="W87" s="9"/>
      <c r="X87" s="9"/>
      <c r="Y87" s="9"/>
      <c r="Z87" s="9"/>
      <c r="AA87" s="9"/>
      <c r="AB87" s="9"/>
    </row>
    <row r="88" spans="16:33">
      <c r="P88" s="115" t="s">
        <v>161</v>
      </c>
      <c r="Q88" s="135">
        <f>SUM(Q84:Q86)</f>
        <v>14275923.793428501</v>
      </c>
      <c r="R88" s="135">
        <f t="shared" ref="R88:AB88" si="75">SUM(R84:R86)</f>
        <v>8165308.7391020032</v>
      </c>
      <c r="S88" s="135">
        <f t="shared" si="75"/>
        <v>2054693.6847755022</v>
      </c>
      <c r="T88" s="135">
        <f t="shared" si="75"/>
        <v>-4055921.3695510002</v>
      </c>
      <c r="U88" s="135">
        <f t="shared" si="75"/>
        <v>-10166536.423877502</v>
      </c>
      <c r="V88" s="135">
        <f t="shared" si="75"/>
        <v>-16277151.478204006</v>
      </c>
      <c r="W88" s="135">
        <f t="shared" si="75"/>
        <v>-22387766.532530505</v>
      </c>
      <c r="X88" s="135">
        <f t="shared" si="75"/>
        <v>-28498381.586857002</v>
      </c>
      <c r="Y88" s="135">
        <f t="shared" si="75"/>
        <v>-34608996.641183503</v>
      </c>
      <c r="Z88" s="135">
        <f t="shared" si="75"/>
        <v>-40719611.69551</v>
      </c>
      <c r="AA88" s="135">
        <f t="shared" si="75"/>
        <v>-46830226.749836504</v>
      </c>
      <c r="AB88" s="135">
        <f t="shared" si="75"/>
        <v>-52940841.804162987</v>
      </c>
    </row>
    <row r="89" spans="16:33">
      <c r="Q89" s="10"/>
      <c r="R89" s="10"/>
      <c r="S89" s="10"/>
      <c r="T89" s="10"/>
      <c r="U89" s="10"/>
      <c r="V89" s="10"/>
      <c r="W89" s="10"/>
      <c r="X89" s="10"/>
      <c r="Y89" s="10"/>
      <c r="Z89" s="10"/>
      <c r="AA89" s="10"/>
      <c r="AB89" s="10"/>
      <c r="AD89" s="30" t="s">
        <v>42</v>
      </c>
      <c r="AE89" s="30" t="s">
        <v>43</v>
      </c>
      <c r="AF89" s="30" t="s">
        <v>44</v>
      </c>
      <c r="AG89" s="31" t="s">
        <v>45</v>
      </c>
    </row>
    <row r="90" spans="16:33">
      <c r="P90" t="s">
        <v>162</v>
      </c>
      <c r="Q90" s="10">
        <f>Q19*$AF$90</f>
        <v>7922.4500000000007</v>
      </c>
      <c r="R90" s="10">
        <f t="shared" ref="R90:AB90" si="76">R19*$AF$90</f>
        <v>7922.4500000000007</v>
      </c>
      <c r="S90" s="10">
        <f t="shared" si="76"/>
        <v>7922.4500000000007</v>
      </c>
      <c r="T90" s="10">
        <f t="shared" si="76"/>
        <v>7922.4500000000007</v>
      </c>
      <c r="U90" s="10">
        <f t="shared" si="76"/>
        <v>7922.4500000000007</v>
      </c>
      <c r="V90" s="10">
        <f t="shared" si="76"/>
        <v>7922.4500000000007</v>
      </c>
      <c r="W90" s="10">
        <f t="shared" si="76"/>
        <v>7922.4500000000007</v>
      </c>
      <c r="X90" s="10">
        <f t="shared" si="76"/>
        <v>7922.4500000000007</v>
      </c>
      <c r="Y90" s="10">
        <f t="shared" si="76"/>
        <v>7922.4500000000007</v>
      </c>
      <c r="Z90" s="10">
        <f t="shared" si="76"/>
        <v>7922.4500000000007</v>
      </c>
      <c r="AA90" s="10">
        <f t="shared" si="76"/>
        <v>7922.4500000000007</v>
      </c>
      <c r="AB90" s="10">
        <f t="shared" si="76"/>
        <v>7922.4500000000007</v>
      </c>
      <c r="AD90" t="str">
        <f>'Input-Metrics-Profitability'!$AM$12</f>
        <v>ACH</v>
      </c>
      <c r="AE90" t="str">
        <f>'Input-Metrics-Profitability'!$AN$12</f>
        <v>Flat Fee $</v>
      </c>
      <c r="AF90" s="13">
        <f>'Input-Metrics-Profitability'!$AP$12</f>
        <v>0.05</v>
      </c>
      <c r="AG90" s="13" t="str">
        <f>'Input-Metrics-Profitability'!$AQ$12</f>
        <v>N/A</v>
      </c>
    </row>
    <row r="91" spans="16:33">
      <c r="Q91" s="10"/>
      <c r="R91" s="10"/>
      <c r="S91" s="10"/>
      <c r="T91" s="10"/>
      <c r="U91" s="10"/>
      <c r="V91" s="10"/>
      <c r="W91" s="10"/>
      <c r="X91" s="10"/>
      <c r="Y91" s="10"/>
      <c r="Z91" s="10"/>
      <c r="AA91" s="10"/>
      <c r="AB91" s="10"/>
    </row>
    <row r="92" spans="16:33" ht="15" thickBot="1">
      <c r="P92" s="136" t="s">
        <v>163</v>
      </c>
      <c r="Q92" s="137">
        <f>Q88+Q90</f>
        <v>14283846.2434285</v>
      </c>
      <c r="R92" s="137">
        <f t="shared" ref="R92:AB92" si="77">R88+R90</f>
        <v>8173231.1891020034</v>
      </c>
      <c r="S92" s="137">
        <f t="shared" si="77"/>
        <v>2062616.1347755021</v>
      </c>
      <c r="T92" s="137">
        <f t="shared" si="77"/>
        <v>-4047998.919551</v>
      </c>
      <c r="U92" s="137">
        <f t="shared" si="77"/>
        <v>-10158613.973877503</v>
      </c>
      <c r="V92" s="137">
        <f t="shared" si="77"/>
        <v>-16269229.028204007</v>
      </c>
      <c r="W92" s="137">
        <f t="shared" si="77"/>
        <v>-22379844.082530506</v>
      </c>
      <c r="X92" s="137">
        <f t="shared" si="77"/>
        <v>-28490459.136857003</v>
      </c>
      <c r="Y92" s="137">
        <f t="shared" si="77"/>
        <v>-34601074.1911835</v>
      </c>
      <c r="Z92" s="137">
        <f t="shared" si="77"/>
        <v>-40711689.245509997</v>
      </c>
      <c r="AA92" s="137">
        <f t="shared" si="77"/>
        <v>-46822304.299836501</v>
      </c>
      <c r="AB92" s="137">
        <f t="shared" si="77"/>
        <v>-52932919.354162984</v>
      </c>
    </row>
    <row r="93" spans="16:33">
      <c r="Q93" s="10"/>
      <c r="R93" s="10"/>
      <c r="S93" s="10"/>
      <c r="T93" s="10"/>
      <c r="U93" s="10"/>
      <c r="V93" s="10"/>
      <c r="W93" s="10"/>
      <c r="X93" s="10"/>
      <c r="Y93" s="10"/>
      <c r="Z93" s="10"/>
      <c r="AA93" s="10"/>
      <c r="AB93" s="10"/>
    </row>
    <row r="95" spans="16:33">
      <c r="P95" t="s">
        <v>164</v>
      </c>
      <c r="Q95" s="10">
        <f>Q88-Q65</f>
        <v>2773332.8468835354</v>
      </c>
      <c r="R95" s="10">
        <f t="shared" ref="R95:AB95" si="78">R88-R65</f>
        <v>1279221.3844553391</v>
      </c>
      <c r="S95" s="10">
        <f t="shared" si="78"/>
        <v>-214890.07797285845</v>
      </c>
      <c r="T95" s="10">
        <f t="shared" si="78"/>
        <v>-1709001.5404010564</v>
      </c>
      <c r="U95" s="10">
        <f t="shared" si="78"/>
        <v>-3203113.0028292527</v>
      </c>
      <c r="V95" s="10">
        <f t="shared" si="78"/>
        <v>-4697224.4652574509</v>
      </c>
      <c r="W95" s="10">
        <f t="shared" si="78"/>
        <v>-6191335.9276856445</v>
      </c>
      <c r="X95" s="10">
        <f t="shared" si="78"/>
        <v>-7685447.3901138417</v>
      </c>
      <c r="Y95" s="10">
        <f t="shared" si="78"/>
        <v>-9179558.852542039</v>
      </c>
      <c r="Z95" s="10">
        <f t="shared" si="78"/>
        <v>-10673670.314970233</v>
      </c>
      <c r="AA95" s="10">
        <f t="shared" si="78"/>
        <v>-12167781.777398445</v>
      </c>
      <c r="AB95" s="10">
        <f t="shared" si="78"/>
        <v>-13661893.239826627</v>
      </c>
    </row>
    <row r="96" spans="16:33">
      <c r="P96" t="s">
        <v>30</v>
      </c>
      <c r="Q96" s="4">
        <f>Q95/Q88</f>
        <v>0.19426643676538516</v>
      </c>
      <c r="R96" s="4">
        <f t="shared" ref="R96:AB96" si="79">R95/R88</f>
        <v>0.1566654030274946</v>
      </c>
      <c r="S96" s="4">
        <f t="shared" si="79"/>
        <v>-0.10458497028784003</v>
      </c>
      <c r="T96" s="4">
        <f t="shared" si="79"/>
        <v>0.42135963316030628</v>
      </c>
      <c r="U96" s="4">
        <f t="shared" si="79"/>
        <v>0.31506433157572755</v>
      </c>
      <c r="V96" s="4">
        <f t="shared" si="79"/>
        <v>0.2885777939430797</v>
      </c>
      <c r="W96" s="4">
        <f t="shared" si="79"/>
        <v>0.27654995949190975</v>
      </c>
      <c r="X96" s="4">
        <f t="shared" si="79"/>
        <v>0.2696801348767906</v>
      </c>
      <c r="Y96" s="4">
        <f t="shared" si="79"/>
        <v>0.26523620282070481</v>
      </c>
      <c r="Z96" s="4">
        <f t="shared" si="79"/>
        <v>0.26212603388227246</v>
      </c>
      <c r="AA96" s="4">
        <f t="shared" si="79"/>
        <v>0.25982752213432164</v>
      </c>
      <c r="AB96" s="4">
        <f t="shared" si="79"/>
        <v>0.2580596147368463</v>
      </c>
    </row>
    <row r="98" spans="16:28">
      <c r="P98" t="s">
        <v>165</v>
      </c>
      <c r="Q98" s="10">
        <f>Q90-Q67</f>
        <v>1584.4900000000007</v>
      </c>
      <c r="R98" s="10">
        <f t="shared" ref="R98:AB98" si="80">R90-R67</f>
        <v>1584.4900000000007</v>
      </c>
      <c r="S98" s="10">
        <f t="shared" si="80"/>
        <v>1584.4900000000007</v>
      </c>
      <c r="T98" s="10">
        <f t="shared" si="80"/>
        <v>1584.4900000000007</v>
      </c>
      <c r="U98" s="10">
        <f t="shared" si="80"/>
        <v>1584.4900000000007</v>
      </c>
      <c r="V98" s="10">
        <f t="shared" si="80"/>
        <v>1584.4900000000007</v>
      </c>
      <c r="W98" s="10">
        <f t="shared" si="80"/>
        <v>1584.4900000000007</v>
      </c>
      <c r="X98" s="10">
        <f t="shared" si="80"/>
        <v>1584.4900000000007</v>
      </c>
      <c r="Y98" s="10">
        <f t="shared" si="80"/>
        <v>1584.4900000000007</v>
      </c>
      <c r="Z98" s="10">
        <f t="shared" si="80"/>
        <v>1584.4900000000007</v>
      </c>
      <c r="AA98" s="10">
        <f t="shared" si="80"/>
        <v>1584.4900000000007</v>
      </c>
      <c r="AB98" s="10">
        <f t="shared" si="80"/>
        <v>1584.4900000000007</v>
      </c>
    </row>
    <row r="99" spans="16:28">
      <c r="P99" t="s">
        <v>30</v>
      </c>
      <c r="Q99" s="4">
        <f>Q98/Q90</f>
        <v>0.20000000000000007</v>
      </c>
      <c r="R99" s="4">
        <f t="shared" ref="R99:AB99" si="81">R98/R90</f>
        <v>0.20000000000000007</v>
      </c>
      <c r="S99" s="4">
        <f t="shared" si="81"/>
        <v>0.20000000000000007</v>
      </c>
      <c r="T99" s="4">
        <f t="shared" si="81"/>
        <v>0.20000000000000007</v>
      </c>
      <c r="U99" s="4">
        <f t="shared" si="81"/>
        <v>0.20000000000000007</v>
      </c>
      <c r="V99" s="4">
        <f t="shared" si="81"/>
        <v>0.20000000000000007</v>
      </c>
      <c r="W99" s="4">
        <f t="shared" si="81"/>
        <v>0.20000000000000007</v>
      </c>
      <c r="X99" s="4">
        <f t="shared" si="81"/>
        <v>0.20000000000000007</v>
      </c>
      <c r="Y99" s="4">
        <f t="shared" si="81"/>
        <v>0.20000000000000007</v>
      </c>
      <c r="Z99" s="4">
        <f t="shared" si="81"/>
        <v>0.20000000000000007</v>
      </c>
      <c r="AA99" s="4">
        <f t="shared" si="81"/>
        <v>0.20000000000000007</v>
      </c>
      <c r="AB99" s="4">
        <f t="shared" si="81"/>
        <v>0.20000000000000007</v>
      </c>
    </row>
    <row r="101" spans="16:28">
      <c r="P101" t="s">
        <v>166</v>
      </c>
      <c r="Q101" s="10">
        <f>Q95+Q98</f>
        <v>2774917.3368835356</v>
      </c>
      <c r="R101" s="10">
        <f t="shared" ref="R101:AB101" si="82">R95+R98</f>
        <v>1280805.874455339</v>
      </c>
      <c r="S101" s="10">
        <f t="shared" si="82"/>
        <v>-213305.58797285846</v>
      </c>
      <c r="T101" s="10">
        <f t="shared" si="82"/>
        <v>-1707417.0504010564</v>
      </c>
      <c r="U101" s="10">
        <f t="shared" si="82"/>
        <v>-3201528.5128292525</v>
      </c>
      <c r="V101" s="10">
        <f t="shared" si="82"/>
        <v>-4695639.9752574507</v>
      </c>
      <c r="W101" s="10">
        <f t="shared" si="82"/>
        <v>-6189751.4376856443</v>
      </c>
      <c r="X101" s="10">
        <f t="shared" si="82"/>
        <v>-7683862.9001138415</v>
      </c>
      <c r="Y101" s="10">
        <f t="shared" si="82"/>
        <v>-9177974.3625420388</v>
      </c>
      <c r="Z101" s="10">
        <f t="shared" si="82"/>
        <v>-10672085.824970232</v>
      </c>
      <c r="AA101" s="10">
        <f t="shared" si="82"/>
        <v>-12166197.287398444</v>
      </c>
      <c r="AB101" s="10">
        <f t="shared" si="82"/>
        <v>-13660308.749826627</v>
      </c>
    </row>
    <row r="102" spans="16:28">
      <c r="Q102" s="4">
        <f>Q101/Q92</f>
        <v>0.1942696168519861</v>
      </c>
      <c r="R102" s="4">
        <f t="shared" ref="R102:AB102" si="83">R101/R92</f>
        <v>0.1567074079787607</v>
      </c>
      <c r="S102" s="4">
        <f t="shared" si="83"/>
        <v>-0.10341506806649456</v>
      </c>
      <c r="T102" s="4">
        <f t="shared" si="83"/>
        <v>0.42179286218545764</v>
      </c>
      <c r="U102" s="4">
        <f t="shared" si="83"/>
        <v>0.31515406738181645</v>
      </c>
      <c r="V102" s="4">
        <f t="shared" si="83"/>
        <v>0.28862092771066067</v>
      </c>
      <c r="W102" s="4">
        <f t="shared" si="83"/>
        <v>0.27657705812692884</v>
      </c>
      <c r="X102" s="4">
        <f t="shared" si="83"/>
        <v>0.26969951109610324</v>
      </c>
      <c r="Y102" s="4">
        <f t="shared" si="83"/>
        <v>0.26525113965625452</v>
      </c>
      <c r="Z102" s="4">
        <f t="shared" si="83"/>
        <v>0.26213812354021232</v>
      </c>
      <c r="AA102" s="4">
        <f t="shared" si="83"/>
        <v>0.25983764509943025</v>
      </c>
      <c r="AB102" s="4">
        <f t="shared" si="83"/>
        <v>0.25806830449740331</v>
      </c>
    </row>
  </sheetData>
  <mergeCells count="1">
    <mergeCell ref="Q2:AB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853C9-575A-47F6-B351-C0F0C2A630A9}">
  <dimension ref="A2:AQ26"/>
  <sheetViews>
    <sheetView zoomScale="70" zoomScaleNormal="70" workbookViewId="0">
      <pane xSplit="1" ySplit="7" topLeftCell="B8" activePane="bottomRight" state="frozen"/>
      <selection pane="topRight" activeCell="B1" sqref="B1"/>
      <selection pane="bottomLeft" activeCell="A8" sqref="A8"/>
      <selection pane="bottomRight" activeCell="A20" sqref="A20"/>
    </sheetView>
  </sheetViews>
  <sheetFormatPr defaultRowHeight="14.6"/>
  <cols>
    <col min="1" max="1" width="22.23046875" bestFit="1" customWidth="1"/>
    <col min="2" max="2" width="38.84375" bestFit="1" customWidth="1"/>
    <col min="3" max="7" width="9.15234375" bestFit="1" customWidth="1"/>
    <col min="8" max="10" width="10.07421875" bestFit="1" customWidth="1"/>
    <col min="11" max="11" width="10.23046875" bestFit="1" customWidth="1"/>
    <col min="12" max="12" width="17.15234375" customWidth="1"/>
    <col min="13" max="13" width="10.23046875" bestFit="1" customWidth="1"/>
    <col min="14" max="14" width="15.84375" bestFit="1" customWidth="1"/>
    <col min="15" max="18" width="14.69140625" bestFit="1" customWidth="1"/>
    <col min="19" max="25" width="15.84375" bestFit="1" customWidth="1"/>
    <col min="26" max="26" width="22.53515625" bestFit="1" customWidth="1"/>
    <col min="27" max="30" width="14.69140625" bestFit="1" customWidth="1"/>
    <col min="31" max="34" width="14.4609375" customWidth="1"/>
    <col min="35" max="37" width="14.69140625" bestFit="1" customWidth="1"/>
    <col min="38" max="38" width="16" bestFit="1" customWidth="1"/>
    <col min="39" max="39" width="19.69140625" bestFit="1" customWidth="1"/>
    <col min="40" max="40" width="27.4609375" bestFit="1" customWidth="1"/>
    <col min="43" max="43" width="10.15234375" bestFit="1" customWidth="1"/>
  </cols>
  <sheetData>
    <row r="2" spans="1:43">
      <c r="A2" t="s">
        <v>20</v>
      </c>
      <c r="B2" t="s">
        <v>232</v>
      </c>
    </row>
    <row r="3" spans="1:43">
      <c r="A3" t="s">
        <v>21</v>
      </c>
      <c r="B3" t="s">
        <v>0</v>
      </c>
    </row>
    <row r="5" spans="1:43">
      <c r="B5" t="s">
        <v>1</v>
      </c>
    </row>
    <row r="6" spans="1:43">
      <c r="B6" t="s">
        <v>2</v>
      </c>
      <c r="N6" t="s">
        <v>3</v>
      </c>
      <c r="Z6" t="s">
        <v>4</v>
      </c>
      <c r="AL6" t="s">
        <v>5</v>
      </c>
      <c r="AM6" t="s">
        <v>6</v>
      </c>
      <c r="AN6" t="s">
        <v>7</v>
      </c>
    </row>
    <row r="7" spans="1:43">
      <c r="A7" t="s">
        <v>8</v>
      </c>
      <c r="B7" s="1">
        <v>45017</v>
      </c>
      <c r="C7" s="1">
        <v>45047</v>
      </c>
      <c r="D7" s="1">
        <v>45078</v>
      </c>
      <c r="E7" s="1">
        <v>45108</v>
      </c>
      <c r="F7" s="1">
        <v>45139</v>
      </c>
      <c r="G7" s="1">
        <v>45170</v>
      </c>
      <c r="H7" s="1">
        <v>45200</v>
      </c>
      <c r="I7" s="1">
        <v>45231</v>
      </c>
      <c r="J7" s="1">
        <v>45261</v>
      </c>
      <c r="K7" s="1">
        <v>45292</v>
      </c>
      <c r="L7" s="1">
        <v>45323</v>
      </c>
      <c r="M7" s="1">
        <v>45352</v>
      </c>
      <c r="N7" s="1">
        <v>45017</v>
      </c>
      <c r="O7" s="1">
        <v>45047</v>
      </c>
      <c r="P7" s="1">
        <v>45078</v>
      </c>
      <c r="Q7" s="1">
        <v>45108</v>
      </c>
      <c r="R7" s="1">
        <v>45139</v>
      </c>
      <c r="S7" s="1">
        <v>45170</v>
      </c>
      <c r="T7" s="1">
        <v>45200</v>
      </c>
      <c r="U7" s="1">
        <v>45231</v>
      </c>
      <c r="V7" s="1">
        <v>45261</v>
      </c>
      <c r="W7" s="1">
        <v>45292</v>
      </c>
      <c r="X7" s="1">
        <v>45323</v>
      </c>
      <c r="Y7" s="1">
        <v>45352</v>
      </c>
      <c r="Z7" s="1">
        <v>45017</v>
      </c>
      <c r="AA7" s="1">
        <v>45047</v>
      </c>
      <c r="AB7" s="1">
        <v>45078</v>
      </c>
      <c r="AC7" s="1">
        <v>45108</v>
      </c>
      <c r="AD7" s="1">
        <v>45139</v>
      </c>
      <c r="AE7" s="1">
        <v>45170</v>
      </c>
      <c r="AF7" s="1">
        <v>45200</v>
      </c>
      <c r="AG7" s="1">
        <v>45231</v>
      </c>
      <c r="AH7" s="1">
        <v>45261</v>
      </c>
      <c r="AI7" s="1">
        <v>45292</v>
      </c>
      <c r="AJ7" s="1">
        <v>45323</v>
      </c>
      <c r="AK7" s="1">
        <v>45352</v>
      </c>
    </row>
    <row r="8" spans="1:43">
      <c r="A8" s="2" t="s">
        <v>9</v>
      </c>
      <c r="B8" s="3">
        <v>410</v>
      </c>
      <c r="C8" s="3">
        <v>503</v>
      </c>
      <c r="D8" s="3">
        <v>513</v>
      </c>
      <c r="E8" s="3">
        <v>534</v>
      </c>
      <c r="F8" s="3">
        <v>618</v>
      </c>
      <c r="G8" s="3">
        <v>607</v>
      </c>
      <c r="H8" s="3">
        <v>637</v>
      </c>
      <c r="I8" s="3">
        <v>522</v>
      </c>
      <c r="J8" s="3">
        <v>544</v>
      </c>
      <c r="K8" s="3">
        <v>648</v>
      </c>
      <c r="L8" s="3">
        <v>645</v>
      </c>
      <c r="M8" s="3">
        <v>651</v>
      </c>
      <c r="N8" s="10">
        <v>2219849.21</v>
      </c>
      <c r="O8" s="10">
        <v>2820649.9699999993</v>
      </c>
      <c r="P8" s="10">
        <v>2986207.21</v>
      </c>
      <c r="Q8" s="10">
        <v>2843119.4699999993</v>
      </c>
      <c r="R8" s="10">
        <v>3980682.3300000005</v>
      </c>
      <c r="S8" s="10">
        <v>3864977.6199999992</v>
      </c>
      <c r="T8" s="10">
        <v>3645693.3499999996</v>
      </c>
      <c r="U8" s="10">
        <v>3168290.3299999996</v>
      </c>
      <c r="V8" s="10">
        <v>3257389.7600000002</v>
      </c>
      <c r="W8" s="10">
        <v>3794735.2200000007</v>
      </c>
      <c r="X8" s="10">
        <v>4197004.9700000007</v>
      </c>
      <c r="Y8" s="10">
        <v>4223590.3899999997</v>
      </c>
      <c r="Z8" s="10">
        <v>58761.80000000001</v>
      </c>
      <c r="AA8" s="10">
        <v>75395.77</v>
      </c>
      <c r="AB8" s="10">
        <v>78423.340000000011</v>
      </c>
      <c r="AC8" s="10">
        <v>79148.10000000002</v>
      </c>
      <c r="AD8" s="10">
        <v>107161.23999999999</v>
      </c>
      <c r="AE8" s="10">
        <v>102147.75000000001</v>
      </c>
      <c r="AF8" s="10">
        <v>102738.18</v>
      </c>
      <c r="AG8" s="10">
        <v>86108.78</v>
      </c>
      <c r="AH8" s="10">
        <v>89676.449999999983</v>
      </c>
      <c r="AI8" s="10">
        <v>104228.91555999999</v>
      </c>
      <c r="AJ8" s="10">
        <v>116485.70144999999</v>
      </c>
      <c r="AK8" s="10">
        <v>116227.60998000001</v>
      </c>
      <c r="AL8" s="3">
        <f>SUM(B8:M8)</f>
        <v>6832</v>
      </c>
      <c r="AM8" s="10">
        <f>SUM(N8:Y8)</f>
        <v>41002189.829999998</v>
      </c>
      <c r="AN8" s="10">
        <f>SUM(Z8:AK8)</f>
        <v>1116503.63699</v>
      </c>
    </row>
    <row r="9" spans="1:43">
      <c r="A9" s="2" t="s">
        <v>10</v>
      </c>
      <c r="B9" s="3">
        <v>9294</v>
      </c>
      <c r="C9" s="3">
        <v>10460</v>
      </c>
      <c r="D9" s="3">
        <v>10574</v>
      </c>
      <c r="E9" s="3">
        <v>10011</v>
      </c>
      <c r="F9" s="3">
        <v>10707</v>
      </c>
      <c r="G9" s="3">
        <v>9560</v>
      </c>
      <c r="H9" s="3">
        <v>10218</v>
      </c>
      <c r="I9" s="3">
        <v>9993</v>
      </c>
      <c r="J9" s="3">
        <v>9495</v>
      </c>
      <c r="K9" s="3">
        <v>9972</v>
      </c>
      <c r="L9" s="3">
        <v>9656</v>
      </c>
      <c r="M9" s="3">
        <v>10153</v>
      </c>
      <c r="N9" s="10">
        <v>50925918.000000007</v>
      </c>
      <c r="O9" s="10">
        <v>55991655.689999998</v>
      </c>
      <c r="P9" s="10">
        <v>57892344.359999999</v>
      </c>
      <c r="Q9" s="10">
        <v>54799881.989999995</v>
      </c>
      <c r="R9" s="10">
        <v>55427556.099999994</v>
      </c>
      <c r="S9" s="10">
        <v>49859979.920000002</v>
      </c>
      <c r="T9" s="10">
        <v>55890787.43</v>
      </c>
      <c r="U9" s="10">
        <v>52229680.600000009</v>
      </c>
      <c r="V9" s="10">
        <v>49871188.580000006</v>
      </c>
      <c r="W9" s="10">
        <v>54361721.5</v>
      </c>
      <c r="X9" s="10">
        <v>52962299.57</v>
      </c>
      <c r="Y9" s="10">
        <v>59249774.32</v>
      </c>
      <c r="Z9" s="10">
        <v>1170512.2000000004</v>
      </c>
      <c r="AA9" s="10">
        <v>1200356.43</v>
      </c>
      <c r="AB9" s="10">
        <v>1203251.1300000004</v>
      </c>
      <c r="AC9" s="10">
        <v>1266192.7500000002</v>
      </c>
      <c r="AD9" s="10">
        <v>1210817.5100000002</v>
      </c>
      <c r="AE9" s="10">
        <v>1150494.3799999999</v>
      </c>
      <c r="AF9" s="10">
        <v>1146867.99</v>
      </c>
      <c r="AG9" s="10">
        <v>1180122.22</v>
      </c>
      <c r="AH9" s="10">
        <v>1106144.68</v>
      </c>
      <c r="AI9" s="10">
        <v>1193245.3407769999</v>
      </c>
      <c r="AJ9" s="10">
        <v>1153404.3692139999</v>
      </c>
      <c r="AK9" s="10">
        <v>1310068.5471299998</v>
      </c>
      <c r="AL9" s="3">
        <f>SUM(B9:M9)</f>
        <v>120093</v>
      </c>
      <c r="AM9" s="10">
        <f>SUM(N9:Y9)</f>
        <v>649462788.06000018</v>
      </c>
      <c r="AN9" s="10">
        <f t="shared" ref="AN9:AN14" si="0">SUM(Z9:AK9)</f>
        <v>14291477.547121001</v>
      </c>
    </row>
    <row r="10" spans="1:43">
      <c r="A10" s="2" t="s">
        <v>22</v>
      </c>
      <c r="B10" s="3">
        <v>41</v>
      </c>
      <c r="C10" s="3">
        <v>51</v>
      </c>
      <c r="D10" s="3">
        <v>41</v>
      </c>
      <c r="E10" s="3">
        <v>59</v>
      </c>
      <c r="F10" s="3">
        <v>60</v>
      </c>
      <c r="G10" s="3">
        <v>45</v>
      </c>
      <c r="H10" s="3">
        <v>53</v>
      </c>
      <c r="I10" s="3">
        <v>51</v>
      </c>
      <c r="J10" s="3">
        <v>54</v>
      </c>
      <c r="K10" s="3">
        <v>59</v>
      </c>
      <c r="L10" s="3">
        <v>39</v>
      </c>
      <c r="M10" s="3">
        <v>58</v>
      </c>
      <c r="N10" s="10">
        <v>84621</v>
      </c>
      <c r="O10" s="10">
        <v>152072.18</v>
      </c>
      <c r="P10" s="10">
        <v>100268.55</v>
      </c>
      <c r="Q10" s="10">
        <v>145446.45000000001</v>
      </c>
      <c r="R10" s="10">
        <v>95411.520000000004</v>
      </c>
      <c r="S10" s="10">
        <v>110759.62</v>
      </c>
      <c r="T10" s="10">
        <v>116292.06</v>
      </c>
      <c r="U10" s="10">
        <v>121026.01</v>
      </c>
      <c r="V10" s="10">
        <v>189938.78</v>
      </c>
      <c r="W10" s="10">
        <v>238497.86</v>
      </c>
      <c r="X10" s="10">
        <v>78160.070000000007</v>
      </c>
      <c r="Y10" s="10">
        <v>159081.10999999999</v>
      </c>
      <c r="Z10" s="10">
        <v>190.78305898534447</v>
      </c>
      <c r="AA10" s="10">
        <v>407.29792121777729</v>
      </c>
      <c r="AB10" s="10">
        <v>239.33498272063846</v>
      </c>
      <c r="AC10" s="10">
        <v>388.12948665373693</v>
      </c>
      <c r="AD10" s="10">
        <v>275.58155571430092</v>
      </c>
      <c r="AE10" s="10">
        <v>272.90064964707472</v>
      </c>
      <c r="AF10" s="10">
        <v>312.56270911064121</v>
      </c>
      <c r="AG10" s="10">
        <v>354.25022588451071</v>
      </c>
      <c r="AH10" s="10">
        <v>407.95348788890021</v>
      </c>
      <c r="AI10" s="10">
        <v>415.71725335382689</v>
      </c>
      <c r="AJ10" s="10">
        <v>247.78423100232487</v>
      </c>
      <c r="AK10" s="10">
        <v>353.6996189202107</v>
      </c>
      <c r="AL10" s="3">
        <f>SUM(B10:M10)</f>
        <v>611</v>
      </c>
      <c r="AM10" s="10">
        <f>SUM(N10:Y10)</f>
        <v>1591575.21</v>
      </c>
      <c r="AN10" s="10">
        <f t="shared" si="0"/>
        <v>3865.995181099287</v>
      </c>
    </row>
    <row r="11" spans="1:43">
      <c r="A11" s="2" t="s">
        <v>11</v>
      </c>
      <c r="B11" s="3">
        <v>140</v>
      </c>
      <c r="C11" s="3">
        <v>169</v>
      </c>
      <c r="D11" s="3">
        <v>156</v>
      </c>
      <c r="E11" s="3">
        <v>127</v>
      </c>
      <c r="F11" s="3">
        <v>168</v>
      </c>
      <c r="G11" s="3">
        <v>152</v>
      </c>
      <c r="H11" s="3">
        <v>137</v>
      </c>
      <c r="I11" s="3">
        <v>157</v>
      </c>
      <c r="J11" s="3">
        <v>149</v>
      </c>
      <c r="K11" s="3">
        <v>157</v>
      </c>
      <c r="L11" s="3">
        <v>142</v>
      </c>
      <c r="M11" s="3">
        <v>150</v>
      </c>
      <c r="N11" s="10">
        <v>608753.65999999992</v>
      </c>
      <c r="O11" s="10">
        <v>592481.23999999987</v>
      </c>
      <c r="P11" s="10">
        <v>515902.62</v>
      </c>
      <c r="Q11" s="10">
        <v>469692.47000000003</v>
      </c>
      <c r="R11" s="10">
        <v>587091.37</v>
      </c>
      <c r="S11" s="10">
        <v>552687.74</v>
      </c>
      <c r="T11" s="10">
        <v>420437.91</v>
      </c>
      <c r="U11" s="10">
        <v>586806.66</v>
      </c>
      <c r="V11" s="10">
        <v>569253</v>
      </c>
      <c r="W11" s="10">
        <v>504695.1</v>
      </c>
      <c r="X11" s="10">
        <v>527362.24</v>
      </c>
      <c r="Y11" s="10">
        <v>524807.73</v>
      </c>
      <c r="Z11" s="10">
        <v>336.95</v>
      </c>
      <c r="AA11" s="10">
        <v>334.35999999999996</v>
      </c>
      <c r="AB11" s="10">
        <v>292.76</v>
      </c>
      <c r="AC11" s="10">
        <v>263.95000000000005</v>
      </c>
      <c r="AD11" s="10">
        <v>330.30999999999995</v>
      </c>
      <c r="AE11" s="10">
        <v>309.71999999999997</v>
      </c>
      <c r="AF11" s="10">
        <v>240.2</v>
      </c>
      <c r="AG11" s="10">
        <v>329.07</v>
      </c>
      <c r="AH11" s="10">
        <v>328.42</v>
      </c>
      <c r="AI11" s="10">
        <v>287.93615</v>
      </c>
      <c r="AJ11" s="10">
        <v>295.29677000000004</v>
      </c>
      <c r="AK11" s="10">
        <v>295.18205499999999</v>
      </c>
      <c r="AL11" s="3">
        <f>SUM(B11:M11)</f>
        <v>1804</v>
      </c>
      <c r="AM11" s="10">
        <f>SUM(N11:Y11)</f>
        <v>6459971.7400000002</v>
      </c>
      <c r="AN11" s="10">
        <f t="shared" si="0"/>
        <v>3644.1549750000004</v>
      </c>
      <c r="AO11" s="5"/>
      <c r="AP11" s="3"/>
      <c r="AQ11" s="3"/>
    </row>
    <row r="12" spans="1:43" ht="17.149999999999999" customHeight="1">
      <c r="A12" s="2" t="s">
        <v>12</v>
      </c>
      <c r="B12" s="3">
        <f>131/12</f>
        <v>10.916666666666666</v>
      </c>
      <c r="C12" s="3">
        <f t="shared" ref="C12:M12" si="1">131/12</f>
        <v>10.916666666666666</v>
      </c>
      <c r="D12" s="3">
        <f t="shared" si="1"/>
        <v>10.916666666666666</v>
      </c>
      <c r="E12" s="3">
        <f t="shared" si="1"/>
        <v>10.916666666666666</v>
      </c>
      <c r="F12" s="3">
        <f t="shared" si="1"/>
        <v>10.916666666666666</v>
      </c>
      <c r="G12" s="3">
        <f t="shared" si="1"/>
        <v>10.916666666666666</v>
      </c>
      <c r="H12" s="3">
        <f t="shared" si="1"/>
        <v>10.916666666666666</v>
      </c>
      <c r="I12" s="3">
        <f t="shared" si="1"/>
        <v>10.916666666666666</v>
      </c>
      <c r="J12" s="3">
        <f t="shared" si="1"/>
        <v>10.916666666666666</v>
      </c>
      <c r="K12" s="3">
        <f t="shared" si="1"/>
        <v>10.916666666666666</v>
      </c>
      <c r="L12" s="3">
        <f t="shared" si="1"/>
        <v>10.916666666666666</v>
      </c>
      <c r="M12" s="3">
        <f t="shared" si="1"/>
        <v>10.916666666666666</v>
      </c>
      <c r="N12" s="10">
        <v>20000.5</v>
      </c>
      <c r="O12" s="10">
        <v>-18167.189999999999</v>
      </c>
      <c r="P12" s="10">
        <v>3727.1899999999996</v>
      </c>
      <c r="Q12" s="10">
        <v>258.60999999999922</v>
      </c>
      <c r="R12" s="10">
        <v>1262.6299999999999</v>
      </c>
      <c r="S12" s="10">
        <v>3348.0899999999992</v>
      </c>
      <c r="T12" s="10">
        <v>3553.369999999999</v>
      </c>
      <c r="U12" s="10">
        <v>10413.01</v>
      </c>
      <c r="V12" s="10">
        <v>7873.91</v>
      </c>
      <c r="W12" s="10">
        <v>11595.23</v>
      </c>
      <c r="X12" s="10">
        <v>-3141.0099999999993</v>
      </c>
      <c r="Y12" s="10">
        <v>-18669.22</v>
      </c>
      <c r="Z12" s="10">
        <v>440.13000000000005</v>
      </c>
      <c r="AA12" s="10">
        <v>64.039999999999992</v>
      </c>
      <c r="AB12" s="10">
        <v>142.97</v>
      </c>
      <c r="AC12" s="10">
        <v>46.41</v>
      </c>
      <c r="AD12" s="10">
        <v>140.18</v>
      </c>
      <c r="AE12" s="10">
        <v>39.5</v>
      </c>
      <c r="AF12" s="10">
        <v>15.83</v>
      </c>
      <c r="AG12" s="10">
        <v>218.48</v>
      </c>
      <c r="AH12" s="10">
        <v>215.85999999999999</v>
      </c>
      <c r="AI12" s="10">
        <v>74.236099999999993</v>
      </c>
      <c r="AJ12" s="10">
        <v>196.64000000000001</v>
      </c>
      <c r="AK12" s="10">
        <v>35.297409999999999</v>
      </c>
      <c r="AL12" s="3">
        <v>131</v>
      </c>
      <c r="AM12" s="10">
        <v>132891.95999999996</v>
      </c>
      <c r="AN12" s="10">
        <v>1646.5692250000002</v>
      </c>
      <c r="AO12" s="5"/>
      <c r="AQ12" s="5"/>
    </row>
    <row r="13" spans="1:43">
      <c r="A13" s="2" t="s">
        <v>13</v>
      </c>
      <c r="B13" s="3"/>
      <c r="C13" s="3"/>
      <c r="D13" s="3"/>
      <c r="E13" s="3"/>
      <c r="F13" s="3"/>
      <c r="G13" s="3"/>
      <c r="H13" s="3"/>
      <c r="I13" s="3"/>
      <c r="J13" s="3"/>
      <c r="K13" s="3"/>
      <c r="L13" s="3"/>
      <c r="M13" s="3"/>
      <c r="N13" s="10"/>
      <c r="O13" s="10"/>
      <c r="P13" s="10"/>
      <c r="Q13" s="10"/>
      <c r="R13" s="10"/>
      <c r="S13" s="10"/>
      <c r="T13" s="10"/>
      <c r="U13" s="10"/>
      <c r="V13" s="10"/>
      <c r="W13" s="10"/>
      <c r="X13" s="10"/>
      <c r="Y13" s="10"/>
      <c r="Z13" s="10">
        <v>59749.889999999992</v>
      </c>
      <c r="AA13" s="10">
        <v>67665.62999999999</v>
      </c>
      <c r="AB13" s="10">
        <v>65738.930000000008</v>
      </c>
      <c r="AC13" s="10">
        <v>64612.689999999995</v>
      </c>
      <c r="AD13" s="10">
        <v>58120.200000000004</v>
      </c>
      <c r="AE13" s="10">
        <v>52734.495099999993</v>
      </c>
      <c r="AF13" s="10">
        <v>55803.36529999999</v>
      </c>
      <c r="AG13" s="10">
        <v>54009.87</v>
      </c>
      <c r="AH13" s="10">
        <v>54832.869999999995</v>
      </c>
      <c r="AI13" s="10">
        <v>57626.344700000001</v>
      </c>
      <c r="AJ13" s="10">
        <v>58592.392500000002</v>
      </c>
      <c r="AK13" s="10">
        <v>64114.524799999992</v>
      </c>
      <c r="AL13" s="21"/>
      <c r="AM13" s="21"/>
      <c r="AN13" s="10">
        <f t="shared" si="0"/>
        <v>713601.20239999995</v>
      </c>
      <c r="AO13" s="3"/>
    </row>
    <row r="14" spans="1:43">
      <c r="A14" s="2" t="s">
        <v>14</v>
      </c>
      <c r="B14" s="3"/>
      <c r="C14" s="3"/>
      <c r="D14" s="3"/>
      <c r="E14" s="3"/>
      <c r="F14" s="3"/>
      <c r="G14" s="3"/>
      <c r="H14" s="3"/>
      <c r="I14" s="3"/>
      <c r="J14" s="3"/>
      <c r="K14" s="3"/>
      <c r="L14" s="3"/>
      <c r="M14" s="3"/>
      <c r="N14" s="10"/>
      <c r="O14" s="10"/>
      <c r="P14" s="10"/>
      <c r="Q14" s="10"/>
      <c r="R14" s="10"/>
      <c r="S14" s="10"/>
      <c r="T14" s="10"/>
      <c r="U14" s="10"/>
      <c r="V14" s="10"/>
      <c r="W14" s="10"/>
      <c r="X14" s="10"/>
      <c r="Y14" s="10"/>
      <c r="Z14" s="10">
        <v>147.83000000000001</v>
      </c>
      <c r="AA14" s="10">
        <v>167.60999999999999</v>
      </c>
      <c r="AB14" s="10">
        <v>169.17999999999998</v>
      </c>
      <c r="AC14" s="10">
        <v>160.63499999999996</v>
      </c>
      <c r="AD14" s="10">
        <v>6385.4650000000001</v>
      </c>
      <c r="AE14" s="10">
        <v>123.61000000000004</v>
      </c>
      <c r="AF14" s="10">
        <v>132.87500000000006</v>
      </c>
      <c r="AG14" s="10">
        <v>128.85</v>
      </c>
      <c r="AH14" s="10">
        <v>60.389999999999993</v>
      </c>
      <c r="AI14" s="10">
        <v>319.75</v>
      </c>
      <c r="AJ14" s="10">
        <v>275.49</v>
      </c>
      <c r="AK14" s="10">
        <v>286.55599999999998</v>
      </c>
      <c r="AL14" s="21"/>
      <c r="AM14" s="21"/>
      <c r="AN14" s="10">
        <f t="shared" si="0"/>
        <v>8358.241</v>
      </c>
    </row>
    <row r="15" spans="1:43">
      <c r="A15" s="2" t="s">
        <v>15</v>
      </c>
      <c r="B15" s="3">
        <f>SUM(B8:B14)</f>
        <v>9895.9166666666661</v>
      </c>
      <c r="C15" s="3">
        <f>SUM(C8:C14)</f>
        <v>11193.916666666666</v>
      </c>
      <c r="D15" s="3">
        <f t="shared" ref="D15:M15" si="2">SUM(D8:D14)</f>
        <v>11294.916666666666</v>
      </c>
      <c r="E15" s="3">
        <f t="shared" si="2"/>
        <v>10741.916666666666</v>
      </c>
      <c r="F15" s="3">
        <f t="shared" si="2"/>
        <v>11563.916666666666</v>
      </c>
      <c r="G15" s="3">
        <f t="shared" si="2"/>
        <v>10374.916666666666</v>
      </c>
      <c r="H15" s="3">
        <f t="shared" si="2"/>
        <v>11055.916666666666</v>
      </c>
      <c r="I15" s="3">
        <f t="shared" si="2"/>
        <v>10733.916666666666</v>
      </c>
      <c r="J15" s="3">
        <f t="shared" si="2"/>
        <v>10252.916666666666</v>
      </c>
      <c r="K15" s="3">
        <f t="shared" si="2"/>
        <v>10846.916666666666</v>
      </c>
      <c r="L15" s="3">
        <f t="shared" si="2"/>
        <v>10492.916666666666</v>
      </c>
      <c r="M15" s="3">
        <f t="shared" si="2"/>
        <v>11022.916666666666</v>
      </c>
      <c r="N15" s="3">
        <f>SUM(N8:N12)</f>
        <v>53859142.370000005</v>
      </c>
      <c r="O15" s="3">
        <f t="shared" ref="O15:Y15" si="3">SUM(O8:O12)</f>
        <v>59538691.890000001</v>
      </c>
      <c r="P15" s="3">
        <f t="shared" si="3"/>
        <v>61498449.929999992</v>
      </c>
      <c r="Q15" s="3">
        <f t="shared" si="3"/>
        <v>58258398.989999995</v>
      </c>
      <c r="R15" s="3">
        <f t="shared" si="3"/>
        <v>60092003.949999996</v>
      </c>
      <c r="S15" s="3">
        <f t="shared" si="3"/>
        <v>54391752.990000002</v>
      </c>
      <c r="T15" s="3">
        <f t="shared" si="3"/>
        <v>60076764.119999997</v>
      </c>
      <c r="U15" s="3">
        <f t="shared" si="3"/>
        <v>56116216.609999999</v>
      </c>
      <c r="V15" s="3">
        <f t="shared" si="3"/>
        <v>53895644.030000001</v>
      </c>
      <c r="W15" s="3">
        <f t="shared" si="3"/>
        <v>58911244.909999996</v>
      </c>
      <c r="X15" s="3">
        <f t="shared" si="3"/>
        <v>57761685.840000004</v>
      </c>
      <c r="Y15" s="3">
        <f t="shared" si="3"/>
        <v>64138584.329999998</v>
      </c>
      <c r="Z15" s="9">
        <f>SUM(Z8:Z14)</f>
        <v>1290139.5830589856</v>
      </c>
      <c r="AA15" s="9">
        <f t="shared" ref="AA15:AK15" si="4">SUM(AA8:AA14)</f>
        <v>1344391.1379212178</v>
      </c>
      <c r="AB15" s="9">
        <f t="shared" si="4"/>
        <v>1348257.644982721</v>
      </c>
      <c r="AC15" s="9">
        <f t="shared" si="4"/>
        <v>1410812.6644866539</v>
      </c>
      <c r="AD15" s="9">
        <f t="shared" si="4"/>
        <v>1383230.4865557146</v>
      </c>
      <c r="AE15" s="9">
        <f t="shared" si="4"/>
        <v>1306122.3557496469</v>
      </c>
      <c r="AF15" s="9">
        <f t="shared" si="4"/>
        <v>1306111.0030091105</v>
      </c>
      <c r="AG15" s="9">
        <f t="shared" si="4"/>
        <v>1321271.5202258849</v>
      </c>
      <c r="AH15" s="9">
        <f t="shared" si="4"/>
        <v>1251666.6234878886</v>
      </c>
      <c r="AI15" s="9">
        <f t="shared" si="4"/>
        <v>1356198.240540354</v>
      </c>
      <c r="AJ15" s="9">
        <f t="shared" si="4"/>
        <v>1329497.6741650021</v>
      </c>
      <c r="AK15" s="9">
        <f t="shared" si="4"/>
        <v>1491381.4169939202</v>
      </c>
      <c r="AL15" s="8">
        <f>SUM(AL8:AL14)</f>
        <v>129471</v>
      </c>
      <c r="AM15" s="9">
        <f>SUM(AM8:AM14)</f>
        <v>698649416.80000031</v>
      </c>
      <c r="AN15" s="9">
        <f>SUM(AN8:AN14)</f>
        <v>16139097.346892102</v>
      </c>
    </row>
    <row r="16" spans="1:43">
      <c r="Z16" s="5"/>
      <c r="AA16" s="5"/>
      <c r="AB16" s="5"/>
      <c r="AC16" s="5"/>
      <c r="AD16" s="5"/>
      <c r="AE16" s="5"/>
      <c r="AF16" s="5"/>
      <c r="AG16" s="5"/>
      <c r="AH16" s="5"/>
      <c r="AI16" s="5"/>
      <c r="AJ16" s="5"/>
      <c r="AK16" s="5"/>
    </row>
    <row r="17" spans="1:40">
      <c r="A17" s="2" t="s">
        <v>31</v>
      </c>
      <c r="B17" s="160">
        <v>12179</v>
      </c>
      <c r="C17" s="160">
        <v>13416</v>
      </c>
      <c r="D17" s="160">
        <v>13746</v>
      </c>
      <c r="E17" s="160">
        <v>13022</v>
      </c>
      <c r="F17" s="160">
        <v>13809</v>
      </c>
      <c r="G17" s="160">
        <v>13108</v>
      </c>
      <c r="H17" s="160">
        <v>13157</v>
      </c>
      <c r="I17" s="160">
        <v>13041</v>
      </c>
      <c r="J17" s="160">
        <v>13180</v>
      </c>
      <c r="K17" s="160">
        <v>13390</v>
      </c>
      <c r="L17" s="161">
        <v>12959</v>
      </c>
      <c r="M17" s="161">
        <v>13442</v>
      </c>
      <c r="N17" s="9">
        <v>62012011.699999966</v>
      </c>
      <c r="O17" s="9">
        <v>69647889.359999985</v>
      </c>
      <c r="P17" s="9">
        <v>72851116.36999999</v>
      </c>
      <c r="Q17" s="9">
        <v>68190434.539999992</v>
      </c>
      <c r="R17" s="9">
        <v>71491940.550000012</v>
      </c>
      <c r="S17" s="9">
        <v>68092474.149999991</v>
      </c>
      <c r="T17" s="9">
        <v>69587515.700000003</v>
      </c>
      <c r="U17" s="9">
        <v>69705694.549999997</v>
      </c>
      <c r="V17" s="9">
        <v>69480508.840000004</v>
      </c>
      <c r="W17" s="9">
        <v>74315681.099999994</v>
      </c>
      <c r="X17" s="9">
        <v>71364232.189999968</v>
      </c>
      <c r="Y17" s="9">
        <v>75828875.8699999</v>
      </c>
      <c r="Z17" s="5"/>
      <c r="AA17" s="5"/>
      <c r="AB17" s="5"/>
      <c r="AC17" s="5"/>
      <c r="AD17" s="5"/>
      <c r="AE17" s="5"/>
      <c r="AF17" s="5"/>
      <c r="AG17" s="5"/>
      <c r="AH17" s="5"/>
      <c r="AI17" s="5"/>
      <c r="AJ17" s="5"/>
      <c r="AK17" s="5"/>
      <c r="AL17" s="160">
        <f>SUM(B17:M17)</f>
        <v>158449</v>
      </c>
      <c r="AM17" s="10">
        <f>SUM(N17:Y17)</f>
        <v>842568374.91999972</v>
      </c>
    </row>
    <row r="18" spans="1:40">
      <c r="A18" s="2"/>
      <c r="B18" s="160"/>
      <c r="C18" s="160"/>
      <c r="D18" s="160"/>
      <c r="E18" s="160"/>
      <c r="F18" s="160"/>
      <c r="G18" s="160"/>
      <c r="H18" s="160"/>
      <c r="I18" s="160"/>
      <c r="J18" s="160"/>
      <c r="K18" s="160"/>
      <c r="L18" s="161"/>
      <c r="M18" s="161"/>
      <c r="N18" s="4"/>
      <c r="O18" s="4"/>
      <c r="P18" s="4"/>
      <c r="Q18" s="4"/>
      <c r="R18" s="4"/>
      <c r="S18" s="4"/>
      <c r="T18" s="4"/>
      <c r="U18" s="4"/>
      <c r="V18" s="4"/>
      <c r="W18" s="4"/>
      <c r="X18" s="4"/>
      <c r="Y18" s="4"/>
      <c r="Z18" s="5"/>
      <c r="AA18" s="5"/>
      <c r="AB18" s="5"/>
      <c r="AC18" s="5"/>
      <c r="AD18" s="5"/>
      <c r="AE18" s="5"/>
      <c r="AF18" s="5"/>
      <c r="AG18" s="5"/>
      <c r="AH18" s="5"/>
      <c r="AI18" s="5"/>
      <c r="AJ18" s="5"/>
      <c r="AK18" s="5"/>
    </row>
    <row r="19" spans="1:40">
      <c r="A19">
        <v>0.04</v>
      </c>
      <c r="L19" s="2" t="s">
        <v>9</v>
      </c>
      <c r="M19" s="4">
        <f>M8/M$15</f>
        <v>5.9058779058779064E-2</v>
      </c>
      <c r="N19" s="4">
        <f>N8/N$15</f>
        <v>4.121582914837639E-2</v>
      </c>
      <c r="O19" s="4">
        <f t="shared" ref="O19:Y19" si="5">O8/O$15</f>
        <v>4.7375074602096688E-2</v>
      </c>
      <c r="P19" s="4">
        <f t="shared" si="5"/>
        <v>4.8557438657381137E-2</v>
      </c>
      <c r="Q19" s="4">
        <f t="shared" si="5"/>
        <v>4.8801881261584586E-2</v>
      </c>
      <c r="R19" s="4">
        <f t="shared" si="5"/>
        <v>6.6243128342202681E-2</v>
      </c>
      <c r="S19" s="4">
        <f t="shared" si="5"/>
        <v>7.1058155097714543E-2</v>
      </c>
      <c r="T19" s="4">
        <f t="shared" si="5"/>
        <v>6.0683916708928094E-2</v>
      </c>
      <c r="U19" s="4">
        <f t="shared" si="5"/>
        <v>5.6459442945328661E-2</v>
      </c>
      <c r="V19" s="4">
        <f t="shared" si="5"/>
        <v>6.043883172055306E-2</v>
      </c>
      <c r="W19" s="4">
        <f t="shared" si="5"/>
        <v>6.4414446270780745E-2</v>
      </c>
      <c r="X19" s="4">
        <f t="shared" si="5"/>
        <v>7.2660707681311679E-2</v>
      </c>
      <c r="Y19" s="4">
        <f t="shared" si="5"/>
        <v>6.5851007379102211E-2</v>
      </c>
      <c r="Z19" s="5"/>
      <c r="AA19" s="5"/>
      <c r="AB19" s="5"/>
      <c r="AC19" s="5"/>
      <c r="AD19" s="5"/>
      <c r="AE19" s="5"/>
      <c r="AF19" s="5"/>
      <c r="AG19" s="5"/>
      <c r="AH19" s="5"/>
      <c r="AI19" s="5"/>
      <c r="AJ19" s="5"/>
      <c r="AK19" s="5"/>
    </row>
    <row r="20" spans="1:40">
      <c r="L20" s="2" t="s">
        <v>10</v>
      </c>
      <c r="M20" s="4">
        <f t="shared" ref="M20:Y23" si="6">M9/M$15</f>
        <v>0.92108108108108111</v>
      </c>
      <c r="N20" s="4">
        <f t="shared" si="6"/>
        <v>0.9455389699700486</v>
      </c>
      <c r="O20" s="4">
        <f t="shared" si="6"/>
        <v>0.94042468708326199</v>
      </c>
      <c r="P20" s="4">
        <f t="shared" si="6"/>
        <v>0.94136265915474926</v>
      </c>
      <c r="Q20" s="4">
        <f t="shared" si="6"/>
        <v>0.94063487737461426</v>
      </c>
      <c r="R20" s="4">
        <f t="shared" si="6"/>
        <v>0.92237822766101973</v>
      </c>
      <c r="S20" s="4">
        <f t="shared" si="6"/>
        <v>0.91668271712380422</v>
      </c>
      <c r="T20" s="4">
        <f t="shared" si="6"/>
        <v>0.9303228668967799</v>
      </c>
      <c r="U20" s="4">
        <f t="shared" si="6"/>
        <v>0.93074130358767981</v>
      </c>
      <c r="V20" s="4">
        <f t="shared" si="6"/>
        <v>0.92532874367806317</v>
      </c>
      <c r="W20" s="4">
        <f t="shared" si="6"/>
        <v>0.92277325972400681</v>
      </c>
      <c r="X20" s="4">
        <f t="shared" si="6"/>
        <v>0.91691055757454321</v>
      </c>
      <c r="Y20" s="4">
        <f t="shared" si="6"/>
        <v>0.92377739451113328</v>
      </c>
      <c r="Z20" s="5"/>
      <c r="AA20" s="5"/>
      <c r="AB20" s="5"/>
      <c r="AC20" s="5"/>
      <c r="AD20" s="5"/>
      <c r="AE20" s="5"/>
      <c r="AF20" s="5"/>
      <c r="AG20" s="5"/>
      <c r="AH20" s="5"/>
      <c r="AI20" s="5"/>
      <c r="AJ20" s="5"/>
      <c r="AK20" s="5"/>
    </row>
    <row r="21" spans="1:40">
      <c r="L21" s="2" t="s">
        <v>22</v>
      </c>
      <c r="M21" s="4">
        <f t="shared" si="6"/>
        <v>5.2617652617652621E-3</v>
      </c>
      <c r="N21" s="4">
        <f t="shared" si="6"/>
        <v>1.5711538705661717E-3</v>
      </c>
      <c r="O21" s="4">
        <f t="shared" si="6"/>
        <v>2.5541740198283015E-3</v>
      </c>
      <c r="P21" s="4">
        <f t="shared" si="6"/>
        <v>1.6304240206725486E-3</v>
      </c>
      <c r="Q21" s="4">
        <f t="shared" si="6"/>
        <v>2.4965747861517063E-3</v>
      </c>
      <c r="R21" s="4">
        <f t="shared" si="6"/>
        <v>1.5877573342268278E-3</v>
      </c>
      <c r="S21" s="4">
        <f t="shared" si="6"/>
        <v>2.0363311331473965E-3</v>
      </c>
      <c r="T21" s="4">
        <f t="shared" si="6"/>
        <v>1.9357244302924351E-3</v>
      </c>
      <c r="U21" s="4">
        <f t="shared" si="6"/>
        <v>2.1567029516817598E-3</v>
      </c>
      <c r="V21" s="4">
        <f t="shared" si="6"/>
        <v>3.5241953857026763E-3</v>
      </c>
      <c r="W21" s="4">
        <f t="shared" si="6"/>
        <v>4.0484267539135929E-3</v>
      </c>
      <c r="X21" s="4">
        <f t="shared" si="6"/>
        <v>1.3531473131948326E-3</v>
      </c>
      <c r="Y21" s="4">
        <f t="shared" si="6"/>
        <v>2.4802716128174947E-3</v>
      </c>
      <c r="Z21" s="5"/>
      <c r="AA21" s="5"/>
      <c r="AB21" s="5"/>
      <c r="AC21" s="5"/>
      <c r="AD21" s="5"/>
      <c r="AE21" s="10"/>
      <c r="AF21" s="10"/>
      <c r="AG21" s="10"/>
      <c r="AH21" s="10"/>
      <c r="AI21" s="8"/>
      <c r="AJ21" s="5"/>
      <c r="AK21" s="5"/>
      <c r="AN21" s="8"/>
    </row>
    <row r="22" spans="1:40">
      <c r="L22" s="2" t="s">
        <v>11</v>
      </c>
      <c r="M22" s="4">
        <f t="shared" si="6"/>
        <v>1.3608013608013609E-2</v>
      </c>
      <c r="N22" s="4">
        <f t="shared" si="6"/>
        <v>1.1302698728806362E-2</v>
      </c>
      <c r="O22" s="4">
        <f t="shared" si="6"/>
        <v>9.9511967964400622E-3</v>
      </c>
      <c r="P22" s="4">
        <f t="shared" si="6"/>
        <v>8.3888719242065628E-3</v>
      </c>
      <c r="Q22" s="4">
        <f t="shared" si="6"/>
        <v>8.0622275610529974E-3</v>
      </c>
      <c r="R22" s="4">
        <f t="shared" si="6"/>
        <v>9.7698750484089998E-3</v>
      </c>
      <c r="S22" s="4">
        <f t="shared" si="6"/>
        <v>1.016124154155525E-2</v>
      </c>
      <c r="T22" s="4">
        <f t="shared" si="6"/>
        <v>6.9983448036615055E-3</v>
      </c>
      <c r="U22" s="4">
        <f t="shared" si="6"/>
        <v>1.0456989003343289E-2</v>
      </c>
      <c r="V22" s="4">
        <f t="shared" si="6"/>
        <v>1.0562133735393086E-2</v>
      </c>
      <c r="W22" s="4">
        <f t="shared" si="6"/>
        <v>8.5670418401619895E-3</v>
      </c>
      <c r="X22" s="4">
        <f t="shared" si="6"/>
        <v>9.1299662108338484E-3</v>
      </c>
      <c r="Y22" s="4">
        <f t="shared" si="6"/>
        <v>8.1824027686642885E-3</v>
      </c>
      <c r="Z22" s="5"/>
      <c r="AA22" s="5"/>
      <c r="AB22" s="5"/>
      <c r="AC22" s="5"/>
      <c r="AD22" s="5"/>
      <c r="AE22" s="5"/>
      <c r="AF22" s="5"/>
      <c r="AG22" s="5"/>
      <c r="AH22" s="5"/>
      <c r="AI22" s="16"/>
      <c r="AJ22" s="5"/>
      <c r="AK22" s="5"/>
    </row>
    <row r="23" spans="1:40">
      <c r="L23" s="2" t="s">
        <v>12</v>
      </c>
      <c r="M23" s="4">
        <f t="shared" si="6"/>
        <v>9.9036099036099029E-4</v>
      </c>
      <c r="N23" s="4">
        <f t="shared" si="6"/>
        <v>3.7134828220251138E-4</v>
      </c>
      <c r="O23" s="4">
        <f t="shared" si="6"/>
        <v>-3.0513250162708601E-4</v>
      </c>
      <c r="P23" s="4">
        <f t="shared" si="6"/>
        <v>6.0606242990554024E-5</v>
      </c>
      <c r="Q23" s="4">
        <f t="shared" si="6"/>
        <v>4.4390165964634454E-6</v>
      </c>
      <c r="R23" s="4">
        <f t="shared" si="6"/>
        <v>2.1011614141718101E-5</v>
      </c>
      <c r="S23" s="4">
        <f t="shared" si="6"/>
        <v>6.1555103778610518E-5</v>
      </c>
      <c r="T23" s="4">
        <f t="shared" si="6"/>
        <v>5.9147160338102429E-5</v>
      </c>
      <c r="U23" s="4">
        <f t="shared" si="6"/>
        <v>1.8556151196665645E-4</v>
      </c>
      <c r="V23" s="4">
        <f t="shared" si="6"/>
        <v>1.4609548028811262E-4</v>
      </c>
      <c r="W23" s="4">
        <f t="shared" si="6"/>
        <v>1.9682541113694486E-4</v>
      </c>
      <c r="X23" s="4">
        <f t="shared" si="6"/>
        <v>-5.4378779883617037E-5</v>
      </c>
      <c r="Y23" s="4">
        <f t="shared" si="6"/>
        <v>-2.9107627171726824E-4</v>
      </c>
      <c r="Z23" s="5"/>
      <c r="AA23" s="5"/>
      <c r="AB23" s="5"/>
      <c r="AC23" s="5"/>
      <c r="AD23" s="5"/>
      <c r="AE23" s="5"/>
      <c r="AF23" s="5"/>
      <c r="AG23" s="5"/>
      <c r="AH23" s="5"/>
      <c r="AI23" s="5"/>
      <c r="AJ23" s="5"/>
      <c r="AK23" s="5"/>
      <c r="AN23" s="3"/>
    </row>
    <row r="24" spans="1:40">
      <c r="N24" s="4"/>
      <c r="O24" s="4"/>
      <c r="P24" s="4"/>
      <c r="Q24" s="4"/>
      <c r="R24" s="4"/>
      <c r="S24" s="4"/>
      <c r="T24" s="4"/>
      <c r="U24" s="4"/>
      <c r="V24" s="4"/>
      <c r="W24" s="4"/>
      <c r="X24" s="4"/>
      <c r="Y24" s="4"/>
      <c r="Z24" s="5"/>
      <c r="AA24" s="5"/>
      <c r="AB24" s="5"/>
      <c r="AC24" s="5"/>
      <c r="AD24" s="5"/>
      <c r="AE24" s="5"/>
      <c r="AF24" s="5"/>
      <c r="AG24" s="5"/>
      <c r="AH24" s="5"/>
      <c r="AI24" s="5"/>
      <c r="AJ24" s="5"/>
      <c r="AK24" s="5"/>
    </row>
    <row r="25" spans="1:40">
      <c r="N25" s="4"/>
      <c r="O25" s="4"/>
      <c r="P25" s="4"/>
      <c r="Q25" s="4"/>
      <c r="R25" s="4"/>
      <c r="S25" s="4"/>
      <c r="T25" s="4"/>
      <c r="U25" s="4"/>
      <c r="V25" s="4"/>
      <c r="W25" s="4"/>
      <c r="X25" s="4"/>
      <c r="Y25" s="4"/>
      <c r="Z25" s="5"/>
      <c r="AA25" s="5"/>
      <c r="AB25" s="5"/>
      <c r="AC25" s="5"/>
      <c r="AD25" s="5"/>
      <c r="AE25" s="5"/>
      <c r="AF25" s="5"/>
      <c r="AG25" s="5"/>
      <c r="AH25" s="5"/>
      <c r="AI25" s="5"/>
      <c r="AJ25" s="5"/>
      <c r="AK25" s="5"/>
    </row>
    <row r="26" spans="1:40">
      <c r="O26"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BE3C-D9C6-4C5E-B04A-BB8679E15C32}">
  <dimension ref="B2:L6"/>
  <sheetViews>
    <sheetView workbookViewId="0">
      <selection activeCell="H17" sqref="H17"/>
    </sheetView>
  </sheetViews>
  <sheetFormatPr defaultRowHeight="14.6"/>
  <cols>
    <col min="1" max="1" width="4.23046875" customWidth="1"/>
    <col min="2" max="2" width="12.69140625" customWidth="1"/>
    <col min="3" max="3" width="4.23046875" customWidth="1"/>
    <col min="4" max="4" width="12.69140625" customWidth="1"/>
    <col min="5" max="5" width="4.23046875" customWidth="1"/>
    <col min="6" max="6" width="13.69140625" bestFit="1" customWidth="1"/>
    <col min="7" max="7" width="4.23046875" customWidth="1"/>
    <col min="8" max="8" width="15.4609375" bestFit="1" customWidth="1"/>
    <col min="9" max="9" width="4.23046875" customWidth="1"/>
    <col min="10" max="10" width="15.69140625" customWidth="1"/>
    <col min="12" max="12" width="17.69140625" bestFit="1" customWidth="1"/>
  </cols>
  <sheetData>
    <row r="2" spans="2:12">
      <c r="B2" s="24" t="s">
        <v>128</v>
      </c>
      <c r="C2" s="24"/>
      <c r="D2" s="24" t="s">
        <v>36</v>
      </c>
      <c r="E2" s="24"/>
      <c r="F2" s="24" t="s">
        <v>43</v>
      </c>
      <c r="G2" s="24"/>
      <c r="H2" s="24" t="s">
        <v>60</v>
      </c>
      <c r="I2" s="24"/>
      <c r="J2" s="24" t="s">
        <v>300</v>
      </c>
      <c r="K2" s="24"/>
      <c r="L2" s="24" t="s">
        <v>297</v>
      </c>
    </row>
    <row r="3" spans="2:12">
      <c r="B3" t="s">
        <v>233</v>
      </c>
      <c r="D3" t="s">
        <v>194</v>
      </c>
      <c r="F3" t="s">
        <v>56</v>
      </c>
      <c r="H3" t="s">
        <v>301</v>
      </c>
    </row>
    <row r="4" spans="2:12">
      <c r="B4" t="s">
        <v>298</v>
      </c>
      <c r="D4" t="s">
        <v>37</v>
      </c>
      <c r="F4" t="s">
        <v>58</v>
      </c>
      <c r="H4" t="s">
        <v>61</v>
      </c>
      <c r="J4" t="s">
        <v>287</v>
      </c>
      <c r="L4" t="s">
        <v>289</v>
      </c>
    </row>
    <row r="5" spans="2:12">
      <c r="B5" t="s">
        <v>299</v>
      </c>
      <c r="F5" t="s">
        <v>57</v>
      </c>
      <c r="J5" t="s">
        <v>288</v>
      </c>
      <c r="L5" t="s">
        <v>295</v>
      </c>
    </row>
    <row r="6" spans="2:12">
      <c r="F6" t="s">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63D5-16E1-4124-ADE1-2449CE0F350E}">
  <dimension ref="B4:M28"/>
  <sheetViews>
    <sheetView workbookViewId="0">
      <selection activeCell="E6" sqref="E6"/>
    </sheetView>
  </sheetViews>
  <sheetFormatPr defaultRowHeight="14.6"/>
  <cols>
    <col min="3" max="3" width="13.69140625" style="8" bestFit="1" customWidth="1"/>
    <col min="4" max="4" width="13.69140625" bestFit="1" customWidth="1"/>
    <col min="5" max="5" width="12.53515625" bestFit="1" customWidth="1"/>
    <col min="6" max="6" width="11.15234375" customWidth="1"/>
    <col min="8" max="8" width="14.69140625" bestFit="1" customWidth="1"/>
    <col min="9" max="9" width="6.69140625" bestFit="1" customWidth="1"/>
    <col min="10" max="10" width="11.15234375" bestFit="1" customWidth="1"/>
    <col min="11" max="11" width="10.69140625" bestFit="1" customWidth="1"/>
    <col min="12" max="12" width="11.69140625" bestFit="1" customWidth="1"/>
    <col min="13" max="13" width="9.69140625" bestFit="1" customWidth="1"/>
  </cols>
  <sheetData>
    <row r="4" spans="2:12">
      <c r="C4" s="8" t="s">
        <v>176</v>
      </c>
      <c r="H4" t="s">
        <v>177</v>
      </c>
    </row>
    <row r="5" spans="2:12">
      <c r="C5" s="8" t="s">
        <v>23</v>
      </c>
      <c r="D5" t="s">
        <v>178</v>
      </c>
      <c r="E5" t="s">
        <v>179</v>
      </c>
      <c r="H5" s="8" t="s">
        <v>23</v>
      </c>
      <c r="I5" t="s">
        <v>178</v>
      </c>
      <c r="J5" t="s">
        <v>179</v>
      </c>
      <c r="L5" t="s">
        <v>180</v>
      </c>
    </row>
    <row r="6" spans="2:12">
      <c r="B6" t="s">
        <v>181</v>
      </c>
      <c r="C6" s="8">
        <f>'Input-Metrics-Profitability'!E27</f>
        <v>41002189.829999998</v>
      </c>
      <c r="D6" s="74">
        <f>'Shift Calcs &amp; Graphs'!Q80</f>
        <v>2.9499999999999998E-2</v>
      </c>
      <c r="E6" s="18">
        <f>'Shift Calcs &amp; Graphs'!Q84</f>
        <v>846695.21998949989</v>
      </c>
      <c r="F6" s="18"/>
      <c r="G6" t="s">
        <v>181</v>
      </c>
      <c r="H6" s="8">
        <v>4278695</v>
      </c>
      <c r="I6" s="15">
        <v>2.7E-2</v>
      </c>
      <c r="J6" s="18">
        <f>I6*H6</f>
        <v>115524.765</v>
      </c>
    </row>
    <row r="7" spans="2:12">
      <c r="B7" t="s">
        <v>182</v>
      </c>
      <c r="C7" s="8">
        <f>'Input-Metrics-Profitability'!E28</f>
        <v>649462788.06000018</v>
      </c>
      <c r="D7" s="74">
        <f>'Shift Calcs &amp; Graphs'!Q81</f>
        <v>2.9499999999999998E-2</v>
      </c>
      <c r="E7" s="18">
        <f>'Shift Calcs &amp; Graphs'!Q85</f>
        <v>13411406.573439002</v>
      </c>
      <c r="F7" s="18"/>
      <c r="G7" t="s">
        <v>182</v>
      </c>
      <c r="H7" s="8">
        <v>20122054</v>
      </c>
      <c r="I7" s="15">
        <v>2.7E-2</v>
      </c>
      <c r="J7" s="18">
        <f>I7*H7</f>
        <v>543295.45799999998</v>
      </c>
    </row>
    <row r="8" spans="2:12">
      <c r="B8" t="s">
        <v>24</v>
      </c>
      <c r="C8" s="8">
        <f>SUM('Input-Metrics-Profitability'!E29:E31)</f>
        <v>8184438.9100000001</v>
      </c>
      <c r="D8" s="74">
        <f>'Shift Calcs &amp; Graphs'!Q82</f>
        <v>7</v>
      </c>
      <c r="E8" s="18">
        <f>'Shift Calcs &amp; Graphs'!Q86</f>
        <v>17822</v>
      </c>
      <c r="F8" s="18"/>
      <c r="G8" t="s">
        <v>24</v>
      </c>
      <c r="H8" s="8">
        <v>9131774</v>
      </c>
      <c r="I8" s="5">
        <v>0.01</v>
      </c>
      <c r="J8" s="18">
        <f>I8*H8</f>
        <v>91317.74</v>
      </c>
    </row>
    <row r="9" spans="2:12">
      <c r="B9" t="s">
        <v>31</v>
      </c>
      <c r="C9" s="8">
        <f>'Input-Metrics-Profitability'!E38</f>
        <v>842568374.91999972</v>
      </c>
      <c r="H9" s="8"/>
    </row>
    <row r="10" spans="2:12">
      <c r="E10" s="18">
        <f>SUM(E6:E8)</f>
        <v>14275923.793428501</v>
      </c>
      <c r="F10" s="18"/>
      <c r="H10" s="8"/>
      <c r="J10" s="18">
        <f>SUM(J6:J8)</f>
        <v>750137.96299999999</v>
      </c>
      <c r="L10" s="18">
        <f>J10-E10</f>
        <v>-13525785.830428502</v>
      </c>
    </row>
    <row r="11" spans="2:12">
      <c r="C11" s="8">
        <f>SUM(C6:C9)</f>
        <v>1541217791.7199998</v>
      </c>
    </row>
    <row r="14" spans="2:12">
      <c r="B14" t="s">
        <v>181</v>
      </c>
      <c r="C14" s="8">
        <v>4503889</v>
      </c>
      <c r="D14" s="5">
        <f>SUM(C26:E26)/SUM(C21:E21)</f>
        <v>2.8374349476464444E-2</v>
      </c>
      <c r="E14" s="18">
        <f>D14*C14</f>
        <v>127794.92048920397</v>
      </c>
      <c r="G14" t="s">
        <v>181</v>
      </c>
      <c r="H14" s="8">
        <v>4278695</v>
      </c>
      <c r="I14" s="15">
        <f>D14</f>
        <v>2.8374349476464444E-2</v>
      </c>
      <c r="J14" s="18">
        <f>I14*H14</f>
        <v>121405.18723320104</v>
      </c>
    </row>
    <row r="15" spans="2:12">
      <c r="B15" t="s">
        <v>182</v>
      </c>
      <c r="C15" s="8">
        <v>21181110</v>
      </c>
      <c r="D15" s="5">
        <f>SUM(C27:E27)/SUM(C22:E22)</f>
        <v>1.8671427418817246E-2</v>
      </c>
      <c r="E15" s="18">
        <f>D15*C15</f>
        <v>395481.55801498413</v>
      </c>
      <c r="G15" t="s">
        <v>182</v>
      </c>
      <c r="H15" s="8">
        <v>20122054</v>
      </c>
      <c r="I15" s="15">
        <f>D15</f>
        <v>1.8671427418817246E-2</v>
      </c>
      <c r="J15" s="18">
        <f>I15*H15</f>
        <v>375707.47077852121</v>
      </c>
    </row>
    <row r="16" spans="2:12">
      <c r="B16" t="s">
        <v>24</v>
      </c>
      <c r="C16" s="8">
        <v>8489649</v>
      </c>
      <c r="D16" s="5">
        <f>SUM(C28:E28)/SUM(C23:E23)</f>
        <v>7.1517154285674091E-4</v>
      </c>
      <c r="E16" s="18">
        <f>D16*C16</f>
        <v>6071.555373642188</v>
      </c>
      <c r="G16" t="s">
        <v>24</v>
      </c>
      <c r="H16" s="8">
        <v>9131774</v>
      </c>
      <c r="I16" s="15">
        <f>D16</f>
        <v>7.1517154285674091E-4</v>
      </c>
      <c r="J16" s="18">
        <f>I16*H16</f>
        <v>6530.784900599072</v>
      </c>
    </row>
    <row r="17" spans="3:13">
      <c r="E17" s="18">
        <f>SUM(E14:E16)</f>
        <v>529348.03387783037</v>
      </c>
      <c r="J17" s="18">
        <f>SUM(J14:J16)</f>
        <v>503643.4429123213</v>
      </c>
      <c r="K17" s="18"/>
      <c r="L17" s="18">
        <f>J17-E17</f>
        <v>-25704.590965509065</v>
      </c>
    </row>
    <row r="19" spans="3:13">
      <c r="L19" s="18"/>
      <c r="M19" s="3"/>
    </row>
    <row r="21" spans="3:13">
      <c r="C21" s="8">
        <v>522658.00000000006</v>
      </c>
      <c r="D21" s="8">
        <v>1901894.6500000001</v>
      </c>
      <c r="E21" s="8">
        <v>246203.91</v>
      </c>
    </row>
    <row r="22" spans="3:13">
      <c r="C22" s="8">
        <v>2721342.97</v>
      </c>
      <c r="D22" s="8">
        <v>12303216.740000002</v>
      </c>
      <c r="E22" s="8">
        <v>1991708.0499999993</v>
      </c>
    </row>
    <row r="23" spans="3:13">
      <c r="C23" s="8">
        <v>1202132.21</v>
      </c>
      <c r="D23" s="8">
        <v>4336649.6399999997</v>
      </c>
      <c r="E23" s="8">
        <v>932350.90999999992</v>
      </c>
    </row>
    <row r="26" spans="3:13">
      <c r="C26" s="146">
        <v>14944.48</v>
      </c>
      <c r="D26" s="10">
        <v>54347.350000000006</v>
      </c>
      <c r="E26" s="10">
        <v>6489.15</v>
      </c>
    </row>
    <row r="27" spans="3:13">
      <c r="C27" s="146">
        <v>51657.915000000001</v>
      </c>
      <c r="D27" s="10">
        <v>228949.88342</v>
      </c>
      <c r="E27" s="10">
        <v>37110.209999999992</v>
      </c>
    </row>
    <row r="28" spans="3:13">
      <c r="C28" s="146">
        <v>820.55000000000007</v>
      </c>
      <c r="D28" s="10">
        <v>3217.29</v>
      </c>
      <c r="E28" s="10">
        <v>590.13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2008-3D05-40E8-8CDC-D3D9295344CF}">
  <dimension ref="A1:M9"/>
  <sheetViews>
    <sheetView zoomScale="90" zoomScaleNormal="90" workbookViewId="0">
      <selection activeCell="B37" sqref="B37"/>
    </sheetView>
  </sheetViews>
  <sheetFormatPr defaultRowHeight="14.6"/>
  <cols>
    <col min="1" max="1" width="27.3828125" bestFit="1" customWidth="1"/>
    <col min="2" max="3" width="11.3046875" customWidth="1"/>
    <col min="4" max="4" width="10.3828125" customWidth="1"/>
    <col min="5" max="5" width="10.3046875" bestFit="1" customWidth="1"/>
    <col min="6" max="8" width="10.3828125" bestFit="1" customWidth="1"/>
    <col min="9" max="9" width="11.3046875" customWidth="1"/>
    <col min="10" max="10" width="9.69140625" bestFit="1" customWidth="1"/>
    <col min="11" max="13" width="10.84375" bestFit="1" customWidth="1"/>
  </cols>
  <sheetData>
    <row r="1" spans="1:13">
      <c r="A1" t="s">
        <v>27</v>
      </c>
      <c r="B1" s="1">
        <v>44927</v>
      </c>
      <c r="C1" s="1">
        <v>44958</v>
      </c>
      <c r="D1" s="1">
        <v>44986</v>
      </c>
      <c r="E1" s="1">
        <v>45017</v>
      </c>
      <c r="F1" s="1">
        <v>45047</v>
      </c>
      <c r="G1" s="1">
        <v>45078</v>
      </c>
      <c r="H1" s="1">
        <v>45108</v>
      </c>
      <c r="I1" s="1">
        <v>45139</v>
      </c>
      <c r="J1" s="1">
        <v>45170</v>
      </c>
      <c r="K1" s="1">
        <v>45200</v>
      </c>
      <c r="L1" s="1">
        <v>45231</v>
      </c>
      <c r="M1" s="1">
        <v>45261</v>
      </c>
    </row>
    <row r="2" spans="1:13">
      <c r="A2" s="2" t="s">
        <v>9</v>
      </c>
      <c r="B2" s="9">
        <f>Data!N8/Data!B8</f>
        <v>5414.2663658536585</v>
      </c>
      <c r="C2" s="9">
        <f>Data!O8/Data!C8</f>
        <v>5607.6540159045708</v>
      </c>
      <c r="D2" s="9">
        <f>Data!P8/Data!D8</f>
        <v>5821.0666861598438</v>
      </c>
      <c r="E2" s="9">
        <f>Data!Q8/Data!E8</f>
        <v>5324.1937640449423</v>
      </c>
      <c r="F2" s="9">
        <f>Data!R8/Data!F8</f>
        <v>6441.2335436893209</v>
      </c>
      <c r="G2" s="9">
        <f>Data!S8/Data!G8</f>
        <v>6367.3436902800649</v>
      </c>
      <c r="H2" s="9">
        <f>Data!T8/Data!H8</f>
        <v>5723.2234693877544</v>
      </c>
      <c r="I2" s="9">
        <f>Data!U8/Data!I8</f>
        <v>6069.5217049808425</v>
      </c>
      <c r="J2" s="9">
        <f>Data!V8/Data!J8</f>
        <v>5987.8488235294126</v>
      </c>
      <c r="K2" s="9">
        <f>Data!W8/Data!K8</f>
        <v>5856.0728703703717</v>
      </c>
      <c r="L2" s="9">
        <f>Data!X8/Data!L8</f>
        <v>6506.9844496124042</v>
      </c>
      <c r="M2" s="9">
        <f>Data!Y8/Data!M8</f>
        <v>6487.8500614439317</v>
      </c>
    </row>
    <row r="3" spans="1:13">
      <c r="A3" s="2" t="s">
        <v>10</v>
      </c>
      <c r="B3" s="9">
        <f>Data!N9/Data!B9</f>
        <v>5479.4402840542298</v>
      </c>
      <c r="C3" s="9">
        <f>Data!O9/Data!C9</f>
        <v>5352.9307543021032</v>
      </c>
      <c r="D3" s="9">
        <f>Data!P9/Data!D9</f>
        <v>5474.9710951390198</v>
      </c>
      <c r="E3" s="9">
        <f>Data!Q9/Data!E9</f>
        <v>5473.9668354809701</v>
      </c>
      <c r="F3" s="9">
        <f>Data!R9/Data!F9</f>
        <v>5176.7587652937327</v>
      </c>
      <c r="G3" s="9">
        <f>Data!S9/Data!G9</f>
        <v>5215.4790711297073</v>
      </c>
      <c r="H3" s="9">
        <f>Data!T9/Data!H9</f>
        <v>5469.8363114112353</v>
      </c>
      <c r="I3" s="9">
        <f>Data!U9/Data!I9</f>
        <v>5226.6266986890832</v>
      </c>
      <c r="J3" s="9">
        <f>Data!V9/Data!J9</f>
        <v>5252.3631995787264</v>
      </c>
      <c r="K3" s="9">
        <f>Data!W9/Data!K9</f>
        <v>5451.4361712795826</v>
      </c>
      <c r="L3" s="9">
        <f>Data!X9/Data!L9</f>
        <v>5484.9108916735713</v>
      </c>
      <c r="M3" s="9">
        <f>Data!Y9/Data!M9</f>
        <v>5835.6913542795237</v>
      </c>
    </row>
    <row r="4" spans="1:13">
      <c r="A4" s="2" t="s">
        <v>22</v>
      </c>
      <c r="B4" s="9">
        <v>0</v>
      </c>
      <c r="C4" s="9">
        <v>0</v>
      </c>
      <c r="D4" s="9">
        <v>0</v>
      </c>
      <c r="E4" s="9">
        <v>0</v>
      </c>
      <c r="F4" s="9">
        <v>0</v>
      </c>
      <c r="G4" s="9">
        <v>0</v>
      </c>
      <c r="H4" s="9">
        <v>0</v>
      </c>
      <c r="I4" s="9">
        <v>0</v>
      </c>
      <c r="J4" s="9">
        <v>0</v>
      </c>
      <c r="K4" s="9">
        <v>0</v>
      </c>
      <c r="L4" s="9">
        <v>0</v>
      </c>
      <c r="M4" s="9">
        <v>0</v>
      </c>
    </row>
    <row r="5" spans="1:13">
      <c r="A5" s="2" t="s">
        <v>11</v>
      </c>
      <c r="B5" s="9">
        <f>Data!N11/Data!B11</f>
        <v>4348.2404285714283</v>
      </c>
      <c r="C5" s="9">
        <f>Data!O11/Data!C11</f>
        <v>3505.8061538461529</v>
      </c>
      <c r="D5" s="9">
        <f>Data!P11/Data!D11</f>
        <v>3307.0680769230771</v>
      </c>
      <c r="E5" s="9">
        <f>Data!Q11/Data!E11</f>
        <v>3698.3659055118114</v>
      </c>
      <c r="F5" s="9">
        <f>Data!R11/Data!F11</f>
        <v>3494.5914880952382</v>
      </c>
      <c r="G5" s="9">
        <f>Data!S11/Data!G11</f>
        <v>3636.1035526315791</v>
      </c>
      <c r="H5" s="9">
        <f>Data!T11/Data!H11</f>
        <v>3068.8898540145983</v>
      </c>
      <c r="I5" s="9">
        <f>Data!U11/Data!I11</f>
        <v>3737.6220382165607</v>
      </c>
      <c r="J5" s="9">
        <f>Data!V11/Data!J11</f>
        <v>3820.489932885906</v>
      </c>
      <c r="K5" s="9">
        <f>Data!W11/Data!K11</f>
        <v>3214.6184713375796</v>
      </c>
      <c r="L5" s="9">
        <f>Data!X11/Data!L11</f>
        <v>3713.8185915492959</v>
      </c>
      <c r="M5" s="9">
        <f>Data!Y11/Data!M11</f>
        <v>3498.7181999999998</v>
      </c>
    </row>
    <row r="6" spans="1:13">
      <c r="A6" s="2" t="s">
        <v>12</v>
      </c>
      <c r="B6" s="9">
        <f>Data!N12/Data!B12</f>
        <v>1832.1068702290077</v>
      </c>
      <c r="C6" s="9">
        <f>Data!O12/Data!C12</f>
        <v>-1664.1700763358779</v>
      </c>
      <c r="D6" s="9">
        <f>Data!P12/Data!D12</f>
        <v>341.4219847328244</v>
      </c>
      <c r="E6" s="9">
        <f>Data!Q12/Data!E12</f>
        <v>23.689465648854892</v>
      </c>
      <c r="F6" s="9">
        <f>Data!R12/Data!F12</f>
        <v>115.66076335877862</v>
      </c>
      <c r="G6" s="9">
        <f>Data!S12/Data!G12</f>
        <v>306.69526717557244</v>
      </c>
      <c r="H6" s="9">
        <f>Data!T12/Data!H12</f>
        <v>325.49954198473273</v>
      </c>
      <c r="I6" s="9">
        <f>Data!U12/Data!I12</f>
        <v>953.86351145038179</v>
      </c>
      <c r="J6" s="9">
        <f>Data!V12/Data!J12</f>
        <v>721.27419847328247</v>
      </c>
      <c r="K6" s="9">
        <f>Data!W12/Data!K12</f>
        <v>1062.1584732824429</v>
      </c>
      <c r="L6" s="9">
        <f>Data!X12/Data!L12</f>
        <v>-287.72610687022893</v>
      </c>
      <c r="M6" s="9">
        <f>Data!Y12/Data!M12</f>
        <v>-1710.1575572519087</v>
      </c>
    </row>
    <row r="7" spans="1:13" ht="6" customHeight="1">
      <c r="A7" s="2"/>
      <c r="B7" s="9"/>
      <c r="C7" s="9"/>
      <c r="D7" s="9"/>
      <c r="E7" s="9"/>
      <c r="F7" s="9"/>
      <c r="G7" s="9"/>
      <c r="H7" s="9"/>
      <c r="I7" s="9"/>
      <c r="J7" s="9"/>
      <c r="K7" s="9"/>
      <c r="L7" s="9"/>
      <c r="M7" s="9"/>
    </row>
    <row r="8" spans="1:13">
      <c r="A8" s="11" t="s">
        <v>16</v>
      </c>
      <c r="B8" s="9">
        <f>Data!N15/Data!B15</f>
        <v>5442.5622389706205</v>
      </c>
      <c r="C8" s="9">
        <f>Data!O15/Data!C15</f>
        <v>5318.8435882585036</v>
      </c>
      <c r="D8" s="9">
        <f>Data!P15/Data!D15</f>
        <v>5444.790054227934</v>
      </c>
      <c r="E8" s="9">
        <f>Data!Q15/Data!E15</f>
        <v>5423.4640611933</v>
      </c>
      <c r="F8" s="9">
        <f>Data!R15/Data!F15</f>
        <v>5196.5095981032955</v>
      </c>
      <c r="G8" s="9">
        <f>Data!S15/Data!G15</f>
        <v>5242.6207108490835</v>
      </c>
      <c r="H8" s="9">
        <f>Data!T15/Data!H15</f>
        <v>5433.9016773823969</v>
      </c>
      <c r="I8" s="9">
        <f>Data!U15/Data!I15</f>
        <v>5227.934811927923</v>
      </c>
      <c r="J8" s="9">
        <f>Data!V15/Data!J15</f>
        <v>5256.6158276913075</v>
      </c>
      <c r="K8" s="9">
        <f>Data!W15/Data!K15</f>
        <v>5431.1512405214999</v>
      </c>
      <c r="L8" s="9">
        <f>Data!X15/Data!L15</f>
        <v>5504.8265105825367</v>
      </c>
      <c r="M8" s="9">
        <f>Data!Y15/Data!M15</f>
        <v>5818.6581890757889</v>
      </c>
    </row>
    <row r="9" spans="1:13">
      <c r="A9" s="11" t="s">
        <v>28</v>
      </c>
      <c r="C9" s="12">
        <f t="shared" ref="C9:L9" si="0">(C8/B8)-1</f>
        <v>-2.2731692405141279E-2</v>
      </c>
      <c r="D9" s="12">
        <f t="shared" si="0"/>
        <v>2.3679294921824967E-2</v>
      </c>
      <c r="E9" s="12">
        <f t="shared" si="0"/>
        <v>-3.9167704947731252E-3</v>
      </c>
      <c r="F9" s="12">
        <f t="shared" si="0"/>
        <v>-4.1846771828717322E-2</v>
      </c>
      <c r="G9" s="12">
        <f t="shared" si="0"/>
        <v>8.8734778364727429E-3</v>
      </c>
      <c r="H9" s="12">
        <f t="shared" si="0"/>
        <v>3.6485753420512745E-2</v>
      </c>
      <c r="I9" s="12">
        <f t="shared" si="0"/>
        <v>-3.7904047162239385E-2</v>
      </c>
      <c r="J9" s="12">
        <f t="shared" si="0"/>
        <v>5.4861081469390616E-3</v>
      </c>
      <c r="K9" s="12">
        <f t="shared" si="0"/>
        <v>3.3202999525047572E-2</v>
      </c>
      <c r="L9" s="12">
        <f t="shared" si="0"/>
        <v>1.3565313650511168E-2</v>
      </c>
      <c r="M9" s="12">
        <f>(M8/L8)-1</f>
        <v>5.7010275962364743E-2</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8204961A57C5E4FBDFE60728FC3C5E5" ma:contentTypeVersion="9" ma:contentTypeDescription="Create a new document." ma:contentTypeScope="" ma:versionID="89cf57b9f27024b3fcea5eedb3f9d49f">
  <xsd:schema xmlns:xsd="http://www.w3.org/2001/XMLSchema" xmlns:xs="http://www.w3.org/2001/XMLSchema" xmlns:p="http://schemas.microsoft.com/office/2006/metadata/properties" xmlns:ns1="http://schemas.microsoft.com/sharepoint/v3" xmlns:ns2="d40ee35a-072f-4f42-9dcb-3af01f32e71c" xmlns:ns3="feaa7f19-7020-4d9a-968b-74b60ff26e46" targetNamespace="http://schemas.microsoft.com/office/2006/metadata/properties" ma:root="true" ma:fieldsID="75b6c30239af8726c6147f560b303302" ns1:_="" ns2:_="" ns3:_="">
    <xsd:import namespace="http://schemas.microsoft.com/sharepoint/v3"/>
    <xsd:import namespace="d40ee35a-072f-4f42-9dcb-3af01f32e71c"/>
    <xsd:import namespace="feaa7f19-7020-4d9a-968b-74b60ff26e4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0ee35a-072f-4f42-9dcb-3af01f32e7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aa7f19-7020-4d9a-968b-74b60ff26e4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4FFED2-AC79-4A88-BCA9-C819259434EB}">
  <ds:schemaRefs>
    <ds:schemaRef ds:uri="http://schemas.microsoft.com/sharepoint/v3/contenttype/forms"/>
  </ds:schemaRefs>
</ds:datastoreItem>
</file>

<file path=customXml/itemProps2.xml><?xml version="1.0" encoding="utf-8"?>
<ds:datastoreItem xmlns:ds="http://schemas.openxmlformats.org/officeDocument/2006/customXml" ds:itemID="{39865565-521C-4980-81FF-9744ADC3364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24C45BE-F5BC-40F4-82E8-680BF8BCAE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40ee35a-072f-4f42-9dcb-3af01f32e71c"/>
    <ds:schemaRef ds:uri="feaa7f19-7020-4d9a-968b-74b60ff26e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1b7f118-5cb2-4d4e-85a3-82e07efb07e9}" enabled="0" method="" siteId="{d1b7f118-5cb2-4d4e-85a3-82e07efb07e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ACI Summary</vt:lpstr>
      <vt:lpstr>Client Summary</vt:lpstr>
      <vt:lpstr>Input-Metrics-Profitability</vt:lpstr>
      <vt:lpstr>Calculations</vt:lpstr>
      <vt:lpstr>Shift Calcs &amp; Graphs</vt:lpstr>
      <vt:lpstr>Data</vt:lpstr>
      <vt:lpstr>Drop Downs</vt:lpstr>
      <vt:lpstr>Scratch Notes</vt:lpstr>
      <vt:lpstr>PPT Variation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Barros, Luis</dc:creator>
  <cp:lastModifiedBy>Perez, JC</cp:lastModifiedBy>
  <dcterms:created xsi:type="dcterms:W3CDTF">2022-09-09T12:51:27Z</dcterms:created>
  <dcterms:modified xsi:type="dcterms:W3CDTF">2024-06-13T20:50:43Z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0x01010078204961A57C5E4FBDFE60728FC3C5E5</vt:lpwstr>
  </property>
  <property fmtid="{D5CDD505-2E9C-101B-9397-08002B2CF9AE}" pid="3" name="MSIP_Label_ca188039-f34d-4b42-96f7-1951b776237f_Enabled">
    <vt:lpwstr>True</vt:lpwstr>
  </property>
  <property fmtid="{D5CDD505-2E9C-101B-9397-08002B2CF9AE}" pid="4" name="MSIP_Label_ca188039-f34d-4b42-96f7-1951b776237f_SiteId">
    <vt:lpwstr>d1b7f118-5cb2-4d4e-85a3-82e07efb07e9</vt:lpwstr>
  </property>
  <property fmtid="{D5CDD505-2E9C-101B-9397-08002B2CF9AE}" pid="5" name="MSIP_Label_ca188039-f34d-4b42-96f7-1951b776237f_SetDate">
    <vt:lpwstr>2022-12-03T14:32:23Z</vt:lpwstr>
  </property>
  <property fmtid="{D5CDD505-2E9C-101B-9397-08002B2CF9AE}" pid="6" name="MSIP_Label_ca188039-f34d-4b42-96f7-1951b776237f_Name">
    <vt:lpwstr>Restricted</vt:lpwstr>
  </property>
  <property fmtid="{D5CDD505-2E9C-101B-9397-08002B2CF9AE}" pid="7" name="MSIP_Label_ca188039-f34d-4b42-96f7-1951b776237f_ActionId">
    <vt:lpwstr>23d00fea-182b-4d32-86ba-af430901c17b</vt:lpwstr>
  </property>
  <property fmtid="{D5CDD505-2E9C-101B-9397-08002B2CF9AE}" pid="8" name="MSIP_Label_ca188039-f34d-4b42-96f7-1951b776237f_Removed">
    <vt:lpwstr>False</vt:lpwstr>
  </property>
  <property fmtid="{D5CDD505-2E9C-101B-9397-08002B2CF9AE}" pid="9" name="MSIP_Label_ca188039-f34d-4b42-96f7-1951b776237f_Extended_MSFT_Method">
    <vt:lpwstr>Standard</vt:lpwstr>
  </property>
  <property fmtid="{D5CDD505-2E9C-101B-9397-08002B2CF9AE}" pid="10" name="Sensitivity">
    <vt:lpwstr>Restricted</vt:lpwstr>
  </property>
</Properties>
</file>