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" sheetId="1" r:id="rId4"/>
    <sheet state="visible" name="WACC" sheetId="2" r:id="rId5"/>
    <sheet state="visible" name="Terminal Value" sheetId="3" r:id="rId6"/>
    <sheet state="visible" name="DCF" sheetId="4" r:id="rId7"/>
  </sheets>
  <definedNames/>
  <calcPr/>
  <extLst>
    <ext uri="GoogleSheetsCustomDataVersion2">
      <go:sheetsCustomData xmlns:go="http://customooxmlschemas.google.com/" r:id="rId8" roundtripDataChecksum="1eRqJIxzdgMArakL1tyYhQ0doN4LR/fot1+ZnJtFdyA="/>
    </ext>
  </extLst>
</workbook>
</file>

<file path=xl/sharedStrings.xml><?xml version="1.0" encoding="utf-8"?>
<sst xmlns="http://schemas.openxmlformats.org/spreadsheetml/2006/main" count="105" uniqueCount="91">
  <si>
    <t xml:space="preserve">Free Cash Flow </t>
  </si>
  <si>
    <t xml:space="preserve">Fiscal Year </t>
  </si>
  <si>
    <t>Revenue</t>
  </si>
  <si>
    <t>Revenue Growth(%)</t>
  </si>
  <si>
    <t>Effective Tax Rate</t>
  </si>
  <si>
    <t>EBIT</t>
  </si>
  <si>
    <t>EBIT(1-T)</t>
  </si>
  <si>
    <t>Operating Income</t>
  </si>
  <si>
    <t>Operating Margin(%)</t>
  </si>
  <si>
    <t>D&amp;A</t>
  </si>
  <si>
    <t>CapEx (-ve)</t>
  </si>
  <si>
    <t>Current Assets - C &amp; C eq</t>
  </si>
  <si>
    <t>Current Liabilities - debt</t>
  </si>
  <si>
    <t>Non-cash WC</t>
  </si>
  <si>
    <t>Change in non-cash WC</t>
  </si>
  <si>
    <t>FCF</t>
  </si>
  <si>
    <t>CAGR = 24.68%</t>
  </si>
  <si>
    <t>Tax expense/ earnings before tax</t>
  </si>
  <si>
    <t>CAGR(%)=8.6%</t>
  </si>
  <si>
    <t>Avg OM = 13.26%</t>
  </si>
  <si>
    <t>WACC</t>
  </si>
  <si>
    <t>Calculations are for a 10yr maturity period</t>
  </si>
  <si>
    <t>Cost of Debt</t>
  </si>
  <si>
    <t>Cost of Equity</t>
  </si>
  <si>
    <t>Weight of Equity and Debt</t>
  </si>
  <si>
    <t>Weights(%)</t>
  </si>
  <si>
    <t>Data till March'23</t>
  </si>
  <si>
    <t>Interest Expense</t>
  </si>
  <si>
    <t>Risk Free Rate</t>
  </si>
  <si>
    <t>Total Debt</t>
  </si>
  <si>
    <t>D/(E+D)</t>
  </si>
  <si>
    <t>all no.s are in Cr INR</t>
  </si>
  <si>
    <t>Short Term Debt</t>
  </si>
  <si>
    <t>Beta of this Industry</t>
  </si>
  <si>
    <t>Market Cap</t>
  </si>
  <si>
    <t>E(E+D)</t>
  </si>
  <si>
    <t>Long Term Debt</t>
  </si>
  <si>
    <t>Market Risk Premium(%)</t>
  </si>
  <si>
    <t>Rate of Interest Generated(%)</t>
  </si>
  <si>
    <t>Expected Market Return(%)</t>
  </si>
  <si>
    <t>Income Tax Expense</t>
  </si>
  <si>
    <t>Income before Tax</t>
  </si>
  <si>
    <t>Equity Risk Premium(%)</t>
  </si>
  <si>
    <t>Debt Risk Premium(%)</t>
  </si>
  <si>
    <t>Cost of Debt (%)</t>
  </si>
  <si>
    <t>Cost of Debt*(1-T)</t>
  </si>
  <si>
    <t>ERP calculated by weighted average of ERP across countries contributing in company's revenue</t>
  </si>
  <si>
    <t>WACC(%)</t>
  </si>
  <si>
    <t>Terminal Value</t>
  </si>
  <si>
    <t> A terminal growth rate is usually in line with the long-term inflation rate but not higher than the historical gross domestic product (GDP) growth rate.  </t>
  </si>
  <si>
    <t>(source- https://www.investopedia.com/terms/t/terminalvalue.asp#:~:text=Terminal%20value%20is%20calculated%20by,value%20after%20the%20forecast%20period. )</t>
  </si>
  <si>
    <t>LT inflation rate of India</t>
  </si>
  <si>
    <t>Fiscal Year</t>
  </si>
  <si>
    <t>Historical GDP growth rate</t>
  </si>
  <si>
    <t>TGR</t>
  </si>
  <si>
    <t>(Average of both)</t>
  </si>
  <si>
    <t>Using the Perpetual Growth Rate Method</t>
  </si>
  <si>
    <t>4yr CAGR of FCF(%)</t>
  </si>
  <si>
    <t>Future FCF</t>
  </si>
  <si>
    <t>Terminal Value =</t>
  </si>
  <si>
    <t>All no.s are in Cr INR</t>
  </si>
  <si>
    <t>Using the Perpetual Growth Method</t>
  </si>
  <si>
    <t xml:space="preserve"> </t>
  </si>
  <si>
    <t>DCF</t>
  </si>
  <si>
    <t>Fiscal year</t>
  </si>
  <si>
    <t>Tax Rate</t>
  </si>
  <si>
    <t>Expenses</t>
  </si>
  <si>
    <t>Expenses in %</t>
  </si>
  <si>
    <t>Gross Profit</t>
  </si>
  <si>
    <t>EBIT Growth %</t>
  </si>
  <si>
    <t>OM Growth %</t>
  </si>
  <si>
    <t>Base yr</t>
  </si>
  <si>
    <t>Discount Factor</t>
  </si>
  <si>
    <t>PV of FCFF</t>
  </si>
  <si>
    <t>CAGR till base year = 24.68%</t>
  </si>
  <si>
    <t>Effective = 25.32%</t>
  </si>
  <si>
    <t>Marginal = 30.00%</t>
  </si>
  <si>
    <t>Revenue * E%</t>
  </si>
  <si>
    <t>PV of Terminal Value</t>
  </si>
  <si>
    <t>Enterprise Value</t>
  </si>
  <si>
    <t>Enterprise Value to Equity Value</t>
  </si>
  <si>
    <t>Cash</t>
  </si>
  <si>
    <t>Cash Eq</t>
  </si>
  <si>
    <t>Short term Debt</t>
  </si>
  <si>
    <t>Long term Debt</t>
  </si>
  <si>
    <t>Equity Value</t>
  </si>
  <si>
    <t>(in Cr)</t>
  </si>
  <si>
    <t>Shares Outstanding</t>
  </si>
  <si>
    <t>Implied Share Price</t>
  </si>
  <si>
    <t xml:space="preserve"> The share price is undervalued by 48.42%</t>
  </si>
  <si>
    <t>Current Share Price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</si>
</sst>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0.00000%"/>
    <numFmt numFmtId="166" formatCode="#,##0;\(#,##0\)"/>
    <numFmt numFmtId="167" formatCode="&quot;₹&quot;\ #,##0.00"/>
  </numFmts>
  <fonts count="29">
    <font>
      <sz val="11.0"/>
      <color theme="1"/>
      <name val="Calibri"/>
      <scheme val="minor"/>
    </font>
    <font>
      <b/>
      <u/>
      <sz val="26.0"/>
      <color rgb="FF00B050"/>
      <name val="Calibri"/>
    </font>
    <font>
      <b/>
      <u/>
      <sz val="11.0"/>
      <color theme="1"/>
      <name val="Calibri"/>
    </font>
    <font>
      <b/>
      <sz val="11.0"/>
      <color theme="1"/>
      <name val="Calibri"/>
    </font>
    <font>
      <b/>
      <sz val="15.0"/>
      <color theme="1"/>
      <name val="Calibri"/>
    </font>
    <font>
      <b/>
      <sz val="14.0"/>
      <color theme="1"/>
      <name val="Calibri"/>
    </font>
    <font>
      <b/>
      <u/>
      <sz val="14.0"/>
      <color rgb="FF00B050"/>
      <name val="Calibri"/>
    </font>
    <font>
      <sz val="11.0"/>
      <color theme="1"/>
      <name val="Calibri"/>
    </font>
    <font>
      <sz val="11.0"/>
      <color rgb="FF333333"/>
      <name val="Arial"/>
    </font>
    <font>
      <sz val="11.0"/>
      <color rgb="FF333333"/>
      <name val="Calibri"/>
    </font>
    <font>
      <b/>
      <u/>
      <sz val="22.0"/>
      <color rgb="FF00B0F0"/>
      <name val="Calibri"/>
    </font>
    <font>
      <b/>
      <sz val="13.0"/>
      <color theme="1"/>
      <name val="Calibri"/>
    </font>
    <font>
      <color theme="1"/>
      <name val="Calibri"/>
      <scheme val="minor"/>
    </font>
    <font>
      <b/>
      <u/>
      <sz val="15.0"/>
      <color rgb="FF00B0F0"/>
      <name val="Calibri"/>
    </font>
    <font>
      <b/>
      <u/>
      <sz val="12.0"/>
      <color rgb="FF00B0F0"/>
      <name val="Calibri"/>
    </font>
    <font>
      <b/>
      <u/>
      <sz val="22.0"/>
      <color rgb="FF7030A0"/>
      <name val="Calibri"/>
    </font>
    <font>
      <b/>
      <sz val="12.0"/>
      <color rgb="FF11111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u/>
      <sz val="15.0"/>
      <color rgb="FF7030A0"/>
      <name val="Calibri"/>
    </font>
    <font>
      <b/>
      <u/>
      <sz val="15.0"/>
      <color rgb="FF7030A0"/>
      <name val="Calibri"/>
    </font>
    <font>
      <b/>
      <u/>
      <sz val="24.0"/>
      <color rgb="FFBF9000"/>
      <name val="Algerian"/>
    </font>
    <font>
      <b/>
      <u/>
      <sz val="11.0"/>
      <color rgb="FF00B0F0"/>
      <name val="Calibri"/>
    </font>
    <font>
      <b/>
      <u/>
      <sz val="11.0"/>
      <color rgb="FF00B0F0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i/>
      <sz val="12.0"/>
      <color theme="1"/>
      <name val="Calibri"/>
    </font>
    <font>
      <sz val="12.0"/>
      <color rgb="FF0432FF"/>
      <name val="Calibri"/>
    </font>
    <font>
      <b/>
      <sz val="11.0"/>
      <color rgb="FF00B05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/>
      <right/>
      <top style="medium">
        <color rgb="FFD1D1D1"/>
      </top>
      <bottom style="medium">
        <color rgb="FFE0E0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D1D1D1"/>
      </top>
      <bottom style="medium">
        <color rgb="FFD1D1D1"/>
      </bottom>
    </border>
    <border>
      <left/>
      <right style="thin">
        <color rgb="FF000000"/>
      </right>
      <top style="medium">
        <color rgb="FFD1D1D1"/>
      </top>
      <bottom style="medium">
        <color rgb="FFE0E0E0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3" fontId="7" numFmtId="0" xfId="0" applyAlignment="1" applyBorder="1" applyFill="1" applyFont="1">
      <alignment horizontal="center"/>
    </xf>
    <xf borderId="2" fillId="4" fontId="8" numFmtId="4" xfId="0" applyAlignment="1" applyBorder="1" applyFill="1" applyFont="1" applyNumberFormat="1">
      <alignment horizontal="center" shrinkToFit="0" vertical="top" wrapText="1"/>
    </xf>
    <xf borderId="3" fillId="3" fontId="8" numFmtId="10" xfId="0" applyAlignment="1" applyBorder="1" applyFont="1" applyNumberFormat="1">
      <alignment horizontal="center" shrinkToFit="0" vertical="top" wrapText="1"/>
    </xf>
    <xf borderId="1" fillId="4" fontId="7" numFmtId="10" xfId="0" applyAlignment="1" applyBorder="1" applyFont="1" applyNumberFormat="1">
      <alignment horizontal="center"/>
    </xf>
    <xf borderId="1" fillId="3" fontId="7" numFmtId="3" xfId="0" applyAlignment="1" applyBorder="1" applyFont="1" applyNumberFormat="1">
      <alignment horizontal="center"/>
    </xf>
    <xf borderId="1" fillId="4" fontId="7" numFmtId="3" xfId="0" applyAlignment="1" applyBorder="1" applyFont="1" applyNumberFormat="1">
      <alignment horizontal="center"/>
    </xf>
    <xf borderId="1" fillId="3" fontId="7" numFmtId="2" xfId="0" applyAlignment="1" applyBorder="1" applyFont="1" applyNumberFormat="1">
      <alignment horizontal="center"/>
    </xf>
    <xf borderId="1" fillId="4" fontId="7" numFmtId="2" xfId="0" applyAlignment="1" applyBorder="1" applyFont="1" applyNumberFormat="1">
      <alignment horizontal="center"/>
    </xf>
    <xf borderId="1" fillId="3" fontId="7" numFmtId="4" xfId="0" applyAlignment="1" applyBorder="1" applyFont="1" applyNumberFormat="1">
      <alignment horizontal="center"/>
    </xf>
    <xf borderId="1" fillId="4" fontId="7" numFmtId="4" xfId="0" applyAlignment="1" applyBorder="1" applyFont="1" applyNumberFormat="1">
      <alignment horizontal="center"/>
    </xf>
    <xf borderId="1" fillId="3" fontId="7" numFmtId="164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vertical="center"/>
    </xf>
    <xf borderId="4" fillId="4" fontId="8" numFmtId="4" xfId="0" applyAlignment="1" applyBorder="1" applyFont="1" applyNumberFormat="1">
      <alignment horizontal="center" shrinkToFit="0" vertical="top" wrapText="1"/>
    </xf>
    <xf borderId="1" fillId="4" fontId="7" numFmtId="0" xfId="0" applyAlignment="1" applyBorder="1" applyFont="1">
      <alignment horizontal="center"/>
    </xf>
    <xf borderId="1" fillId="4" fontId="8" numFmtId="4" xfId="0" applyAlignment="1" applyBorder="1" applyFont="1" applyNumberFormat="1">
      <alignment horizontal="center"/>
    </xf>
    <xf borderId="2" fillId="3" fontId="9" numFmtId="4" xfId="0" applyAlignment="1" applyBorder="1" applyFont="1" applyNumberFormat="1">
      <alignment horizontal="center"/>
    </xf>
    <xf borderId="5" fillId="4" fontId="8" numFmtId="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 vertical="center"/>
    </xf>
    <xf borderId="0" fillId="0" fontId="8" numFmtId="4" xfId="0" applyAlignment="1" applyFont="1" applyNumberFormat="1">
      <alignment horizontal="center"/>
    </xf>
    <xf borderId="0" fillId="0" fontId="7" numFmtId="10" xfId="0" applyAlignment="1" applyFont="1" applyNumberFormat="1">
      <alignment horizontal="center"/>
    </xf>
    <xf borderId="0" fillId="0" fontId="7" numFmtId="3" xfId="0" applyAlignment="1" applyFont="1" applyNumberFormat="1">
      <alignment horizontal="center"/>
    </xf>
    <xf borderId="0" fillId="0" fontId="7" numFmtId="4" xfId="0" applyAlignment="1" applyFont="1" applyNumberFormat="1">
      <alignment horizontal="center"/>
    </xf>
    <xf borderId="0" fillId="0" fontId="8" numFmtId="4" xfId="0" applyFont="1" applyNumberFormat="1"/>
    <xf borderId="0" fillId="0" fontId="7" numFmtId="164" xfId="0" applyAlignment="1" applyFont="1" applyNumberFormat="1">
      <alignment horizontal="center"/>
    </xf>
    <xf borderId="1" fillId="5" fontId="3" numFmtId="0" xfId="0" applyBorder="1" applyFill="1" applyFont="1"/>
    <xf borderId="1" fillId="5" fontId="3" numFmtId="0" xfId="0" applyAlignment="1" applyBorder="1" applyFont="1">
      <alignment horizontal="center"/>
    </xf>
    <xf borderId="0" fillId="0" fontId="10" numFmtId="0" xfId="0" applyFont="1"/>
    <xf borderId="6" fillId="4" fontId="7" numFmtId="0" xfId="0" applyBorder="1" applyFont="1"/>
    <xf borderId="1" fillId="4" fontId="7" numFmtId="0" xfId="0" applyBorder="1" applyFont="1"/>
    <xf borderId="1" fillId="2" fontId="4" numFmtId="0" xfId="0" applyBorder="1" applyFont="1"/>
    <xf borderId="1" fillId="2" fontId="7" numFmtId="0" xfId="0" applyBorder="1" applyFont="1"/>
    <xf borderId="1" fillId="2" fontId="11" numFmtId="0" xfId="0" applyBorder="1" applyFont="1"/>
    <xf borderId="1" fillId="2" fontId="11" numFmtId="0" xfId="0" applyAlignment="1" applyBorder="1" applyFont="1">
      <alignment horizontal="center"/>
    </xf>
    <xf borderId="7" fillId="6" fontId="7" numFmtId="0" xfId="0" applyAlignment="1" applyBorder="1" applyFill="1" applyFont="1">
      <alignment shrinkToFit="0" wrapText="1"/>
    </xf>
    <xf borderId="1" fillId="6" fontId="7" numFmtId="0" xfId="0" applyBorder="1" applyFont="1"/>
    <xf borderId="1" fillId="4" fontId="7" numFmtId="4" xfId="0" applyBorder="1" applyFont="1" applyNumberFormat="1"/>
    <xf borderId="1" fillId="4" fontId="7" numFmtId="3" xfId="0" applyBorder="1" applyFont="1" applyNumberFormat="1"/>
    <xf borderId="0" fillId="0" fontId="7" numFmtId="4" xfId="0" applyFont="1" applyNumberFormat="1"/>
    <xf borderId="8" fillId="6" fontId="7" numFmtId="0" xfId="0" applyAlignment="1" applyBorder="1" applyFont="1">
      <alignment shrinkToFit="0" wrapText="1"/>
    </xf>
    <xf borderId="0" fillId="0" fontId="12" numFmtId="0" xfId="0" applyAlignment="1" applyFont="1">
      <alignment readingOrder="0"/>
    </xf>
    <xf borderId="1" fillId="7" fontId="13" numFmtId="0" xfId="0" applyBorder="1" applyFill="1" applyFont="1"/>
    <xf borderId="1" fillId="7" fontId="14" numFmtId="0" xfId="0" applyAlignment="1" applyBorder="1" applyFont="1">
      <alignment horizontal="center" vertical="center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2" numFmtId="0" xfId="0" applyFont="1"/>
    <xf borderId="1" fillId="4" fontId="7" numFmtId="10" xfId="0" applyBorder="1" applyFont="1" applyNumberFormat="1"/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center"/>
    </xf>
    <xf borderId="1" fillId="6" fontId="7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center"/>
    </xf>
    <xf borderId="1" fillId="5" fontId="7" numFmtId="0" xfId="0" applyAlignment="1" applyBorder="1" applyFont="1">
      <alignment horizontal="center"/>
    </xf>
    <xf borderId="0" fillId="0" fontId="11" numFmtId="0" xfId="0" applyFont="1"/>
    <xf borderId="1" fillId="5" fontId="3" numFmtId="164" xfId="0" applyAlignment="1" applyBorder="1" applyFont="1" applyNumberFormat="1">
      <alignment horizontal="center"/>
    </xf>
    <xf borderId="1" fillId="7" fontId="7" numFmtId="0" xfId="0" applyAlignment="1" applyBorder="1" applyFont="1">
      <alignment horizontal="center"/>
    </xf>
    <xf borderId="1" fillId="7" fontId="19" numFmtId="0" xfId="0" applyAlignment="1" applyBorder="1" applyFont="1">
      <alignment horizontal="right"/>
    </xf>
    <xf borderId="1" fillId="7" fontId="20" numFmtId="2" xfId="0" applyAlignment="1" applyBorder="1" applyFont="1" applyNumberFormat="1">
      <alignment vertical="center"/>
    </xf>
    <xf borderId="1" fillId="5" fontId="7" numFmtId="0" xfId="0" applyBorder="1" applyFont="1"/>
    <xf borderId="0" fillId="0" fontId="21" numFmtId="0" xfId="0" applyFont="1"/>
    <xf borderId="2" fillId="4" fontId="9" numFmtId="2" xfId="0" applyAlignment="1" applyBorder="1" applyFont="1" applyNumberFormat="1">
      <alignment horizontal="center" shrinkToFit="0" vertical="top" wrapText="1"/>
    </xf>
    <xf borderId="3" fillId="6" fontId="9" numFmtId="10" xfId="0" applyAlignment="1" applyBorder="1" applyFont="1" applyNumberFormat="1">
      <alignment horizontal="center" shrinkToFit="0" vertical="top" wrapText="1"/>
    </xf>
    <xf borderId="1" fillId="6" fontId="7" numFmtId="2" xfId="0" applyAlignment="1" applyBorder="1" applyFont="1" applyNumberFormat="1">
      <alignment horizontal="center"/>
    </xf>
    <xf borderId="1" fillId="6" fontId="7" numFmtId="0" xfId="0" applyAlignment="1" applyBorder="1" applyFont="1">
      <alignment horizontal="center"/>
    </xf>
    <xf borderId="4" fillId="4" fontId="9" numFmtId="2" xfId="0" applyAlignment="1" applyBorder="1" applyFont="1" applyNumberFormat="1">
      <alignment horizontal="center" shrinkToFit="0" vertical="top" wrapText="1"/>
    </xf>
    <xf borderId="2" fillId="4" fontId="9" numFmtId="2" xfId="0" applyAlignment="1" applyBorder="1" applyFont="1" applyNumberFormat="1">
      <alignment horizontal="center"/>
    </xf>
    <xf borderId="1" fillId="6" fontId="3" numFmtId="0" xfId="0" applyAlignment="1" applyBorder="1" applyFont="1">
      <alignment horizontal="left"/>
    </xf>
    <xf borderId="5" fillId="4" fontId="9" numFmtId="2" xfId="0" applyAlignment="1" applyBorder="1" applyFont="1" applyNumberFormat="1">
      <alignment horizontal="center" shrinkToFit="0" vertical="top" wrapText="1"/>
    </xf>
    <xf borderId="1" fillId="6" fontId="7" numFmtId="10" xfId="0" applyAlignment="1" applyBorder="1" applyFont="1" applyNumberFormat="1">
      <alignment horizontal="center"/>
    </xf>
    <xf borderId="1" fillId="4" fontId="7" numFmtId="165" xfId="0" applyAlignment="1" applyBorder="1" applyFont="1" applyNumberFormat="1">
      <alignment horizontal="center"/>
    </xf>
    <xf borderId="1" fillId="5" fontId="7" numFmtId="164" xfId="0" applyAlignment="1" applyBorder="1" applyFont="1" applyNumberFormat="1">
      <alignment horizontal="center"/>
    </xf>
    <xf borderId="1" fillId="4" fontId="7" numFmtId="9" xfId="0" applyAlignment="1" applyBorder="1" applyFont="1" applyNumberFormat="1">
      <alignment horizontal="center"/>
    </xf>
    <xf borderId="0" fillId="0" fontId="22" numFmtId="0" xfId="0" applyFont="1"/>
    <xf borderId="0" fillId="0" fontId="23" numFmtId="10" xfId="0" applyFont="1" applyNumberFormat="1"/>
    <xf borderId="1" fillId="5" fontId="24" numFmtId="0" xfId="0" applyAlignment="1" applyBorder="1" applyFont="1">
      <alignment horizontal="center"/>
    </xf>
    <xf borderId="1" fillId="5" fontId="25" numFmtId="10" xfId="0" applyAlignment="1" applyBorder="1" applyFont="1" applyNumberFormat="1">
      <alignment horizontal="center"/>
    </xf>
    <xf borderId="1" fillId="7" fontId="7" numFmtId="0" xfId="0" applyBorder="1" applyFont="1"/>
    <xf borderId="1" fillId="6" fontId="3" numFmtId="0" xfId="0" applyAlignment="1" applyBorder="1" applyFont="1">
      <alignment horizontal="center"/>
    </xf>
    <xf borderId="1" fillId="4" fontId="3" numFmtId="2" xfId="0" applyAlignment="1" applyBorder="1" applyFont="1" applyNumberFormat="1">
      <alignment horizontal="center"/>
    </xf>
    <xf borderId="1" fillId="2" fontId="26" numFmtId="0" xfId="0" applyBorder="1" applyFont="1"/>
    <xf borderId="1" fillId="2" fontId="18" numFmtId="166" xfId="0" applyBorder="1" applyFont="1" applyNumberFormat="1"/>
    <xf borderId="1" fillId="6" fontId="18" numFmtId="0" xfId="0" applyAlignment="1" applyBorder="1" applyFont="1">
      <alignment horizontal="left"/>
    </xf>
    <xf borderId="1" fillId="4" fontId="27" numFmtId="2" xfId="0" applyBorder="1" applyFont="1" applyNumberFormat="1"/>
    <xf borderId="1" fillId="4" fontId="27" numFmtId="166" xfId="0" applyBorder="1" applyFont="1" applyNumberFormat="1"/>
    <xf borderId="9" fillId="5" fontId="17" numFmtId="0" xfId="0" applyAlignment="1" applyBorder="1" applyFont="1">
      <alignment horizontal="left"/>
    </xf>
    <xf borderId="9" fillId="5" fontId="17" numFmtId="166" xfId="0" applyBorder="1" applyFont="1" applyNumberFormat="1"/>
    <xf borderId="0" fillId="0" fontId="18" numFmtId="166" xfId="0" applyFont="1" applyNumberFormat="1"/>
    <xf borderId="9" fillId="5" fontId="17" numFmtId="11" xfId="0" applyBorder="1" applyFont="1" applyNumberFormat="1"/>
    <xf borderId="1" fillId="2" fontId="7" numFmtId="167" xfId="0" applyBorder="1" applyFont="1" applyNumberFormat="1"/>
    <xf borderId="0" fillId="0" fontId="28" numFmtId="0" xfId="0" applyFont="1"/>
    <xf borderId="0" fillId="0" fontId="7" numFmtId="167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Growth(%)
</a:t>
            </a:r>
          </a:p>
        </c:rich>
      </c:tx>
      <c:overlay val="0"/>
    </c:title>
    <c:plotArea>
      <c:layout>
        <c:manualLayout>
          <c:xMode val="edge"/>
          <c:yMode val="edge"/>
          <c:x val="0.10220603674540682"/>
          <c:y val="0.19486111111111112"/>
          <c:w val="0.8533495188101488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DCF!$D$4:$D$17</c:f>
              <c:numCache/>
            </c:numRef>
          </c:val>
          <c:smooth val="0"/>
        </c:ser>
        <c:axId val="1460512761"/>
        <c:axId val="508566324"/>
      </c:lineChart>
      <c:catAx>
        <c:axId val="146051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8566324"/>
      </c:catAx>
      <c:valAx>
        <c:axId val="50856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051276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EBIT(1-T)</a:t>
            </a:r>
          </a:p>
        </c:rich>
      </c:tx>
      <c:layout>
        <c:manualLayout>
          <c:xMode val="edge"/>
          <c:yMode val="edge"/>
          <c:x val="0.2537655815481615"/>
          <c:y val="0.18160099972473864"/>
        </c:manualLayout>
      </c:layout>
      <c:overlay val="0"/>
    </c:title>
    <c:plotArea>
      <c:layout>
        <c:manualLayout>
          <c:xMode val="edge"/>
          <c:yMode val="edge"/>
          <c:x val="0.46485786975432136"/>
          <c:y val="0.3749455741755333"/>
          <c:w val="0.4361774897207929"/>
          <c:h val="0.3905414086000364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DCF!$K$4:$K$17</c:f>
              <c:numCache/>
            </c:numRef>
          </c:val>
          <c:smooth val="0"/>
        </c:ser>
        <c:axId val="281403178"/>
        <c:axId val="888364614"/>
      </c:lineChart>
      <c:catAx>
        <c:axId val="281403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8364614"/>
      </c:catAx>
      <c:valAx>
        <c:axId val="888364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140317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OM Growth %</a:t>
            </a:r>
          </a:p>
        </c:rich>
      </c:tx>
      <c:layout>
        <c:manualLayout>
          <c:xMode val="edge"/>
          <c:yMode val="edge"/>
          <c:x val="0.262911152857912"/>
          <c:y val="0.06003160476733117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DCF!$L$4:$L$17</c:f>
              <c:numCache/>
            </c:numRef>
          </c:val>
          <c:smooth val="0"/>
        </c:ser>
        <c:axId val="243958741"/>
        <c:axId val="1709698938"/>
      </c:lineChart>
      <c:catAx>
        <c:axId val="24395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9698938"/>
      </c:catAx>
      <c:valAx>
        <c:axId val="170969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95874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Expenses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DCF!$F$4:$F$17</c:f>
              <c:numCache/>
            </c:numRef>
          </c:val>
          <c:smooth val="0"/>
        </c:ser>
        <c:axId val="2002490386"/>
        <c:axId val="253183056"/>
      </c:lineChart>
      <c:catAx>
        <c:axId val="2002490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3183056"/>
      </c:catAx>
      <c:valAx>
        <c:axId val="25318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249038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4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10</xdr:row>
      <xdr:rowOff>57150</xdr:rowOff>
    </xdr:from>
    <xdr:ext cx="346710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17</xdr:row>
      <xdr:rowOff>171450</xdr:rowOff>
    </xdr:from>
    <xdr:ext cx="5229225" cy="9048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10</xdr:row>
      <xdr:rowOff>152400</xdr:rowOff>
    </xdr:from>
    <xdr:ext cx="3400425" cy="904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4</xdr:row>
      <xdr:rowOff>19050</xdr:rowOff>
    </xdr:from>
    <xdr:ext cx="4581525" cy="19907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22</xdr:row>
      <xdr:rowOff>95250</xdr:rowOff>
    </xdr:from>
    <xdr:ext cx="1676400" cy="1657350"/>
    <xdr:graphicFrame>
      <xdr:nvGraphicFramePr>
        <xdr:cNvPr id="11921020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18</xdr:row>
      <xdr:rowOff>152400</xdr:rowOff>
    </xdr:from>
    <xdr:ext cx="1485900" cy="1647825"/>
    <xdr:graphicFrame>
      <xdr:nvGraphicFramePr>
        <xdr:cNvPr id="5548293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28575</xdr:colOff>
      <xdr:row>18</xdr:row>
      <xdr:rowOff>152400</xdr:rowOff>
    </xdr:from>
    <xdr:ext cx="1533525" cy="1628775"/>
    <xdr:graphicFrame>
      <xdr:nvGraphicFramePr>
        <xdr:cNvPr id="92462713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361950</xdr:colOff>
      <xdr:row>22</xdr:row>
      <xdr:rowOff>76200</xdr:rowOff>
    </xdr:from>
    <xdr:ext cx="1666875" cy="1685925"/>
    <xdr:graphicFrame>
      <xdr:nvGraphicFramePr>
        <xdr:cNvPr id="49076910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561975</xdr:colOff>
      <xdr:row>20</xdr:row>
      <xdr:rowOff>142875</xdr:rowOff>
    </xdr:from>
    <xdr:ext cx="2476500" cy="5334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23</xdr:row>
      <xdr:rowOff>104775</xdr:rowOff>
    </xdr:from>
    <xdr:ext cx="4095750" cy="6096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5.29"/>
    <col customWidth="1" min="5" max="5" width="12.71"/>
    <col customWidth="1" min="6" max="6" width="22.29"/>
    <col customWidth="1" min="7" max="7" width="20.57"/>
    <col customWidth="1" min="8" max="8" width="9.71"/>
    <col customWidth="1" min="9" max="9" width="13.29"/>
    <col customWidth="1" min="10" max="10" width="20.0"/>
    <col customWidth="1" min="11" max="11" width="22.86"/>
    <col customWidth="1" min="12" max="12" width="8.71"/>
    <col customWidth="1" min="13" max="13" width="14.71"/>
    <col customWidth="1" min="14" max="14" width="28.29"/>
    <col customWidth="1" min="15" max="15" width="26.57"/>
    <col customWidth="1" min="16" max="16" width="15.71"/>
    <col customWidth="1" min="17" max="17" width="26.43"/>
    <col customWidth="1" min="18" max="18" width="14.0"/>
    <col customWidth="1" min="19" max="26" width="8.71"/>
  </cols>
  <sheetData>
    <row r="1" ht="14.25" customHeight="1">
      <c r="A1" s="1" t="s">
        <v>0</v>
      </c>
      <c r="B1" s="2"/>
      <c r="C1" s="3"/>
    </row>
    <row r="2" ht="14.25" customHeight="1"/>
    <row r="3" ht="14.25" customHeight="1">
      <c r="D3" s="4" t="s">
        <v>1</v>
      </c>
      <c r="E3" s="4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7" t="s">
        <v>15</v>
      </c>
    </row>
    <row r="4" ht="14.25" customHeight="1">
      <c r="D4" s="8">
        <v>2020.0</v>
      </c>
      <c r="E4" s="9">
        <v>29136.37</v>
      </c>
      <c r="F4" s="10">
        <v>0.12</v>
      </c>
      <c r="G4" s="11">
        <v>0.338</v>
      </c>
      <c r="H4" s="12">
        <v>4873.0</v>
      </c>
      <c r="I4" s="13">
        <f t="shared" ref="I4:I7" si="1">H4*(1-G4)</f>
        <v>3225.926</v>
      </c>
      <c r="J4" s="14">
        <v>5237.5</v>
      </c>
      <c r="K4" s="15">
        <f t="shared" ref="K4:K7" si="2">J4/E4*100</f>
        <v>17.97581511</v>
      </c>
      <c r="L4" s="16">
        <v>2636.5</v>
      </c>
      <c r="M4" s="17">
        <v>3072.92</v>
      </c>
      <c r="N4" s="16">
        <v>21660.53</v>
      </c>
      <c r="O4" s="9">
        <v>27583.96</v>
      </c>
      <c r="P4" s="16">
        <f t="shared" ref="P4:P7" si="3">N4-O4</f>
        <v>-5923.43</v>
      </c>
      <c r="Q4" s="17">
        <v>2381.63</v>
      </c>
      <c r="R4" s="18">
        <f t="shared" ref="R4:R7" si="4">I4+L4-M4-Q4</f>
        <v>407.876</v>
      </c>
    </row>
    <row r="5" ht="14.25" customHeight="1">
      <c r="D5" s="19">
        <v>2021.0</v>
      </c>
      <c r="E5" s="20">
        <v>32468.1</v>
      </c>
      <c r="F5" s="10">
        <v>0.11</v>
      </c>
      <c r="G5" s="11">
        <v>0.2526</v>
      </c>
      <c r="H5" s="12">
        <v>4276.0</v>
      </c>
      <c r="I5" s="21">
        <f t="shared" si="1"/>
        <v>3195.8824</v>
      </c>
      <c r="J5" s="16">
        <v>4859.8</v>
      </c>
      <c r="K5" s="15">
        <f t="shared" si="2"/>
        <v>14.96792236</v>
      </c>
      <c r="L5" s="16">
        <v>2744.9</v>
      </c>
      <c r="M5" s="17">
        <v>10415.76</v>
      </c>
      <c r="N5" s="16">
        <v>19784.03</v>
      </c>
      <c r="O5" s="22">
        <v>30969.1</v>
      </c>
      <c r="P5" s="16">
        <f t="shared" si="3"/>
        <v>-11185.07</v>
      </c>
      <c r="Q5" s="17">
        <f t="shared" ref="Q5:Q7" si="5">P5-P4</f>
        <v>-5261.64</v>
      </c>
      <c r="R5" s="18">
        <f t="shared" si="4"/>
        <v>786.6624</v>
      </c>
    </row>
    <row r="6" ht="14.25" customHeight="1">
      <c r="D6" s="19">
        <v>2022.0</v>
      </c>
      <c r="E6" s="20">
        <v>42815.67</v>
      </c>
      <c r="F6" s="10">
        <v>0.32</v>
      </c>
      <c r="G6" s="11">
        <v>0.2873</v>
      </c>
      <c r="H6" s="23">
        <v>5507.0</v>
      </c>
      <c r="I6" s="21">
        <f t="shared" si="1"/>
        <v>3924.8389</v>
      </c>
      <c r="J6" s="16">
        <v>4316.6</v>
      </c>
      <c r="K6" s="15">
        <f t="shared" si="2"/>
        <v>10.08182285</v>
      </c>
      <c r="L6" s="16">
        <v>3127.6</v>
      </c>
      <c r="M6" s="17">
        <v>10116.95</v>
      </c>
      <c r="N6" s="16">
        <v>24802.13</v>
      </c>
      <c r="O6" s="9">
        <v>39368.28</v>
      </c>
      <c r="P6" s="16">
        <f t="shared" si="3"/>
        <v>-14566.15</v>
      </c>
      <c r="Q6" s="17">
        <f t="shared" si="5"/>
        <v>-3381.08</v>
      </c>
      <c r="R6" s="18">
        <f t="shared" si="4"/>
        <v>316.5689</v>
      </c>
    </row>
    <row r="7" ht="14.25" customHeight="1">
      <c r="D7" s="19">
        <v>2023.0</v>
      </c>
      <c r="E7" s="24">
        <v>55108.08</v>
      </c>
      <c r="F7" s="10">
        <v>0.29</v>
      </c>
      <c r="G7" s="11">
        <v>0.2532</v>
      </c>
      <c r="H7" s="12">
        <v>6010.0</v>
      </c>
      <c r="I7" s="21">
        <f t="shared" si="1"/>
        <v>4488.268</v>
      </c>
      <c r="J7" s="16">
        <v>5516.18</v>
      </c>
      <c r="K7" s="15">
        <f t="shared" si="2"/>
        <v>10.00974812</v>
      </c>
      <c r="L7" s="16">
        <v>3442.91</v>
      </c>
      <c r="M7" s="17">
        <v>14347.65</v>
      </c>
      <c r="N7" s="16">
        <v>23601.87</v>
      </c>
      <c r="O7" s="22">
        <v>45328.12</v>
      </c>
      <c r="P7" s="16">
        <f t="shared" si="3"/>
        <v>-21726.25</v>
      </c>
      <c r="Q7" s="17">
        <f t="shared" si="5"/>
        <v>-7160.1</v>
      </c>
      <c r="R7" s="18">
        <f t="shared" si="4"/>
        <v>743.628</v>
      </c>
    </row>
    <row r="8" ht="14.25" customHeight="1">
      <c r="D8" s="25"/>
      <c r="E8" s="26"/>
      <c r="F8" s="26"/>
      <c r="G8" s="27"/>
      <c r="H8" s="28"/>
      <c r="I8" s="28"/>
      <c r="J8" s="28"/>
      <c r="K8" s="28"/>
      <c r="L8" s="28"/>
      <c r="M8" s="29"/>
      <c r="N8" s="29"/>
      <c r="O8" s="30"/>
      <c r="P8" s="29"/>
      <c r="Q8" s="29"/>
      <c r="R8" s="31"/>
    </row>
    <row r="9" ht="14.25" customHeight="1"/>
    <row r="10" ht="14.25" customHeight="1">
      <c r="F10" s="32" t="s">
        <v>16</v>
      </c>
      <c r="G10" s="32" t="s">
        <v>17</v>
      </c>
      <c r="H10" s="32"/>
      <c r="I10" s="32" t="s">
        <v>18</v>
      </c>
      <c r="J10" s="32"/>
      <c r="K10" s="33" t="s">
        <v>19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8.71"/>
    <col customWidth="1" min="7" max="7" width="25.29"/>
    <col customWidth="1" min="8" max="9" width="8.71"/>
    <col customWidth="1" min="10" max="10" width="11.29"/>
    <col customWidth="1" min="11" max="11" width="22.71"/>
    <col customWidth="1" min="12" max="12" width="12.0"/>
    <col customWidth="1" min="13" max="13" width="8.71"/>
    <col customWidth="1" min="14" max="14" width="12.0"/>
    <col customWidth="1" min="15" max="15" width="9.71"/>
    <col customWidth="1" min="16" max="16" width="6.57"/>
    <col customWidth="1" min="17" max="17" width="16.57"/>
    <col customWidth="1" min="18" max="26" width="8.71"/>
  </cols>
  <sheetData>
    <row r="1" ht="14.25" customHeight="1">
      <c r="A1" s="34" t="s">
        <v>20</v>
      </c>
    </row>
    <row r="2" ht="14.25" customHeight="1"/>
    <row r="3" ht="14.25" customHeight="1">
      <c r="B3" s="35" t="s">
        <v>21</v>
      </c>
      <c r="C3" s="35"/>
      <c r="D3" s="35"/>
      <c r="E3" s="35"/>
      <c r="F3" s="36"/>
      <c r="G3" s="37" t="s">
        <v>22</v>
      </c>
      <c r="H3" s="38"/>
      <c r="K3" s="37" t="s">
        <v>23</v>
      </c>
      <c r="L3" s="38"/>
      <c r="N3" s="39" t="s">
        <v>24</v>
      </c>
      <c r="O3" s="37"/>
      <c r="P3" s="38"/>
      <c r="Q3" s="40" t="s">
        <v>25</v>
      </c>
      <c r="R3" s="38"/>
    </row>
    <row r="4" ht="18.75" customHeight="1">
      <c r="B4" s="36" t="s">
        <v>26</v>
      </c>
      <c r="C4" s="36"/>
      <c r="D4" s="36"/>
      <c r="E4" s="36"/>
      <c r="F4" s="36"/>
      <c r="G4" s="41" t="s">
        <v>27</v>
      </c>
      <c r="H4" s="17">
        <v>3455.65</v>
      </c>
      <c r="K4" s="42" t="s">
        <v>28</v>
      </c>
      <c r="L4" s="11">
        <v>0.0427</v>
      </c>
      <c r="N4" s="42" t="s">
        <v>29</v>
      </c>
      <c r="O4" s="43">
        <f>H5+H6</f>
        <v>49479.81</v>
      </c>
      <c r="P4" s="42"/>
      <c r="Q4" s="17">
        <f>O4/(O5+O4)%</f>
        <v>27.87912045</v>
      </c>
      <c r="R4" s="36" t="s">
        <v>30</v>
      </c>
    </row>
    <row r="5" ht="18.0" customHeight="1">
      <c r="B5" s="36" t="s">
        <v>31</v>
      </c>
      <c r="C5" s="36"/>
      <c r="D5" s="36"/>
      <c r="E5" s="36"/>
      <c r="F5" s="36"/>
      <c r="G5" s="41" t="s">
        <v>32</v>
      </c>
      <c r="H5" s="17">
        <v>12087.56</v>
      </c>
      <c r="K5" s="42" t="s">
        <v>33</v>
      </c>
      <c r="L5" s="21">
        <v>0.8</v>
      </c>
      <c r="N5" s="42" t="s">
        <v>34</v>
      </c>
      <c r="O5" s="44">
        <v>128000.0</v>
      </c>
      <c r="P5" s="42"/>
      <c r="Q5" s="15">
        <f>O5/(O4+O5)%</f>
        <v>72.12087955</v>
      </c>
      <c r="R5" s="36" t="s">
        <v>35</v>
      </c>
    </row>
    <row r="6" ht="15.0" customHeight="1">
      <c r="G6" s="41" t="s">
        <v>36</v>
      </c>
      <c r="H6" s="17">
        <v>37392.25</v>
      </c>
      <c r="K6" s="42" t="s">
        <v>37</v>
      </c>
      <c r="L6" s="15">
        <f>L7-(L4*100)</f>
        <v>8.886</v>
      </c>
      <c r="O6" s="45"/>
    </row>
    <row r="7" ht="15.0" customHeight="1">
      <c r="G7" s="41" t="s">
        <v>38</v>
      </c>
      <c r="H7" s="21">
        <f>H4/(H5+H6)*100</f>
        <v>6.98395972</v>
      </c>
      <c r="K7" s="42" t="s">
        <v>39</v>
      </c>
      <c r="L7" s="21">
        <v>13.156</v>
      </c>
    </row>
    <row r="8" ht="15.0" customHeight="1">
      <c r="G8" s="41" t="s">
        <v>40</v>
      </c>
      <c r="H8" s="17">
        <v>1451.92</v>
      </c>
      <c r="K8" s="42" t="s">
        <v>23</v>
      </c>
      <c r="L8" s="15">
        <f>L4+(L5*(L6))</f>
        <v>7.1515</v>
      </c>
    </row>
    <row r="9" ht="15.0" customHeight="1">
      <c r="G9" s="41" t="s">
        <v>41</v>
      </c>
      <c r="H9" s="17">
        <v>5732.02</v>
      </c>
      <c r="K9" s="42" t="s">
        <v>42</v>
      </c>
      <c r="L9" s="21">
        <v>8.08</v>
      </c>
    </row>
    <row r="10" ht="15.0" customHeight="1">
      <c r="G10" s="41" t="s">
        <v>4</v>
      </c>
      <c r="H10" s="11">
        <v>0.2532</v>
      </c>
    </row>
    <row r="11" ht="14.25" customHeight="1">
      <c r="G11" s="46" t="s">
        <v>28</v>
      </c>
      <c r="H11" s="11">
        <v>0.0427</v>
      </c>
    </row>
    <row r="12" ht="14.25" customHeight="1">
      <c r="G12" s="46" t="s">
        <v>43</v>
      </c>
      <c r="H12" s="15">
        <f>H13-(H11*100)</f>
        <v>7.14</v>
      </c>
    </row>
    <row r="13" ht="14.25" customHeight="1">
      <c r="G13" s="46" t="s">
        <v>44</v>
      </c>
      <c r="H13" s="21">
        <v>11.41</v>
      </c>
    </row>
    <row r="14" ht="14.25" customHeight="1">
      <c r="G14" s="46" t="s">
        <v>45</v>
      </c>
      <c r="H14" s="15">
        <f>H13*(1-H10)</f>
        <v>8.520988</v>
      </c>
      <c r="K14" s="47" t="s">
        <v>46</v>
      </c>
    </row>
    <row r="15" ht="14.25" customHeight="1"/>
    <row r="16" ht="14.25" customHeight="1"/>
    <row r="17" ht="14.25" customHeight="1"/>
    <row r="18" ht="14.25" customHeight="1"/>
    <row r="19" ht="14.25" customHeight="1">
      <c r="J19" s="48" t="s">
        <v>47</v>
      </c>
      <c r="K19" s="49">
        <f>((Q5/100)*L8)  +( (Q4/100)*H14)</f>
        <v>7.533301209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86"/>
    <col customWidth="1" min="2" max="2" width="14.14"/>
    <col customWidth="1" min="3" max="3" width="18.71"/>
    <col customWidth="1" min="4" max="5" width="8.71"/>
    <col customWidth="1" min="6" max="6" width="9.86"/>
    <col customWidth="1" min="7" max="7" width="18.0"/>
    <col customWidth="1" min="8" max="8" width="8.71"/>
    <col customWidth="1" min="9" max="9" width="10.29"/>
    <col customWidth="1" min="10" max="26" width="8.71"/>
  </cols>
  <sheetData>
    <row r="1" ht="14.25" customHeight="1">
      <c r="A1" s="50" t="s">
        <v>48</v>
      </c>
    </row>
    <row r="2" ht="14.25" customHeight="1"/>
    <row r="3" ht="14.25" customHeight="1">
      <c r="A3" s="51" t="s">
        <v>49</v>
      </c>
      <c r="B3" s="52"/>
      <c r="C3" s="52"/>
      <c r="D3" s="52"/>
      <c r="E3" s="52"/>
      <c r="F3" s="52"/>
      <c r="G3" s="52"/>
      <c r="H3" s="52"/>
      <c r="I3" s="52"/>
      <c r="J3" s="52"/>
      <c r="K3" s="53"/>
      <c r="L3" s="53"/>
      <c r="P3" s="54" t="s">
        <v>50</v>
      </c>
    </row>
    <row r="4" ht="14.25" customHeight="1">
      <c r="A4" s="3"/>
    </row>
    <row r="5" ht="14.25" customHeight="1">
      <c r="A5" s="42" t="s">
        <v>51</v>
      </c>
      <c r="B5" s="55">
        <v>0.067</v>
      </c>
      <c r="F5" s="56" t="s">
        <v>52</v>
      </c>
      <c r="G5" s="57" t="s">
        <v>15</v>
      </c>
    </row>
    <row r="6" ht="14.25" customHeight="1">
      <c r="A6" s="42" t="s">
        <v>53</v>
      </c>
      <c r="B6" s="55">
        <v>0.0724</v>
      </c>
      <c r="F6" s="58">
        <v>2020.0</v>
      </c>
      <c r="G6" s="59">
        <v>407.876</v>
      </c>
    </row>
    <row r="7" ht="14.25" customHeight="1">
      <c r="A7" s="42" t="s">
        <v>54</v>
      </c>
      <c r="B7" s="55">
        <f>AVERAGE(B5,B6)</f>
        <v>0.0697</v>
      </c>
      <c r="C7" s="60" t="s">
        <v>55</v>
      </c>
      <c r="F7" s="58">
        <v>2021.0</v>
      </c>
      <c r="G7" s="59">
        <v>786.662</v>
      </c>
    </row>
    <row r="8" ht="14.25" customHeight="1">
      <c r="A8" s="42" t="s">
        <v>20</v>
      </c>
      <c r="B8" s="55">
        <v>0.0753</v>
      </c>
      <c r="F8" s="58">
        <v>2022.0</v>
      </c>
      <c r="G8" s="59">
        <v>316.569</v>
      </c>
    </row>
    <row r="9" ht="14.25" customHeight="1">
      <c r="F9" s="58">
        <v>2023.0</v>
      </c>
      <c r="G9" s="59">
        <v>743.628</v>
      </c>
    </row>
    <row r="10" ht="14.25" customHeight="1">
      <c r="A10" s="61" t="s">
        <v>56</v>
      </c>
      <c r="F10" s="58">
        <v>2024.0</v>
      </c>
      <c r="G10" s="62" t="s">
        <v>57</v>
      </c>
      <c r="H10" s="42">
        <f>(((G9/G6)^(1/4))  -1 )*100</f>
        <v>16.20020537</v>
      </c>
      <c r="I10" s="57" t="s">
        <v>58</v>
      </c>
    </row>
    <row r="11" ht="14.25" customHeight="1">
      <c r="F11" s="58">
        <v>2025.0</v>
      </c>
      <c r="G11" s="63"/>
      <c r="I11" s="36">
        <f>G9*(1+(H10/100))</f>
        <v>864.0972632</v>
      </c>
    </row>
    <row r="12" ht="14.25" customHeight="1">
      <c r="F12" s="58">
        <v>2026.0</v>
      </c>
      <c r="I12" s="36">
        <f>I11*(1+(H10/100))</f>
        <v>1004.082794</v>
      </c>
    </row>
    <row r="13" ht="14.25" customHeight="1">
      <c r="F13" s="58">
        <v>2027.0</v>
      </c>
      <c r="I13" s="36">
        <f>I12*(1+(H10/100))</f>
        <v>1166.746269</v>
      </c>
    </row>
    <row r="14" ht="14.25" customHeight="1">
      <c r="F14" s="58">
        <v>2028.0</v>
      </c>
      <c r="I14" s="36">
        <f>I13*(1+(H10/100))</f>
        <v>1355.761561</v>
      </c>
    </row>
    <row r="15" ht="14.25" customHeight="1">
      <c r="F15" s="58">
        <v>2029.0</v>
      </c>
      <c r="I15" s="36">
        <f>I14*(1+(H10/100))</f>
        <v>1575.397718</v>
      </c>
    </row>
    <row r="16" ht="14.25" customHeight="1">
      <c r="F16" s="58">
        <v>2030.0</v>
      </c>
      <c r="I16" s="36">
        <f>I15*(1+(H10/100))</f>
        <v>1830.615384</v>
      </c>
    </row>
    <row r="17" ht="14.25" customHeight="1">
      <c r="F17" s="58">
        <v>2031.0</v>
      </c>
      <c r="I17" s="36">
        <f>I16*(1+(H10/100))</f>
        <v>2127.178835</v>
      </c>
    </row>
    <row r="18" ht="14.25" customHeight="1">
      <c r="A18" s="64" t="s">
        <v>59</v>
      </c>
      <c r="B18" s="65">
        <f>I20*(1+B7)/(B8-B7)</f>
        <v>637527.1123</v>
      </c>
      <c r="F18" s="58">
        <v>2032.0</v>
      </c>
      <c r="I18" s="36">
        <f>I17*(1+(H10/100))</f>
        <v>2471.786175</v>
      </c>
      <c r="M18" s="32" t="s">
        <v>60</v>
      </c>
      <c r="N18" s="66"/>
    </row>
    <row r="19" ht="14.25" customHeight="1">
      <c r="A19" s="3" t="s">
        <v>61</v>
      </c>
      <c r="F19" s="58">
        <v>2033.0</v>
      </c>
      <c r="I19" s="36">
        <f>I18*(1+(H10/100))</f>
        <v>2872.220612</v>
      </c>
    </row>
    <row r="20" ht="14.25" customHeight="1">
      <c r="F20" s="58">
        <v>2034.0</v>
      </c>
      <c r="I20" s="36">
        <f>I19*(1+(H10/100))</f>
        <v>3337.526249</v>
      </c>
    </row>
    <row r="21" ht="14.25" customHeight="1"/>
    <row r="22" ht="14.25" customHeight="1"/>
    <row r="23" ht="14.25" customHeight="1">
      <c r="I23" s="54" t="s">
        <v>62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11.43"/>
    <col customWidth="1" min="4" max="4" width="25.0"/>
    <col customWidth="1" min="5" max="5" width="11.43"/>
    <col customWidth="1" min="6" max="6" width="12.86"/>
    <col customWidth="1" min="7" max="7" width="17.86"/>
    <col customWidth="1" min="8" max="8" width="18.29"/>
    <col customWidth="1" min="9" max="9" width="17.57"/>
    <col customWidth="1" min="10" max="10" width="18.14"/>
    <col customWidth="1" min="11" max="11" width="12.29"/>
    <col customWidth="1" min="12" max="12" width="17.57"/>
    <col customWidth="1" min="13" max="13" width="17.29"/>
    <col customWidth="1" min="14" max="14" width="8.71"/>
    <col customWidth="1" min="15" max="15" width="12.71"/>
    <col customWidth="1" min="16" max="16" width="14.0"/>
    <col customWidth="1" min="17" max="17" width="12.0"/>
    <col customWidth="1" min="18" max="26" width="8.71"/>
  </cols>
  <sheetData>
    <row r="1" ht="14.25" customHeight="1">
      <c r="A1" s="67" t="s">
        <v>63</v>
      </c>
    </row>
    <row r="2" ht="14.25" customHeight="1"/>
    <row r="3" ht="14.25" customHeight="1">
      <c r="B3" s="4" t="s">
        <v>64</v>
      </c>
      <c r="C3" s="4" t="s">
        <v>2</v>
      </c>
      <c r="D3" s="4" t="s">
        <v>3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5</v>
      </c>
      <c r="J3" s="4" t="s">
        <v>69</v>
      </c>
      <c r="K3" s="4" t="s">
        <v>6</v>
      </c>
      <c r="L3" s="4" t="s">
        <v>70</v>
      </c>
      <c r="M3" s="4" t="s">
        <v>15</v>
      </c>
    </row>
    <row r="4" ht="14.25" customHeight="1">
      <c r="B4" s="58">
        <v>2020.0</v>
      </c>
      <c r="C4" s="68">
        <v>29136.37</v>
      </c>
      <c r="D4" s="69">
        <v>0.12</v>
      </c>
      <c r="E4" s="11">
        <v>0.338</v>
      </c>
      <c r="F4" s="70">
        <v>15981.2</v>
      </c>
      <c r="G4" s="15">
        <f t="shared" ref="G4:G7" si="1">F4/C4*100</f>
        <v>54.84966041</v>
      </c>
      <c r="H4" s="71">
        <v>21218.7</v>
      </c>
      <c r="I4" s="15">
        <v>4873.0</v>
      </c>
      <c r="J4" s="70">
        <v>17.8</v>
      </c>
      <c r="K4" s="15">
        <v>3226.0</v>
      </c>
      <c r="L4" s="70">
        <f>FCF!K4</f>
        <v>17.97581511</v>
      </c>
      <c r="M4" s="59">
        <v>407.876</v>
      </c>
    </row>
    <row r="5" ht="14.25" customHeight="1">
      <c r="B5" s="58">
        <v>2021.0</v>
      </c>
      <c r="C5" s="72">
        <v>32468.1</v>
      </c>
      <c r="D5" s="69">
        <v>0.11</v>
      </c>
      <c r="E5" s="11">
        <v>0.2526</v>
      </c>
      <c r="F5" s="70">
        <v>18583.6</v>
      </c>
      <c r="G5" s="15">
        <f t="shared" si="1"/>
        <v>57.23648751</v>
      </c>
      <c r="H5" s="71">
        <v>20443.4</v>
      </c>
      <c r="I5" s="15">
        <v>4276.0</v>
      </c>
      <c r="J5" s="70">
        <f t="shared" ref="J5:J17" si="2">(I5-I4)/I4*100</f>
        <v>-12.25117997</v>
      </c>
      <c r="K5" s="15">
        <v>3195.8824</v>
      </c>
      <c r="L5" s="70">
        <f>FCF!K5</f>
        <v>14.96792236</v>
      </c>
      <c r="M5" s="59">
        <v>786.662</v>
      </c>
    </row>
    <row r="6" ht="14.25" customHeight="1">
      <c r="B6" s="58">
        <v>2022.0</v>
      </c>
      <c r="C6" s="72">
        <v>42815.67</v>
      </c>
      <c r="D6" s="69">
        <v>0.32</v>
      </c>
      <c r="E6" s="11">
        <v>0.2873</v>
      </c>
      <c r="F6" s="70">
        <v>24289.6</v>
      </c>
      <c r="G6" s="15">
        <f t="shared" si="1"/>
        <v>56.73063157</v>
      </c>
      <c r="H6" s="71">
        <v>22606.2</v>
      </c>
      <c r="I6" s="73">
        <v>5507.0</v>
      </c>
      <c r="J6" s="70">
        <f t="shared" si="2"/>
        <v>28.78858746</v>
      </c>
      <c r="K6" s="15">
        <v>3924.8389</v>
      </c>
      <c r="L6" s="70">
        <f>FCF!K6</f>
        <v>10.08182285</v>
      </c>
      <c r="M6" s="59">
        <v>316.569</v>
      </c>
    </row>
    <row r="7" ht="14.25" customHeight="1">
      <c r="A7" s="3" t="s">
        <v>71</v>
      </c>
      <c r="B7" s="74">
        <v>2023.0</v>
      </c>
      <c r="C7" s="75">
        <v>55108.08</v>
      </c>
      <c r="D7" s="69">
        <v>0.29</v>
      </c>
      <c r="E7" s="11">
        <v>0.2532</v>
      </c>
      <c r="F7" s="70">
        <v>30140.0</v>
      </c>
      <c r="G7" s="15">
        <f t="shared" si="1"/>
        <v>54.69252422</v>
      </c>
      <c r="H7" s="71">
        <v>29656.18</v>
      </c>
      <c r="I7" s="15">
        <v>6010.0</v>
      </c>
      <c r="J7" s="70">
        <f t="shared" si="2"/>
        <v>9.133829671</v>
      </c>
      <c r="K7" s="15">
        <v>4488.268</v>
      </c>
      <c r="L7" s="70">
        <f>FCF!K7</f>
        <v>10.00974812</v>
      </c>
      <c r="M7" s="59">
        <v>743.628</v>
      </c>
    </row>
    <row r="8" ht="14.25" customHeight="1">
      <c r="B8" s="58">
        <v>2024.0</v>
      </c>
      <c r="C8" s="15">
        <f t="shared" ref="C8:C17" si="3">C7*(1+D8)</f>
        <v>68708.75414</v>
      </c>
      <c r="D8" s="76">
        <v>0.2468</v>
      </c>
      <c r="E8" s="77">
        <f>E7+((E17-E7)/10)</f>
        <v>0.25788</v>
      </c>
      <c r="F8" s="70">
        <f t="shared" ref="F8:F17" si="4">G8*(C8/100)</f>
        <v>38392.61449</v>
      </c>
      <c r="G8" s="15">
        <f>AVERAGE(G4,G5,G6,G7)</f>
        <v>55.87732592</v>
      </c>
      <c r="H8" s="70">
        <f t="shared" ref="H8:H17" si="5">C8-F8</f>
        <v>30316.13965</v>
      </c>
      <c r="I8" s="15">
        <f t="shared" ref="I8:I17" si="6">C8*(L8/100)</f>
        <v>7100.893982</v>
      </c>
      <c r="J8" s="70">
        <f t="shared" si="2"/>
        <v>18.15131417</v>
      </c>
      <c r="K8" s="15">
        <f t="shared" ref="K8:K17" si="7">I8*(1-E8)</f>
        <v>5269.715442</v>
      </c>
      <c r="L8" s="70">
        <f>L7+((L17-L7)/10)</f>
        <v>10.33477331</v>
      </c>
      <c r="M8" s="78" t="s">
        <v>57</v>
      </c>
      <c r="N8" s="42">
        <f>(((M7/M4)^(1/4))  -1 )*100</f>
        <v>16.20020537</v>
      </c>
      <c r="O8" s="57" t="s">
        <v>58</v>
      </c>
      <c r="P8" s="57" t="s">
        <v>72</v>
      </c>
      <c r="Q8" s="57" t="s">
        <v>73</v>
      </c>
    </row>
    <row r="9" ht="14.25" customHeight="1">
      <c r="B9" s="58">
        <v>2025.0</v>
      </c>
      <c r="C9" s="15">
        <f t="shared" si="3"/>
        <v>85666.07467</v>
      </c>
      <c r="D9" s="76">
        <v>0.2468</v>
      </c>
      <c r="E9" s="77">
        <f>E8+(E8-E7)</f>
        <v>0.26256</v>
      </c>
      <c r="F9" s="70">
        <f t="shared" si="4"/>
        <v>47867.91175</v>
      </c>
      <c r="G9" s="15">
        <f t="shared" ref="G9:G17" si="9">G8</f>
        <v>55.87732592</v>
      </c>
      <c r="H9" s="70">
        <f t="shared" si="5"/>
        <v>37798.16292</v>
      </c>
      <c r="I9" s="15">
        <f t="shared" si="6"/>
        <v>9131.830937</v>
      </c>
      <c r="J9" s="70">
        <f t="shared" si="2"/>
        <v>28.60114459</v>
      </c>
      <c r="K9" s="15">
        <f t="shared" si="7"/>
        <v>6734.177406</v>
      </c>
      <c r="L9" s="70">
        <f t="shared" ref="L9:L16" si="10">L8+(L8-L7)</f>
        <v>10.65979849</v>
      </c>
      <c r="M9" s="63"/>
      <c r="O9" s="15">
        <f>M7*(1+(N8/100))</f>
        <v>864.0972632</v>
      </c>
      <c r="P9" s="70">
        <f t="shared" ref="P9:P18" si="11">1/(1+$I$21)^(B8-2023)</f>
        <v>0.9299730308</v>
      </c>
      <c r="Q9" s="15">
        <f t="shared" ref="Q9:Q18" si="12">O9*P9</f>
        <v>803.5871507</v>
      </c>
    </row>
    <row r="10" ht="14.25" customHeight="1">
      <c r="B10" s="58">
        <v>2026.0</v>
      </c>
      <c r="C10" s="15">
        <f t="shared" si="3"/>
        <v>106808.4619</v>
      </c>
      <c r="D10" s="76">
        <f t="shared" ref="D10:E10" si="8">D9+(D9-D8)</f>
        <v>0.2468</v>
      </c>
      <c r="E10" s="77">
        <f t="shared" si="8"/>
        <v>0.26724</v>
      </c>
      <c r="F10" s="70">
        <f t="shared" si="4"/>
        <v>59681.71237</v>
      </c>
      <c r="G10" s="15">
        <f t="shared" si="9"/>
        <v>55.87732592</v>
      </c>
      <c r="H10" s="70">
        <f t="shared" si="5"/>
        <v>47126.74953</v>
      </c>
      <c r="I10" s="15">
        <f t="shared" si="6"/>
        <v>11732.72122</v>
      </c>
      <c r="J10" s="70">
        <f t="shared" si="2"/>
        <v>28.48158598</v>
      </c>
      <c r="K10" s="15">
        <f t="shared" si="7"/>
        <v>8597.268798</v>
      </c>
      <c r="L10" s="70">
        <f t="shared" si="10"/>
        <v>10.98482368</v>
      </c>
      <c r="O10" s="15">
        <f>O9*(1+(N8/100))</f>
        <v>1004.082794</v>
      </c>
      <c r="P10" s="70">
        <f t="shared" si="11"/>
        <v>0.864849838</v>
      </c>
      <c r="Q10" s="15">
        <f t="shared" si="12"/>
        <v>868.380842</v>
      </c>
    </row>
    <row r="11" ht="14.25" customHeight="1">
      <c r="B11" s="58">
        <v>2027.0</v>
      </c>
      <c r="C11" s="15">
        <f t="shared" si="3"/>
        <v>130054.5607</v>
      </c>
      <c r="D11" s="76">
        <f>D10 +( (D17-D10)/7)</f>
        <v>0.2176428571</v>
      </c>
      <c r="E11" s="77">
        <f>E10+(E10-E9)</f>
        <v>0.27192</v>
      </c>
      <c r="F11" s="70">
        <f t="shared" si="4"/>
        <v>72671.01077</v>
      </c>
      <c r="G11" s="15">
        <f t="shared" si="9"/>
        <v>55.87732592</v>
      </c>
      <c r="H11" s="70">
        <f t="shared" si="5"/>
        <v>57383.54994</v>
      </c>
      <c r="I11" s="15">
        <f t="shared" si="6"/>
        <v>14708.97426</v>
      </c>
      <c r="J11" s="70">
        <f t="shared" si="2"/>
        <v>25.36711641</v>
      </c>
      <c r="K11" s="15">
        <f t="shared" si="7"/>
        <v>10709.30998</v>
      </c>
      <c r="L11" s="70">
        <f t="shared" si="10"/>
        <v>11.30984887</v>
      </c>
      <c r="O11" s="15">
        <f>O10*(1+(N8/100))</f>
        <v>1166.746269</v>
      </c>
      <c r="P11" s="70">
        <f t="shared" si="11"/>
        <v>0.804287025</v>
      </c>
      <c r="Q11" s="15">
        <f t="shared" si="12"/>
        <v>938.3988857</v>
      </c>
    </row>
    <row r="12" ht="14.25" customHeight="1">
      <c r="B12" s="58">
        <v>2028.0</v>
      </c>
      <c r="C12" s="15">
        <f t="shared" si="3"/>
        <v>154567.9875</v>
      </c>
      <c r="D12" s="76">
        <f t="shared" ref="D12:E12" si="13">D11+(D11-D10)</f>
        <v>0.1884857143</v>
      </c>
      <c r="E12" s="77">
        <f t="shared" si="13"/>
        <v>0.2766</v>
      </c>
      <c r="F12" s="70">
        <f t="shared" si="4"/>
        <v>86368.45814</v>
      </c>
      <c r="G12" s="15">
        <f t="shared" si="9"/>
        <v>55.87732592</v>
      </c>
      <c r="H12" s="70">
        <f t="shared" si="5"/>
        <v>68199.52934</v>
      </c>
      <c r="I12" s="15">
        <f t="shared" si="6"/>
        <v>17983.79068</v>
      </c>
      <c r="J12" s="70">
        <f t="shared" si="2"/>
        <v>22.26407059</v>
      </c>
      <c r="K12" s="15">
        <f t="shared" si="7"/>
        <v>13009.47418</v>
      </c>
      <c r="L12" s="70">
        <f t="shared" si="10"/>
        <v>11.63487406</v>
      </c>
      <c r="O12" s="15">
        <f>O11*(1+(N8/100))</f>
        <v>1355.761561</v>
      </c>
      <c r="P12" s="70">
        <f t="shared" si="11"/>
        <v>0.7479652423</v>
      </c>
      <c r="Q12" s="15">
        <f t="shared" si="12"/>
        <v>1014.062524</v>
      </c>
    </row>
    <row r="13" ht="14.25" customHeight="1">
      <c r="B13" s="58">
        <v>2029.0</v>
      </c>
      <c r="C13" s="15">
        <f t="shared" si="3"/>
        <v>179195.0841</v>
      </c>
      <c r="D13" s="76">
        <f t="shared" ref="D13:E13" si="14">D12+(D12-D11)</f>
        <v>0.1593285714</v>
      </c>
      <c r="E13" s="77">
        <f t="shared" si="14"/>
        <v>0.28128</v>
      </c>
      <c r="F13" s="70">
        <f t="shared" si="4"/>
        <v>100129.4212</v>
      </c>
      <c r="G13" s="15">
        <f t="shared" si="9"/>
        <v>55.87732592</v>
      </c>
      <c r="H13" s="70">
        <f t="shared" si="5"/>
        <v>79065.66292</v>
      </c>
      <c r="I13" s="15">
        <f t="shared" si="6"/>
        <v>21431.55152</v>
      </c>
      <c r="J13" s="70">
        <f t="shared" si="2"/>
        <v>19.17149114</v>
      </c>
      <c r="K13" s="15">
        <f t="shared" si="7"/>
        <v>15403.2847</v>
      </c>
      <c r="L13" s="70">
        <f t="shared" si="10"/>
        <v>11.95989925</v>
      </c>
      <c r="O13" s="15">
        <f>O12*(1+(N8/100))</f>
        <v>1575.397718</v>
      </c>
      <c r="P13" s="70">
        <f t="shared" si="11"/>
        <v>0.6955875033</v>
      </c>
      <c r="Q13" s="15">
        <f t="shared" si="12"/>
        <v>1095.826965</v>
      </c>
    </row>
    <row r="14" ht="14.25" customHeight="1">
      <c r="B14" s="58">
        <v>2030.0</v>
      </c>
      <c r="C14" s="15">
        <f t="shared" si="3"/>
        <v>202521.1642</v>
      </c>
      <c r="D14" s="76">
        <f t="shared" ref="D14:E14" si="15">D13+(D13-D12)</f>
        <v>0.1301714286</v>
      </c>
      <c r="E14" s="77">
        <f t="shared" si="15"/>
        <v>0.28596</v>
      </c>
      <c r="F14" s="70">
        <f t="shared" si="4"/>
        <v>113163.411</v>
      </c>
      <c r="G14" s="15">
        <f t="shared" si="9"/>
        <v>55.87732592</v>
      </c>
      <c r="H14" s="70">
        <f t="shared" si="5"/>
        <v>89357.75322</v>
      </c>
      <c r="I14" s="15">
        <f t="shared" si="6"/>
        <v>24879.57199</v>
      </c>
      <c r="J14" s="70">
        <f t="shared" si="2"/>
        <v>16.08852476</v>
      </c>
      <c r="K14" s="15">
        <f t="shared" si="7"/>
        <v>17765.00958</v>
      </c>
      <c r="L14" s="70">
        <f t="shared" si="10"/>
        <v>12.28492444</v>
      </c>
      <c r="O14" s="15">
        <f>O13*(1+(N8/100))</f>
        <v>1830.615384</v>
      </c>
      <c r="P14" s="70">
        <f t="shared" si="11"/>
        <v>0.6468776186</v>
      </c>
      <c r="Q14" s="15">
        <f t="shared" si="12"/>
        <v>1184.18412</v>
      </c>
    </row>
    <row r="15" ht="14.25" customHeight="1">
      <c r="B15" s="58">
        <v>2031.0</v>
      </c>
      <c r="C15" s="15">
        <f t="shared" si="3"/>
        <v>222978.6949</v>
      </c>
      <c r="D15" s="76">
        <f t="shared" ref="D15:E15" si="16">D14+(D14-D13)</f>
        <v>0.1010142857</v>
      </c>
      <c r="E15" s="77">
        <f t="shared" si="16"/>
        <v>0.29064</v>
      </c>
      <c r="F15" s="70">
        <f t="shared" si="4"/>
        <v>124594.5321</v>
      </c>
      <c r="G15" s="15">
        <f t="shared" si="9"/>
        <v>55.87732592</v>
      </c>
      <c r="H15" s="70">
        <f t="shared" si="5"/>
        <v>98384.16283</v>
      </c>
      <c r="I15" s="15">
        <f t="shared" si="6"/>
        <v>28117.5011</v>
      </c>
      <c r="J15" s="70">
        <f t="shared" si="2"/>
        <v>13.01440844</v>
      </c>
      <c r="K15" s="15">
        <f t="shared" si="7"/>
        <v>19945.43058</v>
      </c>
      <c r="L15" s="70">
        <f t="shared" si="10"/>
        <v>12.60994962</v>
      </c>
      <c r="O15" s="15">
        <f>O14*(1+(N8/100))</f>
        <v>2127.178835</v>
      </c>
      <c r="P15" s="70">
        <f t="shared" si="11"/>
        <v>0.6015787395</v>
      </c>
      <c r="Q15" s="15">
        <f t="shared" si="12"/>
        <v>1279.665562</v>
      </c>
    </row>
    <row r="16" ht="14.25" customHeight="1">
      <c r="B16" s="58">
        <v>2032.0</v>
      </c>
      <c r="C16" s="15">
        <f t="shared" si="3"/>
        <v>239001.3069</v>
      </c>
      <c r="D16" s="76">
        <f t="shared" ref="D16:E16" si="17">D15+(D15-D14)</f>
        <v>0.07185714286</v>
      </c>
      <c r="E16" s="77">
        <f t="shared" si="17"/>
        <v>0.29532</v>
      </c>
      <c r="F16" s="70">
        <f t="shared" si="4"/>
        <v>133547.5392</v>
      </c>
      <c r="G16" s="15">
        <f t="shared" si="9"/>
        <v>55.87732592</v>
      </c>
      <c r="H16" s="70">
        <f t="shared" si="5"/>
        <v>105453.7677</v>
      </c>
      <c r="I16" s="15">
        <f t="shared" si="6"/>
        <v>30914.75885</v>
      </c>
      <c r="J16" s="70">
        <f t="shared" si="2"/>
        <v>9.948457834</v>
      </c>
      <c r="K16" s="15">
        <f t="shared" si="7"/>
        <v>21785.01226</v>
      </c>
      <c r="L16" s="70">
        <f t="shared" si="10"/>
        <v>12.93497481</v>
      </c>
      <c r="O16" s="15">
        <f>O15*(1+(N8/100))</f>
        <v>2471.786175</v>
      </c>
      <c r="P16" s="70">
        <f t="shared" si="11"/>
        <v>0.5594520036</v>
      </c>
      <c r="Q16" s="15">
        <f t="shared" si="12"/>
        <v>1382.845728</v>
      </c>
    </row>
    <row r="17" ht="14.25" customHeight="1">
      <c r="B17" s="58">
        <v>2033.0</v>
      </c>
      <c r="C17" s="15">
        <f t="shared" si="3"/>
        <v>249206.6627</v>
      </c>
      <c r="D17" s="76">
        <v>0.0427</v>
      </c>
      <c r="E17" s="79">
        <v>0.3</v>
      </c>
      <c r="F17" s="70">
        <f t="shared" si="4"/>
        <v>139250.0191</v>
      </c>
      <c r="G17" s="15">
        <f t="shared" si="9"/>
        <v>55.87732592</v>
      </c>
      <c r="H17" s="70">
        <f t="shared" si="5"/>
        <v>109956.6436</v>
      </c>
      <c r="I17" s="15">
        <f t="shared" si="6"/>
        <v>33044.80347</v>
      </c>
      <c r="J17" s="70">
        <f t="shared" si="2"/>
        <v>6.890057393</v>
      </c>
      <c r="K17" s="15">
        <f t="shared" si="7"/>
        <v>23131.36243</v>
      </c>
      <c r="L17" s="71">
        <v>13.26</v>
      </c>
      <c r="O17" s="15">
        <f>O16*(1+(N8/100))</f>
        <v>2872.220612</v>
      </c>
      <c r="P17" s="70">
        <f t="shared" si="11"/>
        <v>0.5202752754</v>
      </c>
      <c r="Q17" s="15">
        <f t="shared" si="12"/>
        <v>1494.34537</v>
      </c>
    </row>
    <row r="18" ht="14.25" customHeight="1">
      <c r="O18" s="15">
        <f>O17*(1+(N8/100))</f>
        <v>3337.526249</v>
      </c>
      <c r="P18" s="70">
        <f t="shared" si="11"/>
        <v>0.4838419747</v>
      </c>
      <c r="Q18" s="15">
        <f t="shared" si="12"/>
        <v>1614.835291</v>
      </c>
    </row>
    <row r="19" ht="14.25" customHeight="1">
      <c r="D19" s="38" t="s">
        <v>74</v>
      </c>
      <c r="E19" s="66" t="s">
        <v>75</v>
      </c>
      <c r="F19" s="66"/>
    </row>
    <row r="20" ht="14.25" customHeight="1">
      <c r="E20" s="66" t="s">
        <v>76</v>
      </c>
      <c r="F20" s="66"/>
    </row>
    <row r="21" ht="14.25" customHeight="1">
      <c r="A21" s="80"/>
      <c r="B21" s="81"/>
      <c r="H21" s="82" t="s">
        <v>20</v>
      </c>
      <c r="I21" s="83">
        <v>0.0753</v>
      </c>
    </row>
    <row r="22" ht="14.25" customHeight="1">
      <c r="F22" s="66" t="s">
        <v>77</v>
      </c>
      <c r="H22" s="82" t="s">
        <v>48</v>
      </c>
      <c r="I22" s="82">
        <v>637527.11</v>
      </c>
    </row>
    <row r="23" ht="14.25" customHeight="1">
      <c r="H23" s="33" t="s">
        <v>78</v>
      </c>
      <c r="I23" s="33">
        <f>I22*P18</f>
        <v>308462.3758</v>
      </c>
    </row>
    <row r="24" ht="14.25" customHeight="1">
      <c r="H24" s="84"/>
    </row>
    <row r="25" ht="14.25" customHeight="1">
      <c r="H25" s="85" t="s">
        <v>79</v>
      </c>
      <c r="I25" s="86">
        <f>SUM(Q9:Q18,I23)</f>
        <v>320138.5083</v>
      </c>
    </row>
    <row r="26" ht="14.25" customHeight="1">
      <c r="H26" s="84"/>
    </row>
    <row r="27" ht="14.25" customHeight="1">
      <c r="H27" s="87" t="s">
        <v>80</v>
      </c>
      <c r="I27" s="88"/>
    </row>
    <row r="28" ht="14.25" customHeight="1">
      <c r="H28" s="89" t="s">
        <v>81</v>
      </c>
      <c r="I28" s="90">
        <v>2203.61</v>
      </c>
    </row>
    <row r="29" ht="14.25" customHeight="1">
      <c r="H29" s="89" t="s">
        <v>82</v>
      </c>
      <c r="I29" s="91">
        <v>1986.15</v>
      </c>
    </row>
    <row r="30" ht="14.25" customHeight="1">
      <c r="H30" s="89" t="s">
        <v>83</v>
      </c>
      <c r="I30" s="43">
        <v>12087.56</v>
      </c>
    </row>
    <row r="31" ht="14.25" customHeight="1">
      <c r="H31" s="89" t="s">
        <v>84</v>
      </c>
      <c r="I31" s="43">
        <v>37392.25</v>
      </c>
    </row>
    <row r="32" ht="14.25" customHeight="1">
      <c r="H32" s="92" t="s">
        <v>85</v>
      </c>
      <c r="I32" s="93">
        <f>I25+I28+I29-I30-I31</f>
        <v>274848.4583</v>
      </c>
      <c r="J32" s="3" t="s">
        <v>86</v>
      </c>
    </row>
    <row r="33" ht="14.25" customHeight="1">
      <c r="I33" s="94"/>
    </row>
    <row r="34" ht="14.25" customHeight="1">
      <c r="H34" s="89" t="s">
        <v>87</v>
      </c>
      <c r="I34" s="90">
        <v>3.19699185E9</v>
      </c>
    </row>
    <row r="35" ht="14.25" customHeight="1">
      <c r="H35" s="92" t="s">
        <v>88</v>
      </c>
      <c r="I35" s="95">
        <f>(I32/I34)</f>
        <v>0.00008597095994</v>
      </c>
    </row>
    <row r="36" ht="14.25" customHeight="1">
      <c r="I36" s="96">
        <f> 860</f>
        <v>860</v>
      </c>
      <c r="J36" s="97" t="s">
        <v>89</v>
      </c>
    </row>
    <row r="37" ht="14.25" customHeight="1">
      <c r="J37" s="54" t="s">
        <v>90</v>
      </c>
      <c r="K37" s="98">
        <v>443.55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2024-06-03T11:44:46Z</dcterms:created>
  <dc:creator>ms office</dc:creator>
</cp:coreProperties>
</file>