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J:\projects\lassa_vaccination\parameters_scenarios\data_econ\"/>
    </mc:Choice>
  </mc:AlternateContent>
  <bookViews>
    <workbookView xWindow="24" yWindow="756" windowWidth="24216" windowHeight="20100"/>
  </bookViews>
  <sheets>
    <sheet name="Index" sheetId="1" r:id="rId1"/>
    <sheet name="Symptoms" sheetId="3" r:id="rId2"/>
    <sheet name="Lymphatic system" sheetId="4" r:id="rId3"/>
    <sheet name="Cardiac disorder" sheetId="5" r:id="rId4"/>
    <sheet name="Ear" sheetId="2" r:id="rId5"/>
    <sheet name="Eye" sheetId="6" r:id="rId6"/>
    <sheet name="Gastro" sheetId="7" r:id="rId7"/>
    <sheet name="General disorders" sheetId="8" r:id="rId8"/>
    <sheet name="Metabolic" sheetId="9" r:id="rId9"/>
    <sheet name="Musculoskeletal" sheetId="10" r:id="rId10"/>
    <sheet name="Nervous system" sheetId="11" r:id="rId11"/>
    <sheet name="Shock" sheetId="12" r:id="rId12"/>
    <sheet name="Renal disorders" sheetId="13" r:id="rId13"/>
    <sheet name="Reproducive system" sheetId="14" r:id="rId14"/>
    <sheet name="Respiratory" sheetId="15" r:id="rId15"/>
    <sheet name="Skin" sheetId="16" r:id="rId1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3" i="3" l="1"/>
  <c r="J11" i="3" l="1"/>
  <c r="J43" i="3"/>
  <c r="I53" i="3"/>
  <c r="I51" i="3"/>
  <c r="I43" i="3"/>
  <c r="I24" i="3"/>
  <c r="I23" i="3"/>
  <c r="I22" i="3"/>
  <c r="H58" i="3"/>
  <c r="J58" i="3" s="1"/>
  <c r="H53" i="3"/>
  <c r="H44" i="3"/>
  <c r="H43" i="3"/>
  <c r="H40" i="3"/>
  <c r="H22" i="3"/>
  <c r="J22" i="3" s="1"/>
  <c r="H21" i="3"/>
  <c r="H18" i="3"/>
  <c r="G58" i="3"/>
  <c r="I58" i="3" s="1"/>
  <c r="D5" i="16"/>
  <c r="D5" i="15"/>
  <c r="G51" i="3"/>
  <c r="H51" i="3" s="1"/>
  <c r="J51" i="3" s="1"/>
  <c r="D3" i="14"/>
  <c r="G48" i="3"/>
  <c r="H48" i="3" s="1"/>
  <c r="D71" i="13"/>
  <c r="G44" i="3"/>
  <c r="I44" i="3" s="1"/>
  <c r="D5" i="12"/>
  <c r="D17" i="11"/>
  <c r="G43" i="3" s="1"/>
  <c r="D11" i="11"/>
  <c r="G41" i="3" s="1"/>
  <c r="I41" i="3" s="1"/>
  <c r="D5" i="11"/>
  <c r="G40" i="3" s="1"/>
  <c r="I40" i="3" s="1"/>
  <c r="D11" i="10"/>
  <c r="G34" i="3" s="1"/>
  <c r="H34" i="3" s="1"/>
  <c r="G32" i="3"/>
  <c r="I32" i="3" s="1"/>
  <c r="D3" i="9"/>
  <c r="G30" i="3"/>
  <c r="H30" i="3" s="1"/>
  <c r="D16" i="8"/>
  <c r="G7" i="3"/>
  <c r="G61" i="3" s="1"/>
  <c r="G9" i="3"/>
  <c r="I9" i="3" s="1"/>
  <c r="G11" i="3"/>
  <c r="D10" i="8"/>
  <c r="G28" i="3" s="1"/>
  <c r="H28" i="3" s="1"/>
  <c r="D4" i="8"/>
  <c r="G26" i="3" s="1"/>
  <c r="I26" i="3" s="1"/>
  <c r="G21" i="3"/>
  <c r="I21" i="3" s="1"/>
  <c r="G22" i="3"/>
  <c r="G23" i="3"/>
  <c r="H23" i="3" s="1"/>
  <c r="J23" i="3" s="1"/>
  <c r="D26" i="7"/>
  <c r="G24" i="3"/>
  <c r="H24" i="3" s="1"/>
  <c r="J24" i="3" s="1"/>
  <c r="G20" i="3"/>
  <c r="H20" i="3" s="1"/>
  <c r="D21" i="7"/>
  <c r="G19" i="3"/>
  <c r="I19" i="3" s="1"/>
  <c r="D14" i="7"/>
  <c r="D5" i="7"/>
  <c r="G18" i="3" s="1"/>
  <c r="I18" i="3" s="1"/>
  <c r="G16" i="3"/>
  <c r="H16" i="3" s="1"/>
  <c r="B3" i="6"/>
  <c r="D46" i="2"/>
  <c r="D3" i="4"/>
  <c r="D4" i="5"/>
  <c r="J44" i="3" l="1"/>
  <c r="J18" i="3"/>
  <c r="J21" i="3"/>
  <c r="J16" i="3"/>
  <c r="J40" i="3"/>
  <c r="H26" i="3"/>
  <c r="J26" i="3" s="1"/>
  <c r="I28" i="3"/>
  <c r="J28" i="3" s="1"/>
  <c r="I7" i="3"/>
  <c r="I30" i="3"/>
  <c r="J30" i="3" s="1"/>
  <c r="H7" i="3"/>
  <c r="J7" i="3" s="1"/>
  <c r="I16" i="3"/>
  <c r="I34" i="3"/>
  <c r="J34" i="3" s="1"/>
  <c r="I48" i="3"/>
  <c r="J48" i="3" s="1"/>
  <c r="H9" i="3"/>
  <c r="J9" i="3" s="1"/>
  <c r="H32" i="3"/>
  <c r="J32" i="3" s="1"/>
  <c r="H19" i="3"/>
  <c r="J19" i="3" s="1"/>
  <c r="H41" i="3"/>
  <c r="J41" i="3" s="1"/>
  <c r="I20" i="3"/>
  <c r="J20" i="3" s="1"/>
  <c r="M8" i="3"/>
  <c r="J53" i="3"/>
  <c r="M7" i="3"/>
  <c r="M9" i="3" s="1"/>
  <c r="H61" i="3" l="1"/>
  <c r="N9" i="3"/>
  <c r="M10" i="3"/>
</calcChain>
</file>

<file path=xl/sharedStrings.xml><?xml version="1.0" encoding="utf-8"?>
<sst xmlns="http://schemas.openxmlformats.org/spreadsheetml/2006/main" count="1001" uniqueCount="470">
  <si>
    <t>Project:</t>
  </si>
  <si>
    <t>File:</t>
  </si>
  <si>
    <t>Author:</t>
  </si>
  <si>
    <t>Sequela</t>
  </si>
  <si>
    <t>Health state name</t>
  </si>
  <si>
    <t>Health state lay description</t>
  </si>
  <si>
    <t>Mild hearing loss due to chronic otitis media</t>
  </si>
  <si>
    <t>Hearing loss, mild</t>
  </si>
  <si>
    <t>has great difficulty hearing and understanding another person talking in a noisy place (for example, on an urban street).</t>
  </si>
  <si>
    <t>Moderate hearing loss due to chronic otitis media</t>
  </si>
  <si>
    <t>Hearing loss, moderate</t>
  </si>
  <si>
    <t>is unable to hear and understand another person talking in a noisy place (for example, on an urban street), and has difficulty hearing another person talking even in a quiet place or on the phone.</t>
  </si>
  <si>
    <t>Mild hearing loss with ringing due to chronic otitis media</t>
  </si>
  <si>
    <t>Hearing loss, mild, with ringing</t>
  </si>
  <si>
    <t>has great difficulty hearing and understanding another person talking in a noisy place (for example, on an urban street), and sometimes has annoying ringing in the ears.</t>
  </si>
  <si>
    <t>Moderate hearing loss with ringing due to chronic otitis media</t>
  </si>
  <si>
    <t>Hearing loss, moderate, with ringing</t>
  </si>
  <si>
    <t>is unable to hear and understand another person talking in a noisy place (for example, on an urban street), and has difficulty hearing another person talking even in a quiet place or on the phone, and has annoying ringing in the ears for more than 5 minutes at a time, almost everyday.</t>
  </si>
  <si>
    <t>Vertigo with mild hearing loss due to chronic otitis media</t>
  </si>
  <si>
    <t>Vertigo with mild hearing loss</t>
  </si>
  <si>
    <t>Vertigo with mild hearing loss and ringing due to chronic otitis media</t>
  </si>
  <si>
    <t>Vertigo with mild hearing loss and ringing</t>
  </si>
  <si>
    <t>Vertigo with moderate hearing loss due to chronic otitis media</t>
  </si>
  <si>
    <t>Vertigo with moderate hearing loss</t>
  </si>
  <si>
    <t>Vertigo with moderate hearing loss and ringing due to chronic otitis media</t>
  </si>
  <si>
    <t>Vertigo with moderate hearing loss and ringing</t>
  </si>
  <si>
    <t>Mild hearing loss due to meningitis</t>
  </si>
  <si>
    <t>Moderate hearing loss due to meningitis</t>
  </si>
  <si>
    <t>Severe hearing loss due to meningitis</t>
  </si>
  <si>
    <t>Hearing loss, severe</t>
  </si>
  <si>
    <t>is unable to hear and understand another person talking, even in a quiet place, and unable to take part in a phone conversation. Difficulties with communicating and relating to others cause emotional impact at times (for example worry or depression).</t>
  </si>
  <si>
    <t>Profound hearing loss due to meningitis</t>
  </si>
  <si>
    <t>Hearing loss, profound</t>
  </si>
  <si>
    <t>is unable to hear and understand another person talking, even in a quiet place, is unable to take part in a phone conversation, and has great difficulty hearing anything in any other situation. Difficulties with communicating and relating to othersoften cause worry, depression, and loneliness.</t>
  </si>
  <si>
    <t>Complete hearing loss due to meningitis</t>
  </si>
  <si>
    <t>Hearing loss, complete</t>
  </si>
  <si>
    <t>cannot hear at all in any situation, including even the loudest sounds, and cannot communicate verbally or use a phone. Difficulties with communicating and relating to others often cause worry, depression or loneliness.</t>
  </si>
  <si>
    <t>Mild hearing loss with ringing due to meningitis</t>
  </si>
  <si>
    <t>Moderate hearing loss with ringing due to meningitis</t>
  </si>
  <si>
    <t>Severe hearing loss with ringing due to meningitis</t>
  </si>
  <si>
    <t>Hearing loss, severe, with ringing</t>
  </si>
  <si>
    <t>is unable to hear and understand another person talking, even in a quiet place, and unable to take part in a phone conversation, and has annoying ringing in the ears for more than 5 minutes at a time, almost everyday. Difficulties with communicating and relating to others cause emotional impact at times (for example worry or depression).</t>
  </si>
  <si>
    <t>Profound hearing loss with ringing due to meningitis</t>
  </si>
  <si>
    <t>Hearing loss, profound, with ringing</t>
  </si>
  <si>
    <t>is unable to hear and understand another person talking, even in a quiet place, is unable to take part in a phone conversation, has great difficulty hearing anything in any other situation, and has annoying ringing in the ears for more than 5 minutes at a time, several times a day. Difficulties with communicating and relating to others often cause worry, depression, or loneliness.</t>
  </si>
  <si>
    <t>Complete hearing loss with ringing due to meningitis</t>
  </si>
  <si>
    <t>Hearing loss, complete, with ringing</t>
  </si>
  <si>
    <t>cannot hear at all in any situation, including even the loudest sounds, and cannot communicate verbally or use a phone, and has very annoying ringing in the ears for more than half of the day. Difficulties with communicating and relating to others often cause worry, depression or loneliness.</t>
  </si>
  <si>
    <t>Moderately severe hearing loss due to meningitis</t>
  </si>
  <si>
    <t>Hearing loss, moderately severe</t>
  </si>
  <si>
    <t>(custom DW from hearing loss impairment envelope)</t>
  </si>
  <si>
    <t>Moderately severe hearing loss with ringing due to meningitis</t>
  </si>
  <si>
    <t>Hearing loss, moderately severe, with ringing</t>
  </si>
  <si>
    <t>Mild hearing loss due to age-related and other hearing loss</t>
  </si>
  <si>
    <t>Moderate hearing loss due to age-related and other hearing loss</t>
  </si>
  <si>
    <t>Severe hearing loss due to age-related and other hearing loss</t>
  </si>
  <si>
    <t>Profound hearing loss due to age-related and other hearing loss</t>
  </si>
  <si>
    <t>Complete hearing loss due to age-related and other hearing loss</t>
  </si>
  <si>
    <t>Mild hearing loss with ringing due to age-related and other hearing loss</t>
  </si>
  <si>
    <t>Moderate hearing loss with ringing due to age-related and other hearing loss</t>
  </si>
  <si>
    <t>Severe hearing loss with ringing due to age-related and other hearing loss</t>
  </si>
  <si>
    <t>Profound hearing loss with ringing due to age-related and other hearing loss</t>
  </si>
  <si>
    <t>Complete hearing loss with ringing due to age-related and other hearing loss</t>
  </si>
  <si>
    <t>Moderately severe hearing loss due to age-related and other hearing loss</t>
  </si>
  <si>
    <t>Moderately severe hearing loss with ringing due to age-related and other hearing loss</t>
  </si>
  <si>
    <t>Mild hearing loss due to other congenital anomalies</t>
  </si>
  <si>
    <t>Moderate hearing loss due to other congenital anomalies</t>
  </si>
  <si>
    <t>Severe hearing loss due to other congenital anomalies</t>
  </si>
  <si>
    <t>Profound hearing loss due to other congenital anomalies</t>
  </si>
  <si>
    <t>Complete hearing loss due to other congenital anomalies</t>
  </si>
  <si>
    <t>Mild hearing loss with ringing due to other congenital anomalies</t>
  </si>
  <si>
    <t>Moderate hearing loss with ringing due to other congenital anomalies</t>
  </si>
  <si>
    <t>Severe hearing loss with ringing due to other congenital anomalies</t>
  </si>
  <si>
    <t>Profound hearing loss with ringing due to other congenital anomalies</t>
  </si>
  <si>
    <t>Complete hearing loss with ringing due to other congenital anomalies</t>
  </si>
  <si>
    <t>Moderately severe hearing loss due to other congenital anomalies</t>
  </si>
  <si>
    <t>Moderately severe hearing loss with ringing due to other congenital anomalies</t>
  </si>
  <si>
    <t>Disability Weight</t>
  </si>
  <si>
    <t>Baseline</t>
  </si>
  <si>
    <t>Post-baseline</t>
  </si>
  <si>
    <t>Clinical sign</t>
  </si>
  <si>
    <t>n/N patients (%)</t>
  </si>
  <si>
    <t>Death</t>
  </si>
  <si>
    <t>-</t>
  </si>
  <si>
    <t>109/147 (74)</t>
  </si>
  <si>
    <t>1896/6373 (30)</t>
  </si>
  <si>
    <t>Blood and lymphatic system disorders</t>
  </si>
  <si>
    <t>8/147 (5)</t>
  </si>
  <si>
    <t>11/15 (73)</t>
  </si>
  <si>
    <t>14/147 (10)</t>
  </si>
  <si>
    <t>42/133 (32)</t>
  </si>
  <si>
    <t>Cardiac disorders</t>
  </si>
  <si>
    <t>1/147 (&lt;1)</t>
  </si>
  <si>
    <t>1/22 (5)</t>
  </si>
  <si>
    <t>3/147 (2)</t>
  </si>
  <si>
    <t>51/56 (91)</t>
  </si>
  <si>
    <t>Ear and labyrinth disorders</t>
  </si>
  <si>
    <t>5/147 (3)</t>
  </si>
  <si>
    <t>14/734 (2)</t>
  </si>
  <si>
    <t>20/147 (14)</t>
  </si>
  <si>
    <t>80/1249 (6)</t>
  </si>
  <si>
    <t>Tinnitus</t>
  </si>
  <si>
    <t>2/147 (1)</t>
  </si>
  <si>
    <t>8/67 (12)</t>
  </si>
  <si>
    <t>9/147 (6)</t>
  </si>
  <si>
    <t>64/204 (31)</t>
  </si>
  <si>
    <t>Vertigo</t>
  </si>
  <si>
    <t>11/22 (50)</t>
  </si>
  <si>
    <t>29/71 (41)</t>
  </si>
  <si>
    <t>Eye disorders</t>
  </si>
  <si>
    <t>131/736 (18)</t>
  </si>
  <si>
    <t>7/147 (5)</t>
  </si>
  <si>
    <t>233/977 (24)</t>
  </si>
  <si>
    <t>Gastrointestinal disorders</t>
  </si>
  <si>
    <t>32/147 (22)</t>
  </si>
  <si>
    <t>660/1581 (42)</t>
  </si>
  <si>
    <t>25/147 (17)</t>
  </si>
  <si>
    <t>1594/3039 (52)</t>
  </si>
  <si>
    <t>33/147 (22)</t>
  </si>
  <si>
    <t>429/1612 (27)</t>
  </si>
  <si>
    <t>1144/3120 (37)</t>
  </si>
  <si>
    <t>12/147 (8)</t>
  </si>
  <si>
    <t>24/43 (56)</t>
  </si>
  <si>
    <t>462/1482 (31)</t>
  </si>
  <si>
    <t>232/449 (52)</t>
  </si>
  <si>
    <t>15/147 (10)</t>
  </si>
  <si>
    <t>361/531 (68)</t>
  </si>
  <si>
    <t>29/147 (20)</t>
  </si>
  <si>
    <t>553/1604 (34)</t>
  </si>
  <si>
    <t>22/147 (15)</t>
  </si>
  <si>
    <t>661/1650 (40)</t>
  </si>
  <si>
    <t>1/147 (1)</t>
  </si>
  <si>
    <t>1/2 (50)</t>
  </si>
  <si>
    <t>3/4 (75)</t>
  </si>
  <si>
    <t>28/147 (19)</t>
  </si>
  <si>
    <t>806/1631 (49)</t>
  </si>
  <si>
    <t>26/147 (18)</t>
  </si>
  <si>
    <t>1695/3077 (55)</t>
  </si>
  <si>
    <t>General disorders</t>
  </si>
  <si>
    <t>334/1727 (19)</t>
  </si>
  <si>
    <t>45/147 (31)</t>
  </si>
  <si>
    <t>785/3387 (23)</t>
  </si>
  <si>
    <t>11/147 (7)</t>
  </si>
  <si>
    <t>83/1097 (8)</t>
  </si>
  <si>
    <t>14/147 (11)</t>
  </si>
  <si>
    <t>295/2480 (12)</t>
  </si>
  <si>
    <t>81/147 (55)</t>
  </si>
  <si>
    <t>1527/1730 (88)</t>
  </si>
  <si>
    <t>51/147 (35)</t>
  </si>
  <si>
    <t>3067/3300 (93)</t>
  </si>
  <si>
    <t>17/147 (12)</t>
  </si>
  <si>
    <t>313/506 (62)</t>
  </si>
  <si>
    <t>388/489 (79)</t>
  </si>
  <si>
    <t>18/147 (12)</t>
  </si>
  <si>
    <t>536/758 (71)</t>
  </si>
  <si>
    <t>13/147 (9)</t>
  </si>
  <si>
    <t>391/469 (83)</t>
  </si>
  <si>
    <t>Metabolic and endocrine disorders</t>
  </si>
  <si>
    <t>Anorexia</t>
  </si>
  <si>
    <t>9/18 (50)</t>
  </si>
  <si>
    <t>10/147 (7)</t>
  </si>
  <si>
    <t>723/1829 (40)</t>
  </si>
  <si>
    <t>Musculoskeletal and connective tissue disorders</t>
  </si>
  <si>
    <t>Back pain</t>
  </si>
  <si>
    <t>260/478 (54)</t>
  </si>
  <si>
    <t>332/503 (66)</t>
  </si>
  <si>
    <t>Joint pain</t>
  </si>
  <si>
    <t>221/654 (34)</t>
  </si>
  <si>
    <t>463/1833 (25)</t>
  </si>
  <si>
    <t>259/998 (26)</t>
  </si>
  <si>
    <t>826/2888 (29)</t>
  </si>
  <si>
    <t>509/1516 (34)</t>
  </si>
  <si>
    <t>931/2812 (33)</t>
  </si>
  <si>
    <t>Nervous system disorders</t>
  </si>
  <si>
    <t>4/147 (3)</t>
  </si>
  <si>
    <t>403/957 (42)</t>
  </si>
  <si>
    <t>8/147 (6)</t>
  </si>
  <si>
    <t>506/1019 (50)</t>
  </si>
  <si>
    <t>Encephalopathy</t>
  </si>
  <si>
    <t>9/27 (33)</t>
  </si>
  <si>
    <t>59/333 (18)</t>
  </si>
  <si>
    <t>40/147 (27)</t>
  </si>
  <si>
    <t>809/1622 (50)</t>
  </si>
  <si>
    <t>30/147 (20)</t>
  </si>
  <si>
    <t>2033/3200 (64)</t>
  </si>
  <si>
    <t>48/815 (6)</t>
  </si>
  <si>
    <t>34/147 (23)</t>
  </si>
  <si>
    <t>152/1667 (9)</t>
  </si>
  <si>
    <t>Seizure</t>
  </si>
  <si>
    <t>13/517 (3)</t>
  </si>
  <si>
    <t>37/585 (6)</t>
  </si>
  <si>
    <t>12/187 (6)</t>
  </si>
  <si>
    <t>23/147 (16)</t>
  </si>
  <si>
    <t>87/262 (33)</t>
  </si>
  <si>
    <t>Disseminated intravascular coagulopathy</t>
  </si>
  <si>
    <t>0/147 (0)</t>
  </si>
  <si>
    <t>1/1 (100)</t>
  </si>
  <si>
    <t>Hypotension</t>
  </si>
  <si>
    <t>12/51 (24)</t>
  </si>
  <si>
    <t>13/147 (8)</t>
  </si>
  <si>
    <t>Low pulse pressure</t>
  </si>
  <si>
    <t>2/22 (10)</t>
  </si>
  <si>
    <t>Renal disorders</t>
  </si>
  <si>
    <t>Proteinuria</t>
  </si>
  <si>
    <t>2/13 (15)</t>
  </si>
  <si>
    <t>257/442 (58)</t>
  </si>
  <si>
    <t>6/147 (4)</t>
  </si>
  <si>
    <t>92/310 (30)</t>
  </si>
  <si>
    <t>Reproductive system and breast disorders</t>
  </si>
  <si>
    <t>2/7 (29)</t>
  </si>
  <si>
    <t>28/96 (29)</t>
  </si>
  <si>
    <t xml:space="preserve">Respiratory, thoracic and mediastinal disorders </t>
  </si>
  <si>
    <t>21/310 (7)</t>
  </si>
  <si>
    <t>265/1829 (14)</t>
  </si>
  <si>
    <t>16/147 (11)</t>
  </si>
  <si>
    <t>556/1581 (35)</t>
  </si>
  <si>
    <t>21/147 (14)</t>
  </si>
  <si>
    <t>1235/3097 (40)</t>
  </si>
  <si>
    <t>Hiccup</t>
  </si>
  <si>
    <t>5/510 (1)</t>
  </si>
  <si>
    <t>22/934 (2)</t>
  </si>
  <si>
    <t>3/3 (100)</t>
  </si>
  <si>
    <t>Skin and subcutaneous tissue disorders</t>
  </si>
  <si>
    <t>8/10 (80)</t>
  </si>
  <si>
    <t>6/29 (21)</t>
  </si>
  <si>
    <t>42/701 (6)</t>
  </si>
  <si>
    <t>Title: Prevalent and clinically significant signs and symptoms</t>
  </si>
  <si>
    <r>
      <t xml:space="preserve">Source: </t>
    </r>
    <r>
      <rPr>
        <i/>
        <sz val="18"/>
        <color theme="1"/>
        <rFont val="Calibri"/>
        <family val="2"/>
        <scheme val="minor"/>
      </rPr>
      <t>Merson, Laura, et al. "Clinical characterization of Lassa fever: A systematic review of clinical reports and research to inform clinical trial design." PLOS Neglected Tropical Diseases 15.9 (2021): e0009788.</t>
    </r>
  </si>
  <si>
    <t>n/N articles (%)</t>
  </si>
  <si>
    <t xml:space="preserve">*pre-identified signs and symptoms. All other signs and symptoms without an asterisk were considered clinically significant. </t>
  </si>
  <si>
    <t>a Includes “Lymphadenopathy”, “Axillary lymphadenopathy”, “Cervical lymphadenopathy” and “Parotid lymphadenopathy”</t>
  </si>
  <si>
    <r>
      <t>b</t>
    </r>
    <r>
      <rPr>
        <sz val="10"/>
        <color theme="1"/>
        <rFont val="Calibri"/>
        <family val="2"/>
        <scheme val="minor"/>
      </rPr>
      <t xml:space="preserve"> Includes “Abnormal ECG”, “Arrythmia”, “Atrial fibrillation”, “Non-specific ST-T changes”, “ST-segment elevation”, “T-wave inversion”</t>
    </r>
  </si>
  <si>
    <r>
      <t>c</t>
    </r>
    <r>
      <rPr>
        <sz val="10"/>
        <color theme="1"/>
        <rFont val="Calibri"/>
        <family val="2"/>
        <scheme val="minor"/>
      </rPr>
      <t xml:space="preserve"> Includes “Coma”, “Comatose”, “Unconsciousness”, “Syncope”, “Prostration”, “Lethargy”, “Confusion”, “Disorientation”, “Semiconsciousness”, “Agitation”, “Irritability”, “Clouded sensorium”, “Delirium”, “Hallucination”, “Irrational behaviour”, “Obtundity”, “Psychic alterations”</t>
    </r>
  </si>
  <si>
    <r>
      <t>d</t>
    </r>
    <r>
      <rPr>
        <sz val="10"/>
        <color theme="1"/>
        <rFont val="Calibri"/>
        <family val="2"/>
        <scheme val="minor"/>
      </rPr>
      <t xml:space="preserve"> Includes totals of “Shock”, “Disseminated intravascular coagulopathy”, “Hypotension”, “Low pulse pressure”, “Vascular collapse”</t>
    </r>
  </si>
  <si>
    <r>
      <t xml:space="preserve">e </t>
    </r>
    <r>
      <rPr>
        <sz val="10"/>
        <color theme="1"/>
        <rFont val="Calibri"/>
        <family val="2"/>
        <scheme val="minor"/>
      </rPr>
      <t>Includes “Acute kidney injury”, “Renal failure”, “Renal dysfunction”</t>
    </r>
  </si>
  <si>
    <r>
      <t>f</t>
    </r>
    <r>
      <rPr>
        <sz val="10"/>
        <color theme="1"/>
        <rFont val="Calibri"/>
        <family val="2"/>
        <scheme val="minor"/>
      </rPr>
      <t xml:space="preserve"> Includes “Foetal death”, “Pre-term contractions”</t>
    </r>
  </si>
  <si>
    <r>
      <t>g</t>
    </r>
    <r>
      <rPr>
        <sz val="10"/>
        <color theme="1"/>
        <rFont val="Calibri"/>
        <family val="2"/>
        <scheme val="minor"/>
      </rPr>
      <t xml:space="preserve"> Includes “Breathing difficulty”, “Dyspnoea”, “Respiratory distress”, “Shortness of breath”</t>
    </r>
  </si>
  <si>
    <r>
      <t>h</t>
    </r>
    <r>
      <rPr>
        <sz val="10"/>
        <color theme="1"/>
        <rFont val="Calibri"/>
        <family val="2"/>
        <scheme val="minor"/>
      </rPr>
      <t xml:space="preserve"> Includes “Respiratory failure”, “Hypoxemic respiratory failure”, “Hypoxia”</t>
    </r>
  </si>
  <si>
    <r>
      <t>i</t>
    </r>
    <r>
      <rPr>
        <sz val="10"/>
        <color theme="1"/>
        <rFont val="Calibri"/>
        <family val="2"/>
        <scheme val="minor"/>
      </rPr>
      <t xml:space="preserve"> Includes “Ecchymosis”, “Petechiae”</t>
    </r>
  </si>
  <si>
    <r>
      <t>j</t>
    </r>
    <r>
      <rPr>
        <sz val="10"/>
        <color theme="1"/>
        <rFont val="Calibri"/>
        <family val="2"/>
        <scheme val="minor"/>
      </rPr>
      <t xml:space="preserve"> “Erythema”, “Exanthema”, “Maculopapular rash”, “Papular eruptions on back”, “Rash”, “Rash with erythema”, “Skin desquamation”, “Skin rash”, “Urticaria”</t>
    </r>
  </si>
  <si>
    <t>Skin rash [j]</t>
  </si>
  <si>
    <t>Skin discolouration [i]</t>
  </si>
  <si>
    <t>Respiratory failure [h]</t>
  </si>
  <si>
    <t>Cough [*]</t>
  </si>
  <si>
    <t>Breathing difficulty [g]</t>
  </si>
  <si>
    <t>Labour complications [f]</t>
  </si>
  <si>
    <t>Renal failure [e]</t>
  </si>
  <si>
    <t>Shock [d]</t>
  </si>
  <si>
    <t>Impaired consciousness [c]</t>
  </si>
  <si>
    <t>Headache [*]</t>
  </si>
  <si>
    <t>Dizziness [*]</t>
  </si>
  <si>
    <t>Non-specific chest pain [*]</t>
  </si>
  <si>
    <t>Muscle pain [*]</t>
  </si>
  <si>
    <t>Weakness [*]</t>
  </si>
  <si>
    <t>Lymphadenopathy [a]</t>
  </si>
  <si>
    <t>Abnormal ECG [b]</t>
  </si>
  <si>
    <t>Hearing loss/ impairment [*]</t>
  </si>
  <si>
    <t>Conjunctivitis [*]</t>
  </si>
  <si>
    <t>Abdominal pain [*]</t>
  </si>
  <si>
    <t>Diarrhoea [*]</t>
  </si>
  <si>
    <t>Nausea [*]</t>
  </si>
  <si>
    <t>Pharyngitis [*]</t>
  </si>
  <si>
    <t>Sore throat [*]</t>
  </si>
  <si>
    <t>Tonsillitis [*]</t>
  </si>
  <si>
    <t>Bleeding [*]</t>
  </si>
  <si>
    <t>Vomiting [*]</t>
  </si>
  <si>
    <t>Facial oedema [*]</t>
  </si>
  <si>
    <t>Fever [*]</t>
  </si>
  <si>
    <t>Malaise [*]</t>
  </si>
  <si>
    <t>Acute adenolymphangitis due to lymphatic filariasis</t>
  </si>
  <si>
    <t xml:space="preserve">Infectious disease, acute episode, moderate </t>
  </si>
  <si>
    <t xml:space="preserve">has a fever and aches, and feels weak, which causes some difficulty with daily activities. </t>
  </si>
  <si>
    <t>Atrial fibrillation and flutter due to Chagas disease</t>
  </si>
  <si>
    <t>Cardiac conduction disorders and cardiac dysrhythmias</t>
  </si>
  <si>
    <t xml:space="preserve">has periods of rapid and irregular heartbeats and occasional fainting. </t>
  </si>
  <si>
    <t>Symptomatic atrial fibrillation and flutter</t>
  </si>
  <si>
    <t>Conjunctivitis without corneal scar</t>
  </si>
  <si>
    <t>Mean</t>
  </si>
  <si>
    <t>Source: Haagsma, Juanita A., et al. "Assessing disability weights based on the responses of 30,660 people from four European countries." Population health metrics 13 (2015): 1-15.</t>
  </si>
  <si>
    <t>Chronic abdominal pain due to congenital atresia and/or stenosis of the digestive tract</t>
  </si>
  <si>
    <t>Abdominopelvic problem, moderate</t>
  </si>
  <si>
    <t xml:space="preserve">has pain in the belly and feels nauseous. The person has difficulties with daily activities. </t>
  </si>
  <si>
    <t>Gastrointestinal bleeding due to typhoid</t>
  </si>
  <si>
    <t>Gastric bleeding</t>
  </si>
  <si>
    <t>vomits blood and feels nauseous.</t>
  </si>
  <si>
    <t>Mild diarrheal diseases</t>
  </si>
  <si>
    <t>Diarrhea, mild</t>
  </si>
  <si>
    <t>has diarrhea three or more times a day with occasional discomfort in the belly.</t>
  </si>
  <si>
    <t>Moderate diarrheal diseases</t>
  </si>
  <si>
    <t>Diarrhea, moderate</t>
  </si>
  <si>
    <t>has diarrhea three or more times a day, with painful cramps in the belly and feeling thirsty</t>
  </si>
  <si>
    <t>Severe diarrheal diseases</t>
  </si>
  <si>
    <t>Diarrhea, severe</t>
  </si>
  <si>
    <t xml:space="preserve">has diarrhea three or more times a day with severe belly cramps. The person is very thirsty and feels nauseous and tired. </t>
  </si>
  <si>
    <t>Chronic abdominal pain and/or nausea due to other congenital malformations of the digestive tract</t>
  </si>
  <si>
    <t>Abdominal</t>
  </si>
  <si>
    <t>Diarrhea</t>
  </si>
  <si>
    <t>GBD</t>
  </si>
  <si>
    <t>Source</t>
  </si>
  <si>
    <t>John, Denny, et al. "Model-based estimation of burden of COVID-19 with disability-adjusted life years and value of statistical life in West Bengal, India." BMJ open 13.1 (2023): e065729.</t>
  </si>
  <si>
    <t>Mild symptomatic peptic ulcer disease without anemia</t>
  </si>
  <si>
    <t>Nausea/Vomiting</t>
  </si>
  <si>
    <t>Pharyngitis</t>
  </si>
  <si>
    <t>Sore throat</t>
  </si>
  <si>
    <t>Nausea / Vomiting</t>
  </si>
  <si>
    <t>LCI</t>
  </si>
  <si>
    <t>RCI</t>
  </si>
  <si>
    <t>Mean:</t>
  </si>
  <si>
    <t>CI2.5%</t>
  </si>
  <si>
    <t>CI97.5%</t>
  </si>
  <si>
    <t>Condition</t>
  </si>
  <si>
    <t>Bleeding</t>
  </si>
  <si>
    <t>Hematemesis due to schistosomiasis</t>
  </si>
  <si>
    <t>Severe other oral disorders</t>
  </si>
  <si>
    <t>Fever</t>
  </si>
  <si>
    <t>Moderate anemia due to hookworm disease</t>
  </si>
  <si>
    <t>Anemia, moderate</t>
  </si>
  <si>
    <t>feels moderate fatigue, weakness, and shortness of breath after exercise, making daily activities more difficult.</t>
  </si>
  <si>
    <t>GBD 
[weights same for most infectious diseases, so not specific to hookworm]</t>
  </si>
  <si>
    <t>Anorexia nervosa</t>
  </si>
  <si>
    <t>feels an overwhelming need to starve and exercises excessively to lose weight. The person is very thin, weak and anxious.</t>
  </si>
  <si>
    <t>Sourced Disability weight</t>
  </si>
  <si>
    <t>Severe low back pain with leg pain</t>
  </si>
  <si>
    <t>Back pain, severe, with leg pain</t>
  </si>
  <si>
    <t>has severe back and leg pain, which causes difficulty dressing, sitting, standing, walking, and lifting things. The person sleeps poorly and feels worried.</t>
  </si>
  <si>
    <t>Most severe low back pain with leg pain</t>
  </si>
  <si>
    <t>Back pain, most severe, with leg pain</t>
  </si>
  <si>
    <t>has constant back and leg pain, which causes difficulty dressing, sitting, standing, walking, and lifting things. The person sleeps poorly, is worried, and has lost some enjoyment in life.</t>
  </si>
  <si>
    <t>Mild low back pain with leg pain</t>
  </si>
  <si>
    <t>(combined DW)</t>
  </si>
  <si>
    <t>Moderate low back pain with leg pain</t>
  </si>
  <si>
    <t>Severe low back pain without leg pain</t>
  </si>
  <si>
    <t>Back pain, severe, without leg pain</t>
  </si>
  <si>
    <t>has severe back pain, which causes difficulty dressing, sitting, standing, walking, and lifting things. The person sleeps poorly and feels worried.</t>
  </si>
  <si>
    <t>Most severe low back pain without leg pain</t>
  </si>
  <si>
    <t>Back pain, most severe, without leg pain</t>
  </si>
  <si>
    <t>has constant back pain, which causes difficulty dressing, sitting, standing, walking, and lifting things. The person sleeps poorly, is worried, and has lost some enjoyment in life.</t>
  </si>
  <si>
    <t>Mild low back pain without leg pain</t>
  </si>
  <si>
    <t>Low back pain, mild</t>
  </si>
  <si>
    <t>has mild back pain, which causes some difficulty dressing, standing, and lifting things.</t>
  </si>
  <si>
    <t>Moderate low back pain without leg pain</t>
  </si>
  <si>
    <t>Low back pain, moderate</t>
  </si>
  <si>
    <t>has moderate back pain, which causes difficulty dressing, sitting, standing, walking, and lifting things.</t>
  </si>
  <si>
    <t>Encephalopathy, moderate</t>
  </si>
  <si>
    <t>Encephalopathy, severe</t>
  </si>
  <si>
    <t>Haagsma, Juanita A., et al. "Assessing disability weights based on the responses of 30,660 people from four European countries." Population health metrics 13 (2015): 1-15.</t>
  </si>
  <si>
    <t>Headache</t>
  </si>
  <si>
    <t>Epilepsy</t>
  </si>
  <si>
    <t>Seizures &gt;= once a month</t>
  </si>
  <si>
    <t>Cerebral performance category 1</t>
  </si>
  <si>
    <t>Milde heart failure</t>
  </si>
  <si>
    <t>Moderate heart failure</t>
  </si>
  <si>
    <t>Ginsberg, Gary M., Jeremy D. Kark, and Sharon Einav. "Cost–utility analysis of treating out of hospital cardiac arrests in Jerusalem." Resuscitation 86 (2015): 54-61.</t>
  </si>
  <si>
    <t>End-stage renal disease after transplant due to type 1 diabetes mellitus</t>
  </si>
  <si>
    <t>End-stage renal disease, with kidney transplant</t>
  </si>
  <si>
    <t>sometimes feels tired and down, and has some difficulty with daily activities.</t>
  </si>
  <si>
    <t>End-stage renal disease on dialysis without anemia due to type 1 diabetes mellitus</t>
  </si>
  <si>
    <t>End-stage renal disease, on dialysis</t>
  </si>
  <si>
    <t xml:space="preserve">is tired and has itching, cramps, headache, joint pains and shortness of breath. The person needs intensive medical care every other day lasting about half a day. </t>
  </si>
  <si>
    <t>End-stage renal disease on dialysis and mild anemia due to type 1 diabetes mellitus</t>
  </si>
  <si>
    <t>End-stage renal disease, on dialysis and mild anemia</t>
  </si>
  <si>
    <t>End-stage renal disease on dialysis and moderate anemia due to type 1 diabetes mellitus</t>
  </si>
  <si>
    <t>End-stage renal disease, on dialysis and moderate anemia</t>
  </si>
  <si>
    <t>End-stage renal disease on dialysis and severe anemia due to type 1 diabetes mellitus</t>
  </si>
  <si>
    <t>End-stage renal disease, on dialysis and severe anemia</t>
  </si>
  <si>
    <t>Stage 3 chronic kidney disease and mild anemia due to type 1 diabetes mellitus</t>
  </si>
  <si>
    <t>Anemia, mild</t>
  </si>
  <si>
    <t>feels slightly tired and weak at times, but this does not interfere with normal daily activities.</t>
  </si>
  <si>
    <t>Stage 3 chronic kidney disease and moderate anemia due to type 1 diabetes mellitus</t>
  </si>
  <si>
    <t>Stage 3 chronic kidney disease and severe anemia due to type 1 diabetes mellitus</t>
  </si>
  <si>
    <t>Anemia, severe</t>
  </si>
  <si>
    <t>feels very weak, tired and short of breath, and has problems with activities that require physical effort or deep concentration.</t>
  </si>
  <si>
    <t>Stage 4 chronic kidney disease untreated without anemia due to type 1 diabetes mellitus</t>
  </si>
  <si>
    <t>Chronic kidney disease (stage IV)</t>
  </si>
  <si>
    <t>tires easily, has nausea, reduced appetite and difficulty sleeping.</t>
  </si>
  <si>
    <t>Stage 4 chronic kidney disease untreated and mild anemia due to type 1 diabetes mellitus</t>
  </si>
  <si>
    <t>Mild anemia with Stage IV CKD</t>
  </si>
  <si>
    <t>Stage 4 chronic kidney disease untreated and moderate anemia due to type 1 diabetes mellitus</t>
  </si>
  <si>
    <t>Moderate anemia with Stage IV CKD</t>
  </si>
  <si>
    <t>Stage 4 chronic kidney disease untreated and severe anemia due to type 1 diabetes mellitus</t>
  </si>
  <si>
    <t>Severe anemia with Stage IV CKD</t>
  </si>
  <si>
    <t>Stage 5 chronic kidney disease untreated without anemia due to type 1 diabetes mellitus</t>
  </si>
  <si>
    <t>Terminal phase, without medication (for cancers, end-stage kidney/liver disease)</t>
  </si>
  <si>
    <t>has lost a lot of weight and has constant pain. The person has no appetite, feels nauseous, and needs to spend most of the day in bed.</t>
  </si>
  <si>
    <t>Stage 5 chronic kidney disease untreated and mild anemia due to type 1 diabetes mellitus</t>
  </si>
  <si>
    <t>Mild anemia and terminal phase, without medication (for cancers, end-stage kidney/liver disease)</t>
  </si>
  <si>
    <t>Stage 5 chronic kidney disease untreated and moderate anemia due to type 1 diabetes mellitus</t>
  </si>
  <si>
    <t>Moderate anemia and terminal phase, without medication (for cancers, end-stage kidney/liver disease)</t>
  </si>
  <si>
    <t>Stage 5 chronic kidney disease untreated and severe anemia due to type 1 diabetes mellitus</t>
  </si>
  <si>
    <t>Severe anemia and terminal phase, without medication (for cancers, end-stage kidney/liver disease)</t>
  </si>
  <si>
    <t>End-stage renal disease after transplant due to type 2 diabetes mellitus</t>
  </si>
  <si>
    <t>End-stage renal disease on dialysis without anemia due to type 2 diabetes mellitus</t>
  </si>
  <si>
    <t>End-stage renal disease on dialysis and mild anemia due to type 2 diabetes mellitus</t>
  </si>
  <si>
    <t>End-stage renal disease on dialysis and moderate anemia due to type 2 diabetes mellitus</t>
  </si>
  <si>
    <t>End-stage renal disease on dialysis and severe anemia due to type 2 diabetes mellitus</t>
  </si>
  <si>
    <t>Stage 3 chronic kidney disease and mild anemia due to type 2 diabetes mellitus</t>
  </si>
  <si>
    <t>Stage 3 chronic kidney disease and moderate anemia due to type 2 diabetes mellitus</t>
  </si>
  <si>
    <t>Stage 3 chronic kidney disease and severe anemia due to type 2 diabetes mellitus</t>
  </si>
  <si>
    <t>Stage 4 chronic kidney disease untreated without anemia due to type 2 diabetes mellitus</t>
  </si>
  <si>
    <t>Stage 4 chronic kidney disease untreated and mild anemia due to type 2 diabetes mellitus</t>
  </si>
  <si>
    <t>Stage 4 chronic kidney disease untreated and moderate anemia due to type 2 diabetes mellitus</t>
  </si>
  <si>
    <t>Stage 4 chronic kidney disease untreated and severe anemia due to type 2 diabetes mellitus</t>
  </si>
  <si>
    <t>Stage 5 chronic kidney disease untreated without anemia due to type 2 diabetes mellitus</t>
  </si>
  <si>
    <t>Stage 5 chronic kidney disease untreated and mild anemia due to type 2 diabetes mellitus</t>
  </si>
  <si>
    <t>Stage 5 chronic kidney disease untreated and moderate anemia due to type 2 diabetes mellitus</t>
  </si>
  <si>
    <t>Stage 5 chronic kidney disease untreated and severe anemia due to type 2 diabetes mellitus</t>
  </si>
  <si>
    <t>End-stage renal disease after transplant due to hypertension</t>
  </si>
  <si>
    <t>End-stage renal disease on dialysis without anemia due to hypertension</t>
  </si>
  <si>
    <t>End-stage renal disease on dialysis and mild anemia due to hypertension</t>
  </si>
  <si>
    <t>End-stage renal disease on dialysis and moderate anemia due to hypertension</t>
  </si>
  <si>
    <t>End-stage renal disease on dialysis and severe anemia due to hypertension</t>
  </si>
  <si>
    <t>Stage 3 chronic kidney disease and mild anemia due to hypertension</t>
  </si>
  <si>
    <t>Stage 3 chronic kidney disease and moderate anemia due to hypertension</t>
  </si>
  <si>
    <t>Stage 3 chronic kidney disease and severe anemia due to hypertension</t>
  </si>
  <si>
    <t>Stage 4 chronic kidney disease untreated without anemia due to hypertension</t>
  </si>
  <si>
    <t>Stage 4 chronic kidney disease untreated and mild anemia due to hypertension</t>
  </si>
  <si>
    <t>Stage 4 chronic kidney disease untreated and moderate anemia due to hypertension</t>
  </si>
  <si>
    <t>Stage 4 chronic kidney disease untreated and severe anemia due to hypertension</t>
  </si>
  <si>
    <t>Stage 5 chronic kidney disease untreated without anemia due to hypertension</t>
  </si>
  <si>
    <t>Stage 5 chronic kidney disease untreated and mild anemia due to hypertension</t>
  </si>
  <si>
    <t>Stage 5 chronic kidney disease untreated and moderate anemia due to hypertension</t>
  </si>
  <si>
    <t>Stage 5 chronic kidney disease untreated and severe anemia due to hypertension</t>
  </si>
  <si>
    <t>End-stage renal disease after transplant due to glomerulonephritis</t>
  </si>
  <si>
    <t>End-stage renal disease on dialysis without anemia due to glomerulonephritis</t>
  </si>
  <si>
    <t>End-stage renal disease on dialysis and mild anemia due to glomerulonephritis</t>
  </si>
  <si>
    <t>End-stage renal disease on dialysis and moderate anemia due to glomerulonephritis</t>
  </si>
  <si>
    <t>End-stage renal disease on dialysis and severe anemia due to glomerulonephritis</t>
  </si>
  <si>
    <t>Stage 3 chronic kidney disease and mild anemia due to glomerulonephritis</t>
  </si>
  <si>
    <t>Stage 3 chronic kidney disease and moderate anemia due to glomerulonephritis</t>
  </si>
  <si>
    <t>Stage 3 chronic kidney disease and severe anemia due to glomerulonephritis</t>
  </si>
  <si>
    <t>Stage 4 chronic kidney disease untreated without anemia due to glomerulonephritis</t>
  </si>
  <si>
    <t>Stage 4 chronic kidney disease untreated and mild anemia due to glomerulonephritis</t>
  </si>
  <si>
    <t>Stage 4 chronic kidney disease untreated and moderate anemia due to glomerulonephritis</t>
  </si>
  <si>
    <t>Stage 4 chronic kidney disease untreated and severe anemia due to glomerulonephritis</t>
  </si>
  <si>
    <t>Stage 5 chronic kidney disease untreated without anemia due to glomerulonephritis</t>
  </si>
  <si>
    <t>Stage 5 chronic kidney disease untreated and mild anemia due to glomerulonephritis</t>
  </si>
  <si>
    <t>Stage 5 chronic kidney disease untreated and moderate anemia due to glomerulonephritis</t>
  </si>
  <si>
    <t>Stage 5 chronic kidney disease untreated and severe anemia due to glomerulonephritis</t>
  </si>
  <si>
    <t>End-stage renal disease after transplant due to other and unspecified causes</t>
  </si>
  <si>
    <t>End-stage renal disease on dialysis without anemia due to other and unspecified causes</t>
  </si>
  <si>
    <t>End-stage renal disease on dialysis and mild anemia due to other and unspecified causes</t>
  </si>
  <si>
    <t>End-stage renal disease on dialysis and moderate anemia due to other and unspecified causes</t>
  </si>
  <si>
    <t>End-stage renal disease on dialysis and severe anemia due to other and unspecified causes</t>
  </si>
  <si>
    <t>Obstructed labor, acute event</t>
  </si>
  <si>
    <t>Abdominopelvic problem, severe</t>
  </si>
  <si>
    <t>has severe pain in the belly and feels nauseous. The person is anxious and unable to carry out daily activities.</t>
  </si>
  <si>
    <t>COPD and other chronic respiratory problems, mild</t>
  </si>
  <si>
    <t>has cough and shortness of breath after heavy physical activity, but is able to walk long distances and climb stairs.</t>
  </si>
  <si>
    <t>COPD and other chronic respiratory problems, moderate</t>
  </si>
  <si>
    <t>has cough, wheezing and shortness of breath, even after light physical activity. The person feels tired and can walk only short distances or climb only a few stairs.</t>
  </si>
  <si>
    <t>COPD and other chronic respiratory problems, severe</t>
  </si>
  <si>
    <t>has cough, wheezing and shortness of breath all the time. The person has great difficulty walking even short distances or climbing any stairs, feels tired when at rest, and is anxious.</t>
  </si>
  <si>
    <t>Herpes zoster</t>
  </si>
  <si>
    <t>has a blistering skin rash that causes pain, with some burning and itching.</t>
  </si>
  <si>
    <t>Mild urticaria</t>
  </si>
  <si>
    <t>Disfigurement, level 1 with itch/pain</t>
  </si>
  <si>
    <t>has a slight, visible physical deformity that is sometimes sore or itchy. Others notice the deformity, which causes some worry and discomfort.</t>
  </si>
  <si>
    <t>Severe urticaria</t>
  </si>
  <si>
    <t>Disfigurement, level 2, with itch/pain</t>
  </si>
  <si>
    <t>has a visible physical deformity that is sore and itchy. Other people stare and comment, which causes the person to worry. The person has trouble sleeping and concentrating.</t>
  </si>
  <si>
    <t>Adjusted DW by n/N patients [baseline]</t>
  </si>
  <si>
    <t>Adjusted DW by n/N patients [post-baseline]</t>
  </si>
  <si>
    <t>Mean adjusted DW</t>
  </si>
  <si>
    <t>Avg baseline:</t>
  </si>
  <si>
    <t>Avg post base:</t>
  </si>
  <si>
    <t>Sum of avg's:</t>
  </si>
  <si>
    <t>Daily DALY:</t>
  </si>
  <si>
    <t>Lassa vaccination impact assessment</t>
  </si>
  <si>
    <t>Disease disutility metrics</t>
  </si>
  <si>
    <t>Patrick Fahr
Koen Pouwels
David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</si>
</sst>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0.0000000"/>
  </numFmts>
  <fonts count="26" x14ac:knownFonts="1">
    <font>
      <sz val="12"/>
      <color theme="1"/>
      <name val="Calibri"/>
      <family val="2"/>
      <scheme val="minor"/>
    </font>
    <font>
      <b/>
      <i/>
      <sz val="12"/>
      <color theme="1"/>
      <name val="Calibri"/>
      <family val="2"/>
      <scheme val="minor"/>
    </font>
    <font>
      <i/>
      <sz val="12"/>
      <color theme="1"/>
      <name val="Calibri"/>
      <family val="2"/>
      <scheme val="minor"/>
    </font>
    <font>
      <b/>
      <sz val="12"/>
      <color theme="1"/>
      <name val="Calibri"/>
      <family val="2"/>
      <scheme val="minor"/>
    </font>
    <font>
      <sz val="8"/>
      <color theme="1"/>
      <name val="Times New Roman"/>
      <family val="1"/>
    </font>
    <font>
      <sz val="8"/>
      <color theme="1"/>
      <name val="Times New Roman"/>
      <family val="2"/>
    </font>
    <font>
      <b/>
      <i/>
      <sz val="18"/>
      <color theme="1"/>
      <name val="Calibri"/>
      <family val="2"/>
      <scheme val="minor"/>
    </font>
    <font>
      <i/>
      <sz val="18"/>
      <color theme="1"/>
      <name val="Calibri"/>
      <family val="2"/>
      <scheme val="minor"/>
    </font>
    <font>
      <b/>
      <sz val="18"/>
      <color theme="1"/>
      <name val="Calibri"/>
      <family val="2"/>
      <scheme val="minor"/>
    </font>
    <font>
      <b/>
      <i/>
      <sz val="26"/>
      <color rgb="FFC00000"/>
      <name val="Calibri"/>
      <family val="2"/>
      <scheme val="minor"/>
    </font>
    <font>
      <sz val="10"/>
      <color theme="1"/>
      <name val="Calibri"/>
      <family val="2"/>
      <scheme val="minor"/>
    </font>
    <font>
      <vertAlign val="superscript"/>
      <sz val="10"/>
      <color theme="1"/>
      <name val="Calibri"/>
      <family val="2"/>
      <scheme val="minor"/>
    </font>
    <font>
      <b/>
      <sz val="8"/>
      <color theme="1"/>
      <name val="Times New Roman"/>
      <family val="1"/>
    </font>
    <font>
      <b/>
      <sz val="11"/>
      <color theme="1"/>
      <name val="Calibri Light"/>
      <family val="2"/>
      <scheme val="major"/>
    </font>
    <font>
      <sz val="8"/>
      <color theme="1"/>
      <name val="Calibri"/>
      <family val="2"/>
      <scheme val="minor"/>
    </font>
    <font>
      <u/>
      <sz val="12"/>
      <color theme="10"/>
      <name val="Calibri"/>
      <family val="2"/>
      <scheme val="minor"/>
    </font>
    <font>
      <b/>
      <sz val="8"/>
      <color theme="1"/>
      <name val="Calibri"/>
      <family val="2"/>
      <scheme val="minor"/>
    </font>
    <font>
      <b/>
      <sz val="12"/>
      <color theme="1"/>
      <name val="Times New Roman"/>
      <family val="1"/>
    </font>
    <font>
      <sz val="12"/>
      <color theme="1"/>
      <name val="Times New Roman"/>
      <family val="1"/>
    </font>
    <font>
      <sz val="12"/>
      <color theme="1"/>
      <name val="Times New Roman"/>
      <family val="2"/>
    </font>
    <font>
      <b/>
      <u/>
      <sz val="8"/>
      <color theme="1"/>
      <name val="Calibri"/>
      <family val="2"/>
      <scheme val="minor"/>
    </font>
    <font>
      <b/>
      <u/>
      <sz val="12"/>
      <color theme="1"/>
      <name val="Calibri"/>
      <family val="2"/>
      <scheme val="minor"/>
    </font>
    <font>
      <b/>
      <sz val="16"/>
      <color rgb="FFFF0000"/>
      <name val="Calibri"/>
      <family val="2"/>
      <scheme val="minor"/>
    </font>
    <font>
      <b/>
      <u/>
      <sz val="8"/>
      <color theme="1"/>
      <name val="Times New Roman"/>
      <family val="1"/>
    </font>
    <font>
      <b/>
      <u/>
      <sz val="12"/>
      <color theme="10"/>
      <name val="Calibri"/>
      <family val="2"/>
      <scheme val="minor"/>
    </font>
    <font>
      <b/>
      <u/>
      <sz val="12"/>
      <color rgb="FFFF000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6">
    <xf numFmtId="0" fontId="0" fillId="0" borderId="0" xfId="0"/>
    <xf numFmtId="0" fontId="1" fillId="2" borderId="1" xfId="0" applyFont="1" applyFill="1" applyBorder="1"/>
    <xf numFmtId="0" fontId="2" fillId="2" borderId="2" xfId="0" applyFont="1" applyFill="1" applyBorder="1"/>
    <xf numFmtId="0" fontId="1" fillId="2" borderId="3" xfId="0" applyFont="1" applyFill="1" applyBorder="1"/>
    <xf numFmtId="0" fontId="2" fillId="2" borderId="4" xfId="0" applyFont="1" applyFill="1" applyBorder="1"/>
    <xf numFmtId="0" fontId="1" fillId="2" borderId="5" xfId="0" applyFont="1" applyFill="1" applyBorder="1" applyAlignment="1">
      <alignment vertical="top"/>
    </xf>
    <xf numFmtId="0" fontId="2" fillId="2" borderId="6" xfId="0" applyFont="1" applyFill="1" applyBorder="1" applyAlignment="1">
      <alignment wrapText="1"/>
    </xf>
    <xf numFmtId="0" fontId="0" fillId="3" borderId="0" xfId="0" applyFill="1"/>
    <xf numFmtId="0" fontId="0" fillId="3" borderId="9" xfId="0" applyFill="1" applyBorder="1"/>
    <xf numFmtId="0" fontId="8" fillId="3" borderId="0" xfId="0" applyFont="1" applyFill="1"/>
    <xf numFmtId="0" fontId="6" fillId="3" borderId="8" xfId="0" applyFont="1" applyFill="1" applyBorder="1" applyAlignment="1">
      <alignment vertical="top"/>
    </xf>
    <xf numFmtId="0" fontId="7" fillId="3" borderId="9" xfId="0" applyFont="1" applyFill="1" applyBorder="1" applyAlignment="1">
      <alignment vertical="top" wrapText="1"/>
    </xf>
    <xf numFmtId="0" fontId="9" fillId="3" borderId="7" xfId="0" applyFont="1" applyFill="1" applyBorder="1"/>
    <xf numFmtId="0" fontId="0" fillId="4" borderId="9" xfId="0" applyFill="1" applyBorder="1" applyAlignment="1">
      <alignment horizontal="center"/>
    </xf>
    <xf numFmtId="0" fontId="2" fillId="4" borderId="9" xfId="0" applyFont="1"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4" fillId="0" borderId="0" xfId="0" applyFont="1" applyAlignment="1">
      <alignment vertical="center" wrapText="1"/>
    </xf>
    <xf numFmtId="0" fontId="4" fillId="0" borderId="0" xfId="0" applyFont="1" applyAlignment="1">
      <alignment horizontal="center" vertical="center" wrapText="1"/>
    </xf>
    <xf numFmtId="0" fontId="4" fillId="0" borderId="12" xfId="0" applyFont="1" applyBorder="1" applyAlignment="1">
      <alignment vertical="center" wrapText="1"/>
    </xf>
    <xf numFmtId="0" fontId="4" fillId="0" borderId="12" xfId="0" applyFont="1" applyBorder="1" applyAlignment="1">
      <alignment horizontal="center" vertical="center" wrapText="1"/>
    </xf>
    <xf numFmtId="0" fontId="0" fillId="0" borderId="12" xfId="0" applyBorder="1"/>
    <xf numFmtId="0" fontId="14" fillId="0" borderId="12" xfId="0" applyFont="1" applyBorder="1" applyAlignment="1">
      <alignment horizontal="center" vertical="center"/>
    </xf>
    <xf numFmtId="0" fontId="14" fillId="0" borderId="0" xfId="0" applyFont="1" applyAlignment="1">
      <alignment horizontal="center" vertical="center"/>
    </xf>
    <xf numFmtId="0" fontId="14" fillId="0" borderId="12" xfId="0" applyFont="1" applyBorder="1" applyAlignment="1">
      <alignment vertical="center" wrapText="1"/>
    </xf>
    <xf numFmtId="0" fontId="14" fillId="0" borderId="12" xfId="0" applyFont="1" applyBorder="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center"/>
    </xf>
    <xf numFmtId="0" fontId="5" fillId="0" borderId="12" xfId="0" applyFont="1" applyBorder="1" applyAlignment="1">
      <alignment horizontal="left" vertical="center" wrapText="1"/>
    </xf>
    <xf numFmtId="0" fontId="5" fillId="0" borderId="12" xfId="0" applyFont="1" applyBorder="1" applyAlignment="1">
      <alignment horizontal="center" vertical="center" wrapText="1"/>
    </xf>
    <xf numFmtId="0" fontId="0" fillId="0" borderId="12" xfId="0" applyBorder="1" applyAlignment="1">
      <alignment horizontal="center" vertical="center" wrapText="1"/>
    </xf>
    <xf numFmtId="0" fontId="16" fillId="7" borderId="12" xfId="0" applyFont="1" applyFill="1" applyBorder="1" applyAlignment="1">
      <alignment horizontal="left" vertical="center" wrapText="1"/>
    </xf>
    <xf numFmtId="0" fontId="16" fillId="7" borderId="12" xfId="0" applyFont="1" applyFill="1" applyBorder="1" applyAlignment="1">
      <alignment horizontal="center" vertical="center" wrapText="1"/>
    </xf>
    <xf numFmtId="0" fontId="12" fillId="7" borderId="5" xfId="0" applyFont="1" applyFill="1" applyBorder="1" applyAlignment="1">
      <alignment horizontal="left" vertical="center" wrapText="1"/>
    </xf>
    <xf numFmtId="0" fontId="12" fillId="7" borderId="5" xfId="0" applyFont="1" applyFill="1" applyBorder="1" applyAlignment="1">
      <alignment horizontal="center" vertical="center" wrapText="1"/>
    </xf>
    <xf numFmtId="0" fontId="16" fillId="0" borderId="0" xfId="0" applyFont="1" applyAlignment="1">
      <alignment horizontal="center" vertical="center"/>
    </xf>
    <xf numFmtId="0" fontId="3" fillId="7" borderId="5" xfId="0" applyFont="1" applyFill="1" applyBorder="1" applyAlignment="1">
      <alignment horizontal="left" vertical="center" wrapText="1"/>
    </xf>
    <xf numFmtId="0" fontId="3" fillId="7" borderId="5"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horizontal="left" vertical="center" wrapText="1"/>
    </xf>
    <xf numFmtId="165" fontId="3" fillId="0" borderId="0" xfId="0" applyNumberFormat="1" applyFont="1" applyAlignment="1">
      <alignment horizontal="center" vertical="center"/>
    </xf>
    <xf numFmtId="0" fontId="3" fillId="7" borderId="12" xfId="0" applyFont="1" applyFill="1" applyBorder="1" applyAlignment="1">
      <alignment horizontal="center"/>
    </xf>
    <xf numFmtId="10" fontId="3" fillId="7" borderId="12" xfId="0" applyNumberFormat="1" applyFont="1" applyFill="1" applyBorder="1" applyAlignment="1">
      <alignment horizontal="center"/>
    </xf>
    <xf numFmtId="0" fontId="0" fillId="7" borderId="12" xfId="0" applyFill="1" applyBorder="1"/>
    <xf numFmtId="0" fontId="13" fillId="0" borderId="12" xfId="0" applyFont="1" applyBorder="1" applyAlignment="1">
      <alignment vertical="center"/>
    </xf>
    <xf numFmtId="0" fontId="0" fillId="0" borderId="12" xfId="0" applyBorder="1" applyAlignment="1">
      <alignment wrapText="1"/>
    </xf>
    <xf numFmtId="0" fontId="21" fillId="0" borderId="0" xfId="0" applyFont="1" applyAlignment="1">
      <alignment horizontal="right"/>
    </xf>
    <xf numFmtId="0" fontId="17" fillId="7" borderId="12" xfId="0" applyFont="1" applyFill="1" applyBorder="1" applyAlignment="1">
      <alignment horizontal="left" vertical="center" wrapText="1"/>
    </xf>
    <xf numFmtId="0" fontId="17" fillId="7" borderId="12" xfId="0" applyFont="1" applyFill="1" applyBorder="1" applyAlignment="1">
      <alignment horizontal="center" vertical="center" wrapText="1"/>
    </xf>
    <xf numFmtId="0" fontId="18" fillId="0" borderId="12" xfId="0" applyFont="1" applyBorder="1" applyAlignment="1">
      <alignment vertical="center" wrapText="1"/>
    </xf>
    <xf numFmtId="0" fontId="18" fillId="0" borderId="12" xfId="0" applyFont="1" applyBorder="1" applyAlignment="1">
      <alignment horizontal="center" vertical="center" wrapText="1"/>
    </xf>
    <xf numFmtId="0" fontId="19" fillId="0" borderId="12" xfId="0" applyFont="1" applyBorder="1" applyAlignment="1">
      <alignment horizontal="center" vertical="center" wrapText="1"/>
    </xf>
    <xf numFmtId="0" fontId="12" fillId="0" borderId="0" xfId="0" applyFont="1" applyAlignment="1">
      <alignment horizontal="center" vertical="center" wrapText="1"/>
    </xf>
    <xf numFmtId="0" fontId="23" fillId="0" borderId="0" xfId="0" applyFont="1" applyAlignment="1">
      <alignment horizontal="right" vertical="center" wrapText="1"/>
    </xf>
    <xf numFmtId="0" fontId="3" fillId="0" borderId="0" xfId="0" applyFont="1" applyAlignment="1">
      <alignment horizontal="center" vertical="center" wrapText="1"/>
    </xf>
    <xf numFmtId="0" fontId="3" fillId="7" borderId="12" xfId="0" applyFont="1" applyFill="1" applyBorder="1" applyAlignment="1">
      <alignment horizontal="left" vertical="center" wrapText="1"/>
    </xf>
    <xf numFmtId="0" fontId="21" fillId="0" borderId="0" xfId="0" applyFont="1" applyAlignment="1">
      <alignment horizontal="right" vertical="center" wrapText="1"/>
    </xf>
    <xf numFmtId="0" fontId="19" fillId="0" borderId="12" xfId="0" applyFont="1" applyBorder="1" applyAlignment="1">
      <alignment horizontal="left" vertical="center" wrapText="1"/>
    </xf>
    <xf numFmtId="0" fontId="0" fillId="0" borderId="12" xfId="0" applyBorder="1" applyAlignment="1">
      <alignment horizontal="left" vertical="top" wrapText="1"/>
    </xf>
    <xf numFmtId="0" fontId="17" fillId="7" borderId="5" xfId="0" applyFont="1" applyFill="1" applyBorder="1" applyAlignment="1">
      <alignment horizontal="left" vertical="center" wrapText="1"/>
    </xf>
    <xf numFmtId="0" fontId="17" fillId="7" borderId="5" xfId="0" applyFont="1" applyFill="1" applyBorder="1" applyAlignment="1">
      <alignment horizontal="center" vertical="center" wrapText="1"/>
    </xf>
    <xf numFmtId="165" fontId="3" fillId="0" borderId="0" xfId="0" applyNumberFormat="1" applyFont="1" applyAlignment="1">
      <alignment horizontal="center" vertical="center" wrapText="1"/>
    </xf>
    <xf numFmtId="10" fontId="3" fillId="7" borderId="12" xfId="0" applyNumberFormat="1" applyFont="1" applyFill="1" applyBorder="1" applyAlignment="1">
      <alignment horizontal="center" vertical="center"/>
    </xf>
    <xf numFmtId="0" fontId="0" fillId="0" borderId="12" xfId="0" applyBorder="1" applyAlignment="1">
      <alignment horizontal="left" vertical="center"/>
    </xf>
    <xf numFmtId="0" fontId="3" fillId="10" borderId="6" xfId="0" applyFont="1" applyFill="1" applyBorder="1" applyAlignment="1">
      <alignment horizontal="center"/>
    </xf>
    <xf numFmtId="0" fontId="0" fillId="10" borderId="13" xfId="0" applyFill="1" applyBorder="1"/>
    <xf numFmtId="0" fontId="3" fillId="10" borderId="2" xfId="0" applyFont="1" applyFill="1" applyBorder="1"/>
    <xf numFmtId="0" fontId="15" fillId="10" borderId="6" xfId="1" applyFill="1" applyBorder="1" applyAlignment="1">
      <alignment horizontal="left" indent="2"/>
    </xf>
    <xf numFmtId="0" fontId="24" fillId="10" borderId="4" xfId="1" applyFont="1" applyFill="1" applyBorder="1"/>
    <xf numFmtId="0" fontId="0" fillId="10" borderId="6" xfId="0" applyFill="1" applyBorder="1" applyAlignment="1">
      <alignment horizontal="left" indent="2"/>
    </xf>
    <xf numFmtId="0" fontId="0" fillId="10" borderId="4" xfId="0" applyFill="1" applyBorder="1" applyAlignment="1">
      <alignment horizontal="left" indent="2"/>
    </xf>
    <xf numFmtId="0" fontId="24" fillId="10" borderId="4" xfId="1" applyFont="1" applyFill="1" applyBorder="1" applyAlignment="1">
      <alignment horizontal="left"/>
    </xf>
    <xf numFmtId="0" fontId="15" fillId="10" borderId="4" xfId="1" applyFill="1" applyBorder="1"/>
    <xf numFmtId="0" fontId="0" fillId="4" borderId="0" xfId="0" applyFill="1" applyAlignment="1">
      <alignment horizontal="center"/>
    </xf>
    <xf numFmtId="0" fontId="2" fillId="4" borderId="12" xfId="0" applyFont="1" applyFill="1" applyBorder="1" applyAlignment="1">
      <alignment horizontal="center"/>
    </xf>
    <xf numFmtId="0" fontId="2" fillId="5" borderId="12" xfId="0" applyFont="1" applyFill="1" applyBorder="1" applyAlignment="1">
      <alignment horizontal="center"/>
    </xf>
    <xf numFmtId="0" fontId="0" fillId="6" borderId="12" xfId="0" applyFill="1" applyBorder="1"/>
    <xf numFmtId="0" fontId="0" fillId="7" borderId="12" xfId="0" applyFill="1" applyBorder="1" applyAlignment="1">
      <alignment horizontal="center"/>
    </xf>
    <xf numFmtId="0" fontId="0" fillId="8" borderId="12" xfId="0" applyFill="1" applyBorder="1"/>
    <xf numFmtId="0" fontId="0" fillId="8" borderId="12" xfId="0" applyFill="1" applyBorder="1" applyAlignment="1">
      <alignment horizontal="center"/>
    </xf>
    <xf numFmtId="0" fontId="0" fillId="4" borderId="12" xfId="0" applyFill="1" applyBorder="1" applyAlignment="1">
      <alignment horizontal="center"/>
    </xf>
    <xf numFmtId="0" fontId="0" fillId="5" borderId="12" xfId="0" applyFill="1" applyBorder="1" applyAlignment="1">
      <alignment horizontal="center"/>
    </xf>
    <xf numFmtId="164" fontId="0" fillId="8" borderId="12" xfId="0" applyNumberFormat="1" applyFill="1" applyBorder="1" applyAlignment="1">
      <alignment horizontal="center"/>
    </xf>
    <xf numFmtId="165" fontId="0" fillId="8" borderId="12" xfId="0" applyNumberFormat="1" applyFill="1" applyBorder="1" applyAlignment="1">
      <alignment horizontal="center"/>
    </xf>
    <xf numFmtId="164" fontId="0" fillId="8" borderId="12" xfId="0" applyNumberFormat="1" applyFill="1" applyBorder="1"/>
    <xf numFmtId="165" fontId="0" fillId="7" borderId="12" xfId="0" applyNumberFormat="1" applyFill="1" applyBorder="1" applyAlignment="1">
      <alignment horizontal="center"/>
    </xf>
    <xf numFmtId="0" fontId="0" fillId="6" borderId="12" xfId="0" applyFill="1" applyBorder="1" applyAlignment="1">
      <alignment vertical="center"/>
    </xf>
    <xf numFmtId="0" fontId="3" fillId="8" borderId="12" xfId="0" applyFont="1" applyFill="1" applyBorder="1" applyAlignment="1">
      <alignment horizontal="center" vertical="center" wrapText="1"/>
    </xf>
    <xf numFmtId="0" fontId="0" fillId="9" borderId="0" xfId="0" applyFill="1"/>
    <xf numFmtId="0" fontId="10" fillId="9" borderId="0" xfId="0" applyFont="1" applyFill="1" applyAlignment="1">
      <alignment vertical="center"/>
    </xf>
    <xf numFmtId="0" fontId="11" fillId="9" borderId="0" xfId="0" applyFont="1" applyFill="1" applyAlignment="1">
      <alignment vertical="center"/>
    </xf>
    <xf numFmtId="0" fontId="11" fillId="9" borderId="0" xfId="0" applyFont="1" applyFill="1"/>
    <xf numFmtId="164" fontId="0" fillId="9" borderId="0" xfId="0" applyNumberFormat="1" applyFill="1"/>
    <xf numFmtId="165" fontId="0" fillId="9" borderId="0" xfId="0" applyNumberFormat="1" applyFill="1"/>
    <xf numFmtId="165" fontId="0" fillId="9" borderId="0" xfId="0" applyNumberFormat="1" applyFill="1" applyAlignment="1">
      <alignment horizontal="center"/>
    </xf>
    <xf numFmtId="165" fontId="25" fillId="7" borderId="12" xfId="0" applyNumberFormat="1" applyFont="1" applyFill="1" applyBorder="1" applyAlignment="1">
      <alignment horizontal="center"/>
    </xf>
    <xf numFmtId="0" fontId="3" fillId="9" borderId="0" xfId="0" applyFont="1" applyFill="1"/>
    <xf numFmtId="166" fontId="0" fillId="9" borderId="0" xfId="0" applyNumberFormat="1" applyFill="1"/>
    <xf numFmtId="0" fontId="3" fillId="4" borderId="12" xfId="0" applyFont="1" applyFill="1" applyBorder="1" applyAlignment="1">
      <alignment horizontal="center" vertical="center"/>
    </xf>
    <xf numFmtId="0" fontId="3" fillId="5" borderId="12" xfId="0" applyFont="1" applyFill="1" applyBorder="1" applyAlignment="1">
      <alignment horizontal="center" vertical="center"/>
    </xf>
    <xf numFmtId="0" fontId="20" fillId="0" borderId="11" xfId="0" applyFont="1" applyBorder="1" applyAlignment="1">
      <alignment horizontal="right" vertical="center"/>
    </xf>
    <xf numFmtId="0" fontId="21" fillId="0" borderId="11" xfId="0" applyFont="1" applyBorder="1" applyAlignment="1">
      <alignment horizontal="right" vertical="center"/>
    </xf>
    <xf numFmtId="0" fontId="22" fillId="7" borderId="12" xfId="0" applyFont="1" applyFill="1" applyBorder="1" applyAlignment="1">
      <alignment horizontal="center"/>
    </xf>
    <xf numFmtId="0" fontId="21" fillId="0" borderId="11" xfId="0" applyFont="1" applyBorder="1" applyAlignment="1">
      <alignment horizontal="right" vertical="center" wrapText="1"/>
    </xf>
    <xf numFmtId="0" fontId="21" fillId="0" borderId="0" xfId="0" applyFont="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zoomScale="83" zoomScaleNormal="83" workbookViewId="0">
      <selection activeCell="B4" sqref="B4"/>
    </sheetView>
  </sheetViews>
  <sheetFormatPr defaultColWidth="11.19921875" defaultRowHeight="15.6" x14ac:dyDescent="0.3"/>
  <cols>
    <col min="2" max="2" width="32.796875" customWidth="1"/>
  </cols>
  <sheetData>
    <row r="1" spans="1:2" x14ac:dyDescent="0.3">
      <c r="A1" s="1" t="s">
        <v>0</v>
      </c>
      <c r="B1" s="2" t="s">
        <v>467</v>
      </c>
    </row>
    <row r="2" spans="1:2" x14ac:dyDescent="0.3">
      <c r="A2" s="3" t="s">
        <v>1</v>
      </c>
      <c r="B2" s="4" t="s">
        <v>468</v>
      </c>
    </row>
    <row r="3" spans="1:2" ht="46.8" x14ac:dyDescent="0.3">
      <c r="A3" s="5" t="s">
        <v>2</v>
      </c>
      <c r="B3" s="6" t="s">
        <v>469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150" workbookViewId="0">
      <selection activeCell="A11" sqref="A11:D11"/>
    </sheetView>
  </sheetViews>
  <sheetFormatPr defaultColWidth="11.19921875" defaultRowHeight="15.6" x14ac:dyDescent="0.3"/>
  <cols>
    <col min="3" max="3" width="27.19921875" customWidth="1"/>
  </cols>
  <sheetData>
    <row r="1" spans="1:7" ht="21" x14ac:dyDescent="0.4">
      <c r="A1" s="103" t="s">
        <v>163</v>
      </c>
      <c r="B1" s="103"/>
      <c r="C1" s="103"/>
      <c r="D1" s="103"/>
      <c r="E1" s="103"/>
      <c r="F1" s="103"/>
      <c r="G1" s="103"/>
    </row>
    <row r="2" spans="1:7" ht="31.2" x14ac:dyDescent="0.3">
      <c r="A2" s="60" t="s">
        <v>3</v>
      </c>
      <c r="B2" s="60" t="s">
        <v>4</v>
      </c>
      <c r="C2" s="60" t="s">
        <v>5</v>
      </c>
      <c r="D2" s="61" t="s">
        <v>77</v>
      </c>
      <c r="E2" s="38" t="s">
        <v>305</v>
      </c>
      <c r="F2" s="38" t="s">
        <v>306</v>
      </c>
      <c r="G2" s="38" t="s">
        <v>298</v>
      </c>
    </row>
    <row r="3" spans="1:7" ht="78" x14ac:dyDescent="0.3">
      <c r="A3" s="51" t="s">
        <v>322</v>
      </c>
      <c r="B3" s="51" t="s">
        <v>323</v>
      </c>
      <c r="C3" s="51" t="s">
        <v>324</v>
      </c>
      <c r="D3" s="51">
        <v>0.32500000000000001</v>
      </c>
      <c r="E3" s="26">
        <v>0.15</v>
      </c>
      <c r="F3" s="26">
        <v>0.312</v>
      </c>
      <c r="G3" s="26" t="s">
        <v>297</v>
      </c>
    </row>
    <row r="4" spans="1:7" ht="109.2" x14ac:dyDescent="0.3">
      <c r="A4" s="30" t="s">
        <v>325</v>
      </c>
      <c r="B4" s="30" t="s">
        <v>326</v>
      </c>
      <c r="C4" s="30" t="s">
        <v>327</v>
      </c>
      <c r="D4" s="30">
        <v>0.38400000000000001</v>
      </c>
      <c r="E4" s="26">
        <v>0.25600000000000001</v>
      </c>
      <c r="F4" s="26">
        <v>0.51800000000000002</v>
      </c>
      <c r="G4" s="26" t="s">
        <v>297</v>
      </c>
    </row>
    <row r="5" spans="1:7" ht="69" customHeight="1" x14ac:dyDescent="0.3">
      <c r="A5" s="30" t="s">
        <v>328</v>
      </c>
      <c r="B5" s="30" t="s">
        <v>328</v>
      </c>
      <c r="C5" s="30" t="s">
        <v>329</v>
      </c>
      <c r="D5" s="30">
        <v>0.02</v>
      </c>
      <c r="E5" s="26">
        <v>1.0999999999999999E-2</v>
      </c>
      <c r="F5" s="26">
        <v>3.5000000000000003E-2</v>
      </c>
      <c r="G5" s="26" t="s">
        <v>297</v>
      </c>
    </row>
    <row r="6" spans="1:7" ht="62.4" x14ac:dyDescent="0.3">
      <c r="A6" s="30" t="s">
        <v>330</v>
      </c>
      <c r="B6" s="30" t="s">
        <v>330</v>
      </c>
      <c r="C6" s="30" t="s">
        <v>329</v>
      </c>
      <c r="D6" s="30">
        <v>5.3999999999999999E-2</v>
      </c>
      <c r="E6" s="26">
        <v>3.5000000000000003E-2</v>
      </c>
      <c r="F6" s="26">
        <v>7.9000000000000001E-2</v>
      </c>
      <c r="G6" s="26" t="s">
        <v>297</v>
      </c>
    </row>
    <row r="7" spans="1:7" ht="93.6" x14ac:dyDescent="0.3">
      <c r="A7" s="30" t="s">
        <v>331</v>
      </c>
      <c r="B7" s="30" t="s">
        <v>332</v>
      </c>
      <c r="C7" s="30" t="s">
        <v>333</v>
      </c>
      <c r="D7" s="30">
        <v>0.27200000000000002</v>
      </c>
      <c r="E7" s="26">
        <v>0.182</v>
      </c>
      <c r="F7" s="26">
        <v>0.373</v>
      </c>
      <c r="G7" s="26" t="s">
        <v>297</v>
      </c>
    </row>
    <row r="8" spans="1:7" ht="109.2" x14ac:dyDescent="0.3">
      <c r="A8" s="30" t="s">
        <v>334</v>
      </c>
      <c r="B8" s="30" t="s">
        <v>335</v>
      </c>
      <c r="C8" s="30" t="s">
        <v>336</v>
      </c>
      <c r="D8" s="30">
        <v>0.372</v>
      </c>
      <c r="E8" s="26">
        <v>0.25</v>
      </c>
      <c r="F8" s="26">
        <v>0.50600000000000001</v>
      </c>
      <c r="G8" s="26" t="s">
        <v>297</v>
      </c>
    </row>
    <row r="9" spans="1:7" ht="62.4" x14ac:dyDescent="0.3">
      <c r="A9" s="30" t="s">
        <v>337</v>
      </c>
      <c r="B9" s="30" t="s">
        <v>338</v>
      </c>
      <c r="C9" s="30" t="s">
        <v>339</v>
      </c>
      <c r="D9" s="30">
        <v>0.02</v>
      </c>
      <c r="E9" s="26">
        <v>1.0999999999999999E-2</v>
      </c>
      <c r="F9" s="26">
        <v>3.5000000000000003E-2</v>
      </c>
      <c r="G9" s="26" t="s">
        <v>297</v>
      </c>
    </row>
    <row r="10" spans="1:7" ht="78" x14ac:dyDescent="0.3">
      <c r="A10" s="30" t="s">
        <v>340</v>
      </c>
      <c r="B10" s="30" t="s">
        <v>341</v>
      </c>
      <c r="C10" s="30" t="s">
        <v>342</v>
      </c>
      <c r="D10" s="30">
        <v>5.3999999999999999E-2</v>
      </c>
      <c r="E10" s="26">
        <v>3.5000000000000003E-2</v>
      </c>
      <c r="F10" s="26">
        <v>7.9000000000000001E-2</v>
      </c>
      <c r="G10" s="26" t="s">
        <v>297</v>
      </c>
    </row>
    <row r="11" spans="1:7" x14ac:dyDescent="0.3">
      <c r="A11" s="104" t="s">
        <v>307</v>
      </c>
      <c r="B11" s="104"/>
      <c r="C11" s="104"/>
      <c r="D11" s="62">
        <f>AVERAGE(D3:D10)</f>
        <v>0.18762500000000001</v>
      </c>
    </row>
  </sheetData>
  <mergeCells count="2">
    <mergeCell ref="A11:C11"/>
    <mergeCell ref="A1:G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157" workbookViewId="0">
      <selection activeCell="G10" sqref="G10"/>
    </sheetView>
  </sheetViews>
  <sheetFormatPr defaultColWidth="11.19921875" defaultRowHeight="15.6" x14ac:dyDescent="0.3"/>
  <cols>
    <col min="1" max="1" width="15.5" customWidth="1"/>
    <col min="3" max="3" width="26.19921875" customWidth="1"/>
    <col min="7" max="7" width="35.5" customWidth="1"/>
  </cols>
  <sheetData>
    <row r="1" spans="1:7" ht="21" x14ac:dyDescent="0.4">
      <c r="A1" s="103" t="s">
        <v>178</v>
      </c>
      <c r="B1" s="103"/>
      <c r="C1" s="103"/>
      <c r="D1" s="103"/>
      <c r="E1" s="103"/>
      <c r="F1" s="103"/>
      <c r="G1" s="103"/>
    </row>
    <row r="2" spans="1:7" ht="31.2" x14ac:dyDescent="0.3">
      <c r="A2" s="60" t="s">
        <v>3</v>
      </c>
      <c r="B2" s="60" t="s">
        <v>4</v>
      </c>
      <c r="C2" s="60" t="s">
        <v>5</v>
      </c>
      <c r="D2" s="61" t="s">
        <v>77</v>
      </c>
      <c r="E2" s="63" t="s">
        <v>308</v>
      </c>
      <c r="F2" s="63" t="s">
        <v>309</v>
      </c>
      <c r="G2" s="38" t="s">
        <v>298</v>
      </c>
    </row>
    <row r="3" spans="1:7" ht="78" x14ac:dyDescent="0.3">
      <c r="A3" s="51" t="s">
        <v>343</v>
      </c>
      <c r="B3" s="51"/>
      <c r="C3" s="51"/>
      <c r="D3" s="51">
        <v>0.41</v>
      </c>
      <c r="E3" s="26">
        <v>0.35799999999999998</v>
      </c>
      <c r="F3" s="26">
        <v>0.47</v>
      </c>
      <c r="G3" s="30" t="s">
        <v>345</v>
      </c>
    </row>
    <row r="4" spans="1:7" ht="78" x14ac:dyDescent="0.3">
      <c r="A4" s="51" t="s">
        <v>344</v>
      </c>
      <c r="B4" s="21"/>
      <c r="C4" s="21"/>
      <c r="D4" s="26">
        <v>0.44700000000000001</v>
      </c>
      <c r="E4" s="26">
        <v>0.39100000000000001</v>
      </c>
      <c r="F4" s="26">
        <v>0.501</v>
      </c>
      <c r="G4" s="30" t="s">
        <v>345</v>
      </c>
    </row>
    <row r="5" spans="1:7" x14ac:dyDescent="0.3">
      <c r="A5" s="104" t="s">
        <v>307</v>
      </c>
      <c r="B5" s="104"/>
      <c r="C5" s="104"/>
      <c r="D5" s="62">
        <f>AVERAGE(D3:D4)</f>
        <v>0.42849999999999999</v>
      </c>
    </row>
    <row r="8" spans="1:7" ht="21" x14ac:dyDescent="0.4">
      <c r="A8" s="103" t="s">
        <v>346</v>
      </c>
      <c r="B8" s="103"/>
      <c r="C8" s="103"/>
      <c r="D8" s="103"/>
      <c r="E8" s="103"/>
      <c r="F8" s="103"/>
      <c r="G8" s="103"/>
    </row>
    <row r="9" spans="1:7" ht="31.2" x14ac:dyDescent="0.3">
      <c r="A9" s="60" t="s">
        <v>3</v>
      </c>
      <c r="B9" s="60" t="s">
        <v>4</v>
      </c>
      <c r="C9" s="60" t="s">
        <v>5</v>
      </c>
      <c r="D9" s="61" t="s">
        <v>77</v>
      </c>
      <c r="E9" s="63" t="s">
        <v>308</v>
      </c>
      <c r="F9" s="63" t="s">
        <v>309</v>
      </c>
      <c r="G9" s="38" t="s">
        <v>298</v>
      </c>
    </row>
    <row r="10" spans="1:7" ht="78" x14ac:dyDescent="0.3">
      <c r="A10" s="51" t="s">
        <v>346</v>
      </c>
      <c r="B10" s="51"/>
      <c r="C10" s="51"/>
      <c r="D10" s="51">
        <v>3.6999999999999998E-2</v>
      </c>
      <c r="E10" s="26"/>
      <c r="F10" s="26"/>
      <c r="G10" s="30" t="s">
        <v>299</v>
      </c>
    </row>
    <row r="11" spans="1:7" x14ac:dyDescent="0.3">
      <c r="A11" s="104" t="s">
        <v>307</v>
      </c>
      <c r="B11" s="104"/>
      <c r="C11" s="104"/>
      <c r="D11" s="62">
        <f>AVERAGE(D10)</f>
        <v>3.6999999999999998E-2</v>
      </c>
    </row>
    <row r="14" spans="1:7" ht="21" x14ac:dyDescent="0.4">
      <c r="A14" s="103" t="s">
        <v>188</v>
      </c>
      <c r="B14" s="103"/>
      <c r="C14" s="103"/>
      <c r="D14" s="103"/>
      <c r="E14" s="103"/>
      <c r="F14" s="103"/>
      <c r="G14" s="103"/>
    </row>
    <row r="15" spans="1:7" ht="31.2" x14ac:dyDescent="0.3">
      <c r="A15" s="60" t="s">
        <v>3</v>
      </c>
      <c r="B15" s="60" t="s">
        <v>4</v>
      </c>
      <c r="C15" s="60" t="s">
        <v>5</v>
      </c>
      <c r="D15" s="61" t="s">
        <v>77</v>
      </c>
      <c r="E15" s="63" t="s">
        <v>308</v>
      </c>
      <c r="F15" s="63" t="s">
        <v>309</v>
      </c>
      <c r="G15" s="38" t="s">
        <v>298</v>
      </c>
    </row>
    <row r="16" spans="1:7" ht="78" x14ac:dyDescent="0.3">
      <c r="A16" s="51" t="s">
        <v>347</v>
      </c>
      <c r="B16" s="51"/>
      <c r="C16" s="51" t="s">
        <v>348</v>
      </c>
      <c r="D16" s="51">
        <v>0.48799999999999999</v>
      </c>
      <c r="E16" s="26">
        <v>0.432</v>
      </c>
      <c r="F16" s="26">
        <v>0.54600000000000004</v>
      </c>
      <c r="G16" s="30" t="s">
        <v>345</v>
      </c>
    </row>
    <row r="17" spans="1:4" x14ac:dyDescent="0.3">
      <c r="A17" s="104" t="s">
        <v>307</v>
      </c>
      <c r="B17" s="104"/>
      <c r="C17" s="104"/>
      <c r="D17" s="62">
        <f>AVERAGE(D16)</f>
        <v>0.48799999999999999</v>
      </c>
    </row>
  </sheetData>
  <mergeCells count="6">
    <mergeCell ref="A17:C17"/>
    <mergeCell ref="A1:G1"/>
    <mergeCell ref="A5:C5"/>
    <mergeCell ref="A8:G8"/>
    <mergeCell ref="A11:C11"/>
    <mergeCell ref="A14:G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3" sqref="G3"/>
    </sheetView>
  </sheetViews>
  <sheetFormatPr defaultColWidth="11.19921875" defaultRowHeight="15.6" x14ac:dyDescent="0.3"/>
  <cols>
    <col min="7" max="7" width="31.5" customWidth="1"/>
  </cols>
  <sheetData>
    <row r="1" spans="1:7" ht="21" x14ac:dyDescent="0.4">
      <c r="A1" s="103" t="s">
        <v>188</v>
      </c>
      <c r="B1" s="103"/>
      <c r="C1" s="103"/>
      <c r="D1" s="103"/>
      <c r="E1" s="103"/>
      <c r="F1" s="103"/>
      <c r="G1" s="103"/>
    </row>
    <row r="2" spans="1:7" ht="46.8" x14ac:dyDescent="0.3">
      <c r="A2" s="60" t="s">
        <v>3</v>
      </c>
      <c r="B2" s="60" t="s">
        <v>4</v>
      </c>
      <c r="C2" s="60" t="s">
        <v>5</v>
      </c>
      <c r="D2" s="61" t="s">
        <v>77</v>
      </c>
      <c r="E2" s="63" t="s">
        <v>308</v>
      </c>
      <c r="F2" s="63" t="s">
        <v>309</v>
      </c>
      <c r="G2" s="38" t="s">
        <v>298</v>
      </c>
    </row>
    <row r="3" spans="1:7" ht="93.6" x14ac:dyDescent="0.3">
      <c r="A3" s="51" t="s">
        <v>349</v>
      </c>
      <c r="B3" s="51"/>
      <c r="C3" s="51" t="s">
        <v>350</v>
      </c>
      <c r="D3" s="51">
        <v>3.6999999999999998E-2</v>
      </c>
      <c r="E3" s="26"/>
      <c r="F3" s="26"/>
      <c r="G3" s="30" t="s">
        <v>345</v>
      </c>
    </row>
    <row r="4" spans="1:7" ht="78" x14ac:dyDescent="0.3">
      <c r="A4" s="51" t="s">
        <v>349</v>
      </c>
      <c r="B4" s="51"/>
      <c r="C4" s="51" t="s">
        <v>351</v>
      </c>
      <c r="D4" s="51">
        <v>7.0000000000000007E-2</v>
      </c>
      <c r="E4" s="26"/>
      <c r="F4" s="26"/>
      <c r="G4" s="30" t="s">
        <v>352</v>
      </c>
    </row>
    <row r="5" spans="1:7" x14ac:dyDescent="0.3">
      <c r="A5" s="105" t="s">
        <v>307</v>
      </c>
      <c r="B5" s="105"/>
      <c r="C5" s="105"/>
      <c r="D5" s="62">
        <f>AVERAGE(D3:D4)</f>
        <v>5.3500000000000006E-2</v>
      </c>
    </row>
  </sheetData>
  <mergeCells count="2">
    <mergeCell ref="A1:G1"/>
    <mergeCell ref="A5:C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opLeftCell="B1" zoomScale="180" workbookViewId="0">
      <selection activeCell="A71" sqref="A71:D71"/>
    </sheetView>
  </sheetViews>
  <sheetFormatPr defaultColWidth="11.19921875" defaultRowHeight="15.6" x14ac:dyDescent="0.3"/>
  <cols>
    <col min="1" max="1" width="33.19921875" customWidth="1"/>
    <col min="2" max="2" width="28.5" customWidth="1"/>
    <col min="3" max="3" width="30.19921875" customWidth="1"/>
  </cols>
  <sheetData>
    <row r="1" spans="1:7" ht="31.2" x14ac:dyDescent="0.3">
      <c r="A1" s="56" t="s">
        <v>3</v>
      </c>
      <c r="B1" s="56" t="s">
        <v>4</v>
      </c>
      <c r="C1" s="56" t="s">
        <v>5</v>
      </c>
      <c r="D1" s="38" t="s">
        <v>77</v>
      </c>
      <c r="E1" s="38" t="s">
        <v>305</v>
      </c>
      <c r="F1" s="38" t="s">
        <v>306</v>
      </c>
      <c r="G1" s="38" t="s">
        <v>298</v>
      </c>
    </row>
    <row r="2" spans="1:7" ht="49.95" customHeight="1" x14ac:dyDescent="0.3">
      <c r="A2" s="58" t="s">
        <v>353</v>
      </c>
      <c r="B2" s="58" t="s">
        <v>354</v>
      </c>
      <c r="C2" s="58" t="s">
        <v>355</v>
      </c>
      <c r="D2" s="52">
        <v>2.4E-2</v>
      </c>
      <c r="E2" s="26">
        <v>1.4E-2</v>
      </c>
      <c r="F2" s="26">
        <v>1.9E-2</v>
      </c>
      <c r="G2" s="26" t="s">
        <v>297</v>
      </c>
    </row>
    <row r="3" spans="1:7" ht="49.95" customHeight="1" x14ac:dyDescent="0.3">
      <c r="A3" s="50" t="s">
        <v>356</v>
      </c>
      <c r="B3" s="50" t="s">
        <v>357</v>
      </c>
      <c r="C3" s="50" t="s">
        <v>358</v>
      </c>
      <c r="D3" s="51">
        <v>0.57099999999999995</v>
      </c>
      <c r="E3" s="26">
        <v>0.39800000000000002</v>
      </c>
      <c r="F3" s="26">
        <v>0.72499999999999998</v>
      </c>
      <c r="G3" s="26" t="s">
        <v>297</v>
      </c>
    </row>
    <row r="4" spans="1:7" ht="49.95" customHeight="1" x14ac:dyDescent="0.3">
      <c r="A4" s="58" t="s">
        <v>359</v>
      </c>
      <c r="B4" s="58" t="s">
        <v>360</v>
      </c>
      <c r="C4" s="58" t="s">
        <v>329</v>
      </c>
      <c r="D4" s="52">
        <v>0.57299999999999995</v>
      </c>
      <c r="E4" s="26">
        <v>0.40300000000000002</v>
      </c>
      <c r="F4" s="26">
        <v>0.72599999999999998</v>
      </c>
      <c r="G4" s="26" t="s">
        <v>297</v>
      </c>
    </row>
    <row r="5" spans="1:7" ht="49.95" customHeight="1" x14ac:dyDescent="0.3">
      <c r="A5" s="50" t="s">
        <v>361</v>
      </c>
      <c r="B5" s="50" t="s">
        <v>362</v>
      </c>
      <c r="C5" s="50" t="s">
        <v>329</v>
      </c>
      <c r="D5" s="51">
        <v>0.59299999999999997</v>
      </c>
      <c r="E5" s="26">
        <v>0.42399999999999999</v>
      </c>
      <c r="F5" s="26">
        <v>0.74199999999999999</v>
      </c>
      <c r="G5" s="26" t="s">
        <v>297</v>
      </c>
    </row>
    <row r="6" spans="1:7" ht="49.95" customHeight="1" x14ac:dyDescent="0.3">
      <c r="A6" s="58" t="s">
        <v>363</v>
      </c>
      <c r="B6" s="58" t="s">
        <v>364</v>
      </c>
      <c r="C6" s="58" t="s">
        <v>329</v>
      </c>
      <c r="D6" s="52">
        <v>0.63300000000000001</v>
      </c>
      <c r="E6" s="26">
        <v>0.46200000000000002</v>
      </c>
      <c r="F6" s="26">
        <v>0.78100000000000003</v>
      </c>
      <c r="G6" s="26" t="s">
        <v>297</v>
      </c>
    </row>
    <row r="7" spans="1:7" ht="49.95" customHeight="1" x14ac:dyDescent="0.3">
      <c r="A7" s="50" t="s">
        <v>365</v>
      </c>
      <c r="B7" s="50" t="s">
        <v>366</v>
      </c>
      <c r="C7" s="50" t="s">
        <v>367</v>
      </c>
      <c r="D7" s="51">
        <v>4.0000000000000001E-3</v>
      </c>
      <c r="E7" s="26">
        <v>1E-3</v>
      </c>
      <c r="F7" s="26">
        <v>8.0000000000000002E-3</v>
      </c>
      <c r="G7" s="26" t="s">
        <v>297</v>
      </c>
    </row>
    <row r="8" spans="1:7" ht="49.95" customHeight="1" x14ac:dyDescent="0.3">
      <c r="A8" s="58" t="s">
        <v>368</v>
      </c>
      <c r="B8" s="58" t="s">
        <v>316</v>
      </c>
      <c r="C8" s="58" t="s">
        <v>317</v>
      </c>
      <c r="D8" s="52">
        <v>5.1999999999999998E-2</v>
      </c>
      <c r="E8" s="26">
        <v>3.4000000000000002E-2</v>
      </c>
      <c r="F8" s="26">
        <v>7.5999999999999998E-2</v>
      </c>
      <c r="G8" s="26" t="s">
        <v>297</v>
      </c>
    </row>
    <row r="9" spans="1:7" ht="49.95" customHeight="1" x14ac:dyDescent="0.3">
      <c r="A9" s="50" t="s">
        <v>369</v>
      </c>
      <c r="B9" s="50" t="s">
        <v>370</v>
      </c>
      <c r="C9" s="50" t="s">
        <v>371</v>
      </c>
      <c r="D9" s="51">
        <v>0.14899999999999999</v>
      </c>
      <c r="E9" s="26">
        <v>0.10100000000000001</v>
      </c>
      <c r="F9" s="26">
        <v>0.20899999999999999</v>
      </c>
      <c r="G9" s="26" t="s">
        <v>297</v>
      </c>
    </row>
    <row r="10" spans="1:7" ht="49.95" customHeight="1" x14ac:dyDescent="0.3">
      <c r="A10" s="50" t="s">
        <v>372</v>
      </c>
      <c r="B10" s="50" t="s">
        <v>373</v>
      </c>
      <c r="C10" s="50" t="s">
        <v>374</v>
      </c>
      <c r="D10" s="51">
        <v>0.104</v>
      </c>
      <c r="E10" s="26">
        <v>0.104</v>
      </c>
      <c r="F10" s="26">
        <v>0.14699999999999999</v>
      </c>
      <c r="G10" s="26" t="s">
        <v>297</v>
      </c>
    </row>
    <row r="11" spans="1:7" ht="49.95" customHeight="1" x14ac:dyDescent="0.3">
      <c r="A11" s="58" t="s">
        <v>375</v>
      </c>
      <c r="B11" s="58" t="s">
        <v>376</v>
      </c>
      <c r="C11" s="58"/>
      <c r="D11" s="52">
        <v>0.108</v>
      </c>
      <c r="E11" s="26">
        <v>7.1999999999999995E-2</v>
      </c>
      <c r="F11" s="26">
        <v>0.151</v>
      </c>
      <c r="G11" s="26" t="s">
        <v>297</v>
      </c>
    </row>
    <row r="12" spans="1:7" ht="49.95" customHeight="1" x14ac:dyDescent="0.3">
      <c r="A12" s="50" t="s">
        <v>377</v>
      </c>
      <c r="B12" s="50" t="s">
        <v>378</v>
      </c>
      <c r="C12" s="50"/>
      <c r="D12" s="51">
        <v>0.15</v>
      </c>
      <c r="E12" s="26">
        <v>0.10299999999999999</v>
      </c>
      <c r="F12" s="26">
        <v>0.20699999999999999</v>
      </c>
      <c r="G12" s="26" t="s">
        <v>297</v>
      </c>
    </row>
    <row r="13" spans="1:7" ht="49.95" customHeight="1" x14ac:dyDescent="0.3">
      <c r="A13" s="58" t="s">
        <v>379</v>
      </c>
      <c r="B13" s="58" t="s">
        <v>380</v>
      </c>
      <c r="C13" s="58"/>
      <c r="D13" s="52">
        <v>0.23699999999999999</v>
      </c>
      <c r="E13" s="26">
        <v>0.16500000000000001</v>
      </c>
      <c r="F13" s="26">
        <v>0.32400000000000001</v>
      </c>
      <c r="G13" s="26" t="s">
        <v>297</v>
      </c>
    </row>
    <row r="14" spans="1:7" ht="49.95" customHeight="1" x14ac:dyDescent="0.3">
      <c r="A14" s="50" t="s">
        <v>381</v>
      </c>
      <c r="B14" s="50" t="s">
        <v>382</v>
      </c>
      <c r="C14" s="50" t="s">
        <v>383</v>
      </c>
      <c r="D14" s="51">
        <v>0.56899999999999995</v>
      </c>
      <c r="E14" s="26">
        <v>0.38900000000000001</v>
      </c>
      <c r="F14" s="26">
        <v>0.72699999999999998</v>
      </c>
      <c r="G14" s="26" t="s">
        <v>297</v>
      </c>
    </row>
    <row r="15" spans="1:7" ht="49.95" customHeight="1" x14ac:dyDescent="0.3">
      <c r="A15" s="58" t="s">
        <v>384</v>
      </c>
      <c r="B15" s="58" t="s">
        <v>385</v>
      </c>
      <c r="C15" s="58" t="s">
        <v>329</v>
      </c>
      <c r="D15" s="52">
        <v>0.56999999999999995</v>
      </c>
      <c r="E15" s="26">
        <v>0.39100000000000001</v>
      </c>
      <c r="F15" s="26">
        <v>0.72699999999999998</v>
      </c>
      <c r="G15" s="26" t="s">
        <v>297</v>
      </c>
    </row>
    <row r="16" spans="1:7" ht="49.95" customHeight="1" x14ac:dyDescent="0.3">
      <c r="A16" s="50" t="s">
        <v>386</v>
      </c>
      <c r="B16" s="50" t="s">
        <v>387</v>
      </c>
      <c r="C16" s="50" t="s">
        <v>329</v>
      </c>
      <c r="D16" s="51">
        <v>0.59099999999999997</v>
      </c>
      <c r="E16" s="26">
        <v>0.41399999999999998</v>
      </c>
      <c r="F16" s="26">
        <v>0.74299999999999999</v>
      </c>
      <c r="G16" s="26" t="s">
        <v>297</v>
      </c>
    </row>
    <row r="17" spans="1:7" ht="49.95" customHeight="1" x14ac:dyDescent="0.3">
      <c r="A17" s="58" t="s">
        <v>388</v>
      </c>
      <c r="B17" s="58" t="s">
        <v>389</v>
      </c>
      <c r="C17" s="58" t="s">
        <v>329</v>
      </c>
      <c r="D17" s="52">
        <v>0.63100000000000001</v>
      </c>
      <c r="E17" s="26">
        <v>0.45600000000000002</v>
      </c>
      <c r="F17" s="26">
        <v>0.78200000000000003</v>
      </c>
      <c r="G17" s="26" t="s">
        <v>297</v>
      </c>
    </row>
    <row r="18" spans="1:7" ht="49.95" customHeight="1" x14ac:dyDescent="0.3">
      <c r="A18" s="58" t="s">
        <v>390</v>
      </c>
      <c r="B18" s="58" t="s">
        <v>354</v>
      </c>
      <c r="C18" s="58" t="s">
        <v>355</v>
      </c>
      <c r="D18" s="52">
        <v>2.4E-2</v>
      </c>
      <c r="E18" s="26">
        <v>1.4E-2</v>
      </c>
      <c r="F18" s="26">
        <v>3.9E-2</v>
      </c>
      <c r="G18" s="26" t="s">
        <v>297</v>
      </c>
    </row>
    <row r="19" spans="1:7" ht="49.95" customHeight="1" x14ac:dyDescent="0.3">
      <c r="A19" s="50" t="s">
        <v>391</v>
      </c>
      <c r="B19" s="50" t="s">
        <v>357</v>
      </c>
      <c r="C19" s="50" t="s">
        <v>358</v>
      </c>
      <c r="D19" s="51">
        <v>0.57099999999999995</v>
      </c>
      <c r="E19" s="26">
        <v>0.39800000000000002</v>
      </c>
      <c r="F19" s="26">
        <v>0.72499999999999998</v>
      </c>
      <c r="G19" s="26" t="s">
        <v>297</v>
      </c>
    </row>
    <row r="20" spans="1:7" ht="49.95" customHeight="1" x14ac:dyDescent="0.3">
      <c r="A20" s="58" t="s">
        <v>392</v>
      </c>
      <c r="B20" s="58" t="s">
        <v>360</v>
      </c>
      <c r="C20" s="58" t="s">
        <v>329</v>
      </c>
      <c r="D20" s="52">
        <v>0.57299999999999995</v>
      </c>
      <c r="E20" s="26">
        <v>0.40300000000000002</v>
      </c>
      <c r="F20" s="26">
        <v>0.72599999999999998</v>
      </c>
      <c r="G20" s="26" t="s">
        <v>297</v>
      </c>
    </row>
    <row r="21" spans="1:7" ht="49.95" customHeight="1" x14ac:dyDescent="0.3">
      <c r="A21" s="50" t="s">
        <v>393</v>
      </c>
      <c r="B21" s="50" t="s">
        <v>362</v>
      </c>
      <c r="C21" s="50" t="s">
        <v>329</v>
      </c>
      <c r="D21" s="51">
        <v>0.59299999999999997</v>
      </c>
      <c r="E21" s="26">
        <v>0.42399999999999999</v>
      </c>
      <c r="F21" s="26">
        <v>0.74199999999999999</v>
      </c>
      <c r="G21" s="26" t="s">
        <v>297</v>
      </c>
    </row>
    <row r="22" spans="1:7" ht="49.95" customHeight="1" x14ac:dyDescent="0.3">
      <c r="A22" s="58" t="s">
        <v>394</v>
      </c>
      <c r="B22" s="58" t="s">
        <v>364</v>
      </c>
      <c r="C22" s="58" t="s">
        <v>329</v>
      </c>
      <c r="D22" s="52">
        <v>0.63300000000000001</v>
      </c>
      <c r="E22" s="26">
        <v>0.46200000000000002</v>
      </c>
      <c r="F22" s="26">
        <v>0.78100000000000003</v>
      </c>
      <c r="G22" s="26" t="s">
        <v>297</v>
      </c>
    </row>
    <row r="23" spans="1:7" ht="49.95" customHeight="1" x14ac:dyDescent="0.3">
      <c r="A23" s="50" t="s">
        <v>395</v>
      </c>
      <c r="B23" s="50" t="s">
        <v>366</v>
      </c>
      <c r="C23" s="50" t="s">
        <v>367</v>
      </c>
      <c r="D23" s="51">
        <v>4.0000000000000001E-3</v>
      </c>
      <c r="E23" s="26">
        <v>1E-3</v>
      </c>
      <c r="F23" s="26">
        <v>8.0000000000000002E-3</v>
      </c>
      <c r="G23" s="26" t="s">
        <v>297</v>
      </c>
    </row>
    <row r="24" spans="1:7" ht="49.95" customHeight="1" x14ac:dyDescent="0.3">
      <c r="A24" s="58" t="s">
        <v>396</v>
      </c>
      <c r="B24" s="58" t="s">
        <v>316</v>
      </c>
      <c r="C24" s="58" t="s">
        <v>317</v>
      </c>
      <c r="D24" s="52">
        <v>5.1999999999999998E-2</v>
      </c>
      <c r="E24" s="26">
        <v>3.4000000000000002E-2</v>
      </c>
      <c r="F24" s="26">
        <v>7.5999999999999998E-2</v>
      </c>
      <c r="G24" s="26" t="s">
        <v>297</v>
      </c>
    </row>
    <row r="25" spans="1:7" ht="49.95" customHeight="1" x14ac:dyDescent="0.3">
      <c r="A25" s="50" t="s">
        <v>397</v>
      </c>
      <c r="B25" s="50" t="s">
        <v>370</v>
      </c>
      <c r="C25" s="50" t="s">
        <v>371</v>
      </c>
      <c r="D25" s="51">
        <v>0.14899999999999999</v>
      </c>
      <c r="E25" s="26">
        <v>0.10100000000000001</v>
      </c>
      <c r="F25" s="26">
        <v>0.20899999999999999</v>
      </c>
      <c r="G25" s="26" t="s">
        <v>297</v>
      </c>
    </row>
    <row r="26" spans="1:7" ht="49.95" customHeight="1" x14ac:dyDescent="0.3">
      <c r="A26" s="50" t="s">
        <v>398</v>
      </c>
      <c r="B26" s="50" t="s">
        <v>373</v>
      </c>
      <c r="C26" s="50" t="s">
        <v>374</v>
      </c>
      <c r="D26" s="51">
        <v>0.104</v>
      </c>
      <c r="E26" s="26">
        <v>7.0000000000000007E-2</v>
      </c>
      <c r="F26" s="26">
        <v>0.14699999999999999</v>
      </c>
      <c r="G26" s="26" t="s">
        <v>297</v>
      </c>
    </row>
    <row r="27" spans="1:7" ht="49.95" customHeight="1" x14ac:dyDescent="0.3">
      <c r="A27" s="58" t="s">
        <v>399</v>
      </c>
      <c r="B27" s="58" t="s">
        <v>376</v>
      </c>
      <c r="C27" s="58"/>
      <c r="D27" s="52">
        <v>0.108</v>
      </c>
      <c r="E27" s="26">
        <v>7.1999999999999995E-2</v>
      </c>
      <c r="F27" s="26">
        <v>0.151</v>
      </c>
      <c r="G27" s="26" t="s">
        <v>297</v>
      </c>
    </row>
    <row r="28" spans="1:7" ht="49.95" customHeight="1" x14ac:dyDescent="0.3">
      <c r="A28" s="50" t="s">
        <v>400</v>
      </c>
      <c r="B28" s="50" t="s">
        <v>378</v>
      </c>
      <c r="C28" s="50"/>
      <c r="D28" s="51">
        <v>0.15</v>
      </c>
      <c r="E28" s="26">
        <v>0.10299999999999999</v>
      </c>
      <c r="F28" s="26">
        <v>0.20699999999999999</v>
      </c>
      <c r="G28" s="26" t="s">
        <v>297</v>
      </c>
    </row>
    <row r="29" spans="1:7" ht="49.95" customHeight="1" x14ac:dyDescent="0.3">
      <c r="A29" s="58" t="s">
        <v>401</v>
      </c>
      <c r="B29" s="58" t="s">
        <v>380</v>
      </c>
      <c r="C29" s="58"/>
      <c r="D29" s="52">
        <v>0.23699999999999999</v>
      </c>
      <c r="E29" s="26">
        <v>0.16500000000000001</v>
      </c>
      <c r="F29" s="26">
        <v>0.32400000000000001</v>
      </c>
      <c r="G29" s="26" t="s">
        <v>297</v>
      </c>
    </row>
    <row r="30" spans="1:7" ht="49.95" customHeight="1" x14ac:dyDescent="0.3">
      <c r="A30" s="50" t="s">
        <v>402</v>
      </c>
      <c r="B30" s="50" t="s">
        <v>382</v>
      </c>
      <c r="C30" s="50" t="s">
        <v>383</v>
      </c>
      <c r="D30" s="51">
        <v>0.56899999999999995</v>
      </c>
      <c r="E30" s="26">
        <v>0.38900000000000001</v>
      </c>
      <c r="F30" s="26">
        <v>0.72699999999999998</v>
      </c>
      <c r="G30" s="26" t="s">
        <v>297</v>
      </c>
    </row>
    <row r="31" spans="1:7" ht="49.95" customHeight="1" x14ac:dyDescent="0.3">
      <c r="A31" s="58" t="s">
        <v>403</v>
      </c>
      <c r="B31" s="58" t="s">
        <v>385</v>
      </c>
      <c r="C31" s="58" t="s">
        <v>329</v>
      </c>
      <c r="D31" s="52">
        <v>0.56999999999999995</v>
      </c>
      <c r="E31" s="26">
        <v>0.39100000000000001</v>
      </c>
      <c r="F31" s="26">
        <v>0.72699999999999998</v>
      </c>
      <c r="G31" s="26" t="s">
        <v>297</v>
      </c>
    </row>
    <row r="32" spans="1:7" ht="49.95" customHeight="1" x14ac:dyDescent="0.3">
      <c r="A32" s="50" t="s">
        <v>404</v>
      </c>
      <c r="B32" s="50" t="s">
        <v>387</v>
      </c>
      <c r="C32" s="50" t="s">
        <v>329</v>
      </c>
      <c r="D32" s="51">
        <v>0.59099999999999997</v>
      </c>
      <c r="E32" s="26">
        <v>0.41399999999999998</v>
      </c>
      <c r="F32" s="26">
        <v>0.74299999999999999</v>
      </c>
      <c r="G32" s="26" t="s">
        <v>297</v>
      </c>
    </row>
    <row r="33" spans="1:7" ht="49.95" customHeight="1" x14ac:dyDescent="0.3">
      <c r="A33" s="58" t="s">
        <v>405</v>
      </c>
      <c r="B33" s="58" t="s">
        <v>389</v>
      </c>
      <c r="C33" s="58" t="s">
        <v>329</v>
      </c>
      <c r="D33" s="52">
        <v>0.63100000000000001</v>
      </c>
      <c r="E33" s="26">
        <v>0.45600000000000002</v>
      </c>
      <c r="F33" s="26">
        <v>0.78200000000000003</v>
      </c>
      <c r="G33" s="26" t="s">
        <v>297</v>
      </c>
    </row>
    <row r="34" spans="1:7" ht="49.95" customHeight="1" x14ac:dyDescent="0.3">
      <c r="A34" s="58" t="s">
        <v>406</v>
      </c>
      <c r="B34" s="58" t="s">
        <v>354</v>
      </c>
      <c r="C34" s="58" t="s">
        <v>355</v>
      </c>
      <c r="D34" s="52">
        <v>2.4E-2</v>
      </c>
      <c r="E34" s="26">
        <v>1.4E-2</v>
      </c>
      <c r="F34" s="26">
        <v>3.9E-2</v>
      </c>
      <c r="G34" s="26" t="s">
        <v>297</v>
      </c>
    </row>
    <row r="35" spans="1:7" ht="49.95" customHeight="1" x14ac:dyDescent="0.3">
      <c r="A35" s="50" t="s">
        <v>407</v>
      </c>
      <c r="B35" s="50" t="s">
        <v>357</v>
      </c>
      <c r="C35" s="50" t="s">
        <v>358</v>
      </c>
      <c r="D35" s="51">
        <v>0.57099999999999995</v>
      </c>
      <c r="E35" s="26">
        <v>0.39800000000000002</v>
      </c>
      <c r="F35" s="26">
        <v>0.72499999999999998</v>
      </c>
      <c r="G35" s="26" t="s">
        <v>297</v>
      </c>
    </row>
    <row r="36" spans="1:7" ht="49.95" customHeight="1" x14ac:dyDescent="0.3">
      <c r="A36" s="58" t="s">
        <v>408</v>
      </c>
      <c r="B36" s="58" t="s">
        <v>360</v>
      </c>
      <c r="C36" s="58" t="s">
        <v>329</v>
      </c>
      <c r="D36" s="52">
        <v>0.57299999999999995</v>
      </c>
      <c r="E36" s="26">
        <v>0.40300000000000002</v>
      </c>
      <c r="F36" s="26">
        <v>0.72599999999999998</v>
      </c>
      <c r="G36" s="26" t="s">
        <v>297</v>
      </c>
    </row>
    <row r="37" spans="1:7" ht="49.95" customHeight="1" x14ac:dyDescent="0.3">
      <c r="A37" s="50" t="s">
        <v>409</v>
      </c>
      <c r="B37" s="50" t="s">
        <v>362</v>
      </c>
      <c r="C37" s="50" t="s">
        <v>329</v>
      </c>
      <c r="D37" s="51">
        <v>0.59299999999999997</v>
      </c>
      <c r="E37" s="26">
        <v>0.42399999999999999</v>
      </c>
      <c r="F37" s="26">
        <v>0.74199999999999999</v>
      </c>
      <c r="G37" s="26" t="s">
        <v>297</v>
      </c>
    </row>
    <row r="38" spans="1:7" ht="49.95" customHeight="1" x14ac:dyDescent="0.3">
      <c r="A38" s="58" t="s">
        <v>410</v>
      </c>
      <c r="B38" s="58" t="s">
        <v>364</v>
      </c>
      <c r="C38" s="58" t="s">
        <v>329</v>
      </c>
      <c r="D38" s="52">
        <v>0.63300000000000001</v>
      </c>
      <c r="E38" s="26">
        <v>0.46200000000000002</v>
      </c>
      <c r="F38" s="26">
        <v>0.78100000000000003</v>
      </c>
      <c r="G38" s="26" t="s">
        <v>297</v>
      </c>
    </row>
    <row r="39" spans="1:7" ht="49.95" customHeight="1" x14ac:dyDescent="0.3">
      <c r="A39" s="50" t="s">
        <v>411</v>
      </c>
      <c r="B39" s="50" t="s">
        <v>366</v>
      </c>
      <c r="C39" s="50" t="s">
        <v>367</v>
      </c>
      <c r="D39" s="51">
        <v>4.0000000000000001E-3</v>
      </c>
      <c r="E39" s="26">
        <v>1E-3</v>
      </c>
      <c r="F39" s="26">
        <v>8.0000000000000002E-3</v>
      </c>
      <c r="G39" s="26" t="s">
        <v>297</v>
      </c>
    </row>
    <row r="40" spans="1:7" ht="49.95" customHeight="1" x14ac:dyDescent="0.3">
      <c r="A40" s="58" t="s">
        <v>412</v>
      </c>
      <c r="B40" s="58" t="s">
        <v>316</v>
      </c>
      <c r="C40" s="58" t="s">
        <v>317</v>
      </c>
      <c r="D40" s="52">
        <v>5.1999999999999998E-2</v>
      </c>
      <c r="E40" s="26">
        <v>3.4000000000000002E-2</v>
      </c>
      <c r="F40" s="26">
        <v>7.5999999999999998E-2</v>
      </c>
      <c r="G40" s="26" t="s">
        <v>297</v>
      </c>
    </row>
    <row r="41" spans="1:7" ht="49.95" customHeight="1" x14ac:dyDescent="0.3">
      <c r="A41" s="50" t="s">
        <v>413</v>
      </c>
      <c r="B41" s="50" t="s">
        <v>370</v>
      </c>
      <c r="C41" s="50" t="s">
        <v>371</v>
      </c>
      <c r="D41" s="51">
        <v>0.14899999999999999</v>
      </c>
      <c r="E41" s="26">
        <v>0.10100000000000001</v>
      </c>
      <c r="F41" s="26">
        <v>0.20899999999999999</v>
      </c>
      <c r="G41" s="26" t="s">
        <v>297</v>
      </c>
    </row>
    <row r="42" spans="1:7" ht="49.95" customHeight="1" x14ac:dyDescent="0.3">
      <c r="A42" s="50" t="s">
        <v>414</v>
      </c>
      <c r="B42" s="50" t="s">
        <v>373</v>
      </c>
      <c r="C42" s="50" t="s">
        <v>374</v>
      </c>
      <c r="D42" s="51">
        <v>0.104</v>
      </c>
      <c r="E42" s="26">
        <v>7.0000000000000007E-2</v>
      </c>
      <c r="F42" s="26">
        <v>0.14699999999999999</v>
      </c>
      <c r="G42" s="26" t="s">
        <v>297</v>
      </c>
    </row>
    <row r="43" spans="1:7" ht="49.95" customHeight="1" x14ac:dyDescent="0.3">
      <c r="A43" s="58" t="s">
        <v>415</v>
      </c>
      <c r="B43" s="58" t="s">
        <v>376</v>
      </c>
      <c r="C43" s="58"/>
      <c r="D43" s="52">
        <v>0.108</v>
      </c>
      <c r="E43" s="26">
        <v>7.1999999999999995E-2</v>
      </c>
      <c r="F43" s="26">
        <v>0.151</v>
      </c>
      <c r="G43" s="26" t="s">
        <v>297</v>
      </c>
    </row>
    <row r="44" spans="1:7" ht="49.95" customHeight="1" x14ac:dyDescent="0.3">
      <c r="A44" s="50" t="s">
        <v>416</v>
      </c>
      <c r="B44" s="50" t="s">
        <v>378</v>
      </c>
      <c r="C44" s="50"/>
      <c r="D44" s="51">
        <v>0.15</v>
      </c>
      <c r="E44" s="26">
        <v>0.10299999999999999</v>
      </c>
      <c r="F44" s="26">
        <v>0.20699999999999999</v>
      </c>
      <c r="G44" s="26" t="s">
        <v>297</v>
      </c>
    </row>
    <row r="45" spans="1:7" ht="49.95" customHeight="1" x14ac:dyDescent="0.3">
      <c r="A45" s="58" t="s">
        <v>417</v>
      </c>
      <c r="B45" s="58" t="s">
        <v>380</v>
      </c>
      <c r="C45" s="58"/>
      <c r="D45" s="52">
        <v>0.23699999999999999</v>
      </c>
      <c r="E45" s="26">
        <v>0.16500000000000001</v>
      </c>
      <c r="F45" s="26">
        <v>0.32400000000000001</v>
      </c>
      <c r="G45" s="26" t="s">
        <v>297</v>
      </c>
    </row>
    <row r="46" spans="1:7" ht="49.95" customHeight="1" x14ac:dyDescent="0.3">
      <c r="A46" s="50" t="s">
        <v>418</v>
      </c>
      <c r="B46" s="50" t="s">
        <v>382</v>
      </c>
      <c r="C46" s="50" t="s">
        <v>383</v>
      </c>
      <c r="D46" s="51">
        <v>0.56899999999999995</v>
      </c>
      <c r="E46" s="26">
        <v>0.38900000000000001</v>
      </c>
      <c r="F46" s="26">
        <v>0.72699999999999998</v>
      </c>
      <c r="G46" s="26" t="s">
        <v>297</v>
      </c>
    </row>
    <row r="47" spans="1:7" ht="49.95" customHeight="1" x14ac:dyDescent="0.3">
      <c r="A47" s="58" t="s">
        <v>419</v>
      </c>
      <c r="B47" s="58" t="s">
        <v>385</v>
      </c>
      <c r="C47" s="58" t="s">
        <v>329</v>
      </c>
      <c r="D47" s="52">
        <v>0.56999999999999995</v>
      </c>
      <c r="E47" s="26">
        <v>0.39100000000000001</v>
      </c>
      <c r="F47" s="26">
        <v>0.72699999999999998</v>
      </c>
      <c r="G47" s="26" t="s">
        <v>297</v>
      </c>
    </row>
    <row r="48" spans="1:7" ht="49.95" customHeight="1" x14ac:dyDescent="0.3">
      <c r="A48" s="50" t="s">
        <v>420</v>
      </c>
      <c r="B48" s="50" t="s">
        <v>387</v>
      </c>
      <c r="C48" s="50" t="s">
        <v>329</v>
      </c>
      <c r="D48" s="51">
        <v>0.59099999999999997</v>
      </c>
      <c r="E48" s="26">
        <v>0.41399999999999998</v>
      </c>
      <c r="F48" s="26">
        <v>0.74299999999999999</v>
      </c>
      <c r="G48" s="26" t="s">
        <v>297</v>
      </c>
    </row>
    <row r="49" spans="1:7" ht="49.95" customHeight="1" x14ac:dyDescent="0.3">
      <c r="A49" s="58" t="s">
        <v>421</v>
      </c>
      <c r="B49" s="58" t="s">
        <v>389</v>
      </c>
      <c r="C49" s="58" t="s">
        <v>329</v>
      </c>
      <c r="D49" s="52">
        <v>0.63100000000000001</v>
      </c>
      <c r="E49" s="26">
        <v>0.45600000000000002</v>
      </c>
      <c r="F49" s="26">
        <v>0.78200000000000003</v>
      </c>
      <c r="G49" s="26" t="s">
        <v>297</v>
      </c>
    </row>
    <row r="50" spans="1:7" ht="49.95" customHeight="1" x14ac:dyDescent="0.3">
      <c r="A50" s="58" t="s">
        <v>422</v>
      </c>
      <c r="B50" s="58" t="s">
        <v>354</v>
      </c>
      <c r="C50" s="58" t="s">
        <v>355</v>
      </c>
      <c r="D50" s="52">
        <v>2.4E-2</v>
      </c>
      <c r="E50" s="26">
        <v>1.4E-2</v>
      </c>
      <c r="F50" s="26">
        <v>3.9E-2</v>
      </c>
      <c r="G50" s="26" t="s">
        <v>297</v>
      </c>
    </row>
    <row r="51" spans="1:7" ht="49.95" customHeight="1" x14ac:dyDescent="0.3">
      <c r="A51" s="50" t="s">
        <v>423</v>
      </c>
      <c r="B51" s="50" t="s">
        <v>357</v>
      </c>
      <c r="C51" s="50" t="s">
        <v>358</v>
      </c>
      <c r="D51" s="51">
        <v>0.57099999999999995</v>
      </c>
      <c r="E51" s="26">
        <v>0.39800000000000002</v>
      </c>
      <c r="F51" s="26">
        <v>0.72499999999999998</v>
      </c>
      <c r="G51" s="26" t="s">
        <v>297</v>
      </c>
    </row>
    <row r="52" spans="1:7" ht="49.95" customHeight="1" x14ac:dyDescent="0.3">
      <c r="A52" s="58" t="s">
        <v>424</v>
      </c>
      <c r="B52" s="58" t="s">
        <v>360</v>
      </c>
      <c r="C52" s="58" t="s">
        <v>329</v>
      </c>
      <c r="D52" s="52">
        <v>0.57299999999999995</v>
      </c>
      <c r="E52" s="26">
        <v>0.40300000000000002</v>
      </c>
      <c r="F52" s="26">
        <v>0.72599999999999998</v>
      </c>
      <c r="G52" s="26" t="s">
        <v>297</v>
      </c>
    </row>
    <row r="53" spans="1:7" ht="49.95" customHeight="1" x14ac:dyDescent="0.3">
      <c r="A53" s="50" t="s">
        <v>425</v>
      </c>
      <c r="B53" s="50" t="s">
        <v>362</v>
      </c>
      <c r="C53" s="50" t="s">
        <v>329</v>
      </c>
      <c r="D53" s="51">
        <v>0.59299999999999997</v>
      </c>
      <c r="E53" s="26">
        <v>0.42399999999999999</v>
      </c>
      <c r="F53" s="26">
        <v>0.74199999999999999</v>
      </c>
      <c r="G53" s="26" t="s">
        <v>297</v>
      </c>
    </row>
    <row r="54" spans="1:7" ht="49.95" customHeight="1" x14ac:dyDescent="0.3">
      <c r="A54" s="58" t="s">
        <v>426</v>
      </c>
      <c r="B54" s="58" t="s">
        <v>364</v>
      </c>
      <c r="C54" s="58" t="s">
        <v>329</v>
      </c>
      <c r="D54" s="52">
        <v>0.63300000000000001</v>
      </c>
      <c r="E54" s="26">
        <v>0.46200000000000002</v>
      </c>
      <c r="F54" s="26">
        <v>0.78100000000000003</v>
      </c>
      <c r="G54" s="26" t="s">
        <v>297</v>
      </c>
    </row>
    <row r="55" spans="1:7" ht="49.95" customHeight="1" x14ac:dyDescent="0.3">
      <c r="A55" s="50" t="s">
        <v>427</v>
      </c>
      <c r="B55" s="50" t="s">
        <v>366</v>
      </c>
      <c r="C55" s="50" t="s">
        <v>367</v>
      </c>
      <c r="D55" s="51">
        <v>4.0000000000000001E-3</v>
      </c>
      <c r="E55" s="26">
        <v>1E-3</v>
      </c>
      <c r="F55" s="26">
        <v>8.0000000000000002E-3</v>
      </c>
      <c r="G55" s="26" t="s">
        <v>297</v>
      </c>
    </row>
    <row r="56" spans="1:7" ht="49.95" customHeight="1" x14ac:dyDescent="0.3">
      <c r="A56" s="58" t="s">
        <v>428</v>
      </c>
      <c r="B56" s="58" t="s">
        <v>316</v>
      </c>
      <c r="C56" s="58" t="s">
        <v>317</v>
      </c>
      <c r="D56" s="52">
        <v>5.1999999999999998E-2</v>
      </c>
      <c r="E56" s="26">
        <v>3.4000000000000002E-2</v>
      </c>
      <c r="F56" s="26">
        <v>7.5999999999999998E-2</v>
      </c>
      <c r="G56" s="26" t="s">
        <v>297</v>
      </c>
    </row>
    <row r="57" spans="1:7" ht="49.95" customHeight="1" x14ac:dyDescent="0.3">
      <c r="A57" s="50" t="s">
        <v>429</v>
      </c>
      <c r="B57" s="50" t="s">
        <v>370</v>
      </c>
      <c r="C57" s="50" t="s">
        <v>371</v>
      </c>
      <c r="D57" s="51">
        <v>0.14899999999999999</v>
      </c>
      <c r="E57" s="26">
        <v>0.10100000000000001</v>
      </c>
      <c r="F57" s="26">
        <v>0.20899999999999999</v>
      </c>
      <c r="G57" s="26" t="s">
        <v>297</v>
      </c>
    </row>
    <row r="58" spans="1:7" ht="49.95" customHeight="1" x14ac:dyDescent="0.3">
      <c r="A58" s="50" t="s">
        <v>430</v>
      </c>
      <c r="B58" s="50" t="s">
        <v>373</v>
      </c>
      <c r="C58" s="50" t="s">
        <v>374</v>
      </c>
      <c r="D58" s="51">
        <v>0.104</v>
      </c>
      <c r="E58" s="26">
        <v>7.0000000000000007E-2</v>
      </c>
      <c r="F58" s="26">
        <v>0.14699999999999999</v>
      </c>
      <c r="G58" s="26" t="s">
        <v>297</v>
      </c>
    </row>
    <row r="59" spans="1:7" ht="49.95" customHeight="1" x14ac:dyDescent="0.3">
      <c r="A59" s="58" t="s">
        <v>431</v>
      </c>
      <c r="B59" s="58" t="s">
        <v>376</v>
      </c>
      <c r="C59" s="58"/>
      <c r="D59" s="52">
        <v>0.108</v>
      </c>
      <c r="E59" s="26">
        <v>7.1999999999999995E-2</v>
      </c>
      <c r="F59" s="26">
        <v>0.151</v>
      </c>
      <c r="G59" s="26" t="s">
        <v>297</v>
      </c>
    </row>
    <row r="60" spans="1:7" ht="49.95" customHeight="1" x14ac:dyDescent="0.3">
      <c r="A60" s="50" t="s">
        <v>432</v>
      </c>
      <c r="B60" s="50" t="s">
        <v>378</v>
      </c>
      <c r="C60" s="50"/>
      <c r="D60" s="51">
        <v>0.15</v>
      </c>
      <c r="E60" s="26">
        <v>0.10299999999999999</v>
      </c>
      <c r="F60" s="26">
        <v>0.20699999999999999</v>
      </c>
      <c r="G60" s="26" t="s">
        <v>297</v>
      </c>
    </row>
    <row r="61" spans="1:7" ht="49.95" customHeight="1" x14ac:dyDescent="0.3">
      <c r="A61" s="58" t="s">
        <v>433</v>
      </c>
      <c r="B61" s="58" t="s">
        <v>380</v>
      </c>
      <c r="C61" s="58"/>
      <c r="D61" s="52">
        <v>0.23699999999999999</v>
      </c>
      <c r="E61" s="26">
        <v>0.16500000000000001</v>
      </c>
      <c r="F61" s="26">
        <v>0.32400000000000001</v>
      </c>
      <c r="G61" s="26" t="s">
        <v>297</v>
      </c>
    </row>
    <row r="62" spans="1:7" ht="49.95" customHeight="1" x14ac:dyDescent="0.3">
      <c r="A62" s="50" t="s">
        <v>434</v>
      </c>
      <c r="B62" s="50" t="s">
        <v>382</v>
      </c>
      <c r="C62" s="50" t="s">
        <v>383</v>
      </c>
      <c r="D62" s="51">
        <v>0.56899999999999995</v>
      </c>
      <c r="E62" s="26">
        <v>0.38900000000000001</v>
      </c>
      <c r="F62" s="26">
        <v>0.72699999999999998</v>
      </c>
      <c r="G62" s="26" t="s">
        <v>297</v>
      </c>
    </row>
    <row r="63" spans="1:7" ht="49.95" customHeight="1" x14ac:dyDescent="0.3">
      <c r="A63" s="58" t="s">
        <v>435</v>
      </c>
      <c r="B63" s="58" t="s">
        <v>385</v>
      </c>
      <c r="C63" s="58" t="s">
        <v>329</v>
      </c>
      <c r="D63" s="52">
        <v>0.56999999999999995</v>
      </c>
      <c r="E63" s="26">
        <v>0.39100000000000001</v>
      </c>
      <c r="F63" s="26">
        <v>0.72699999999999998</v>
      </c>
      <c r="G63" s="26" t="s">
        <v>297</v>
      </c>
    </row>
    <row r="64" spans="1:7" ht="49.95" customHeight="1" x14ac:dyDescent="0.3">
      <c r="A64" s="50" t="s">
        <v>436</v>
      </c>
      <c r="B64" s="50" t="s">
        <v>387</v>
      </c>
      <c r="C64" s="50" t="s">
        <v>329</v>
      </c>
      <c r="D64" s="51">
        <v>0.59099999999999997</v>
      </c>
      <c r="E64" s="26">
        <v>0.41399999999999998</v>
      </c>
      <c r="F64" s="26">
        <v>0.74299999999999999</v>
      </c>
      <c r="G64" s="26" t="s">
        <v>297</v>
      </c>
    </row>
    <row r="65" spans="1:7" ht="49.95" customHeight="1" x14ac:dyDescent="0.3">
      <c r="A65" s="58" t="s">
        <v>437</v>
      </c>
      <c r="B65" s="58" t="s">
        <v>389</v>
      </c>
      <c r="C65" s="58" t="s">
        <v>329</v>
      </c>
      <c r="D65" s="52">
        <v>0.63100000000000001</v>
      </c>
      <c r="E65" s="26">
        <v>0.45600000000000002</v>
      </c>
      <c r="F65" s="26">
        <v>0.78200000000000003</v>
      </c>
      <c r="G65" s="26" t="s">
        <v>297</v>
      </c>
    </row>
    <row r="66" spans="1:7" ht="49.95" customHeight="1" x14ac:dyDescent="0.3">
      <c r="A66" s="58" t="s">
        <v>438</v>
      </c>
      <c r="B66" s="58" t="s">
        <v>354</v>
      </c>
      <c r="C66" s="58" t="s">
        <v>355</v>
      </c>
      <c r="D66" s="52">
        <v>2.4E-2</v>
      </c>
      <c r="E66" s="26">
        <v>1.4E-2</v>
      </c>
      <c r="F66" s="26">
        <v>3.9E-2</v>
      </c>
      <c r="G66" s="26" t="s">
        <v>297</v>
      </c>
    </row>
    <row r="67" spans="1:7" ht="49.95" customHeight="1" x14ac:dyDescent="0.3">
      <c r="A67" s="50" t="s">
        <v>439</v>
      </c>
      <c r="B67" s="50" t="s">
        <v>357</v>
      </c>
      <c r="C67" s="50" t="s">
        <v>358</v>
      </c>
      <c r="D67" s="51">
        <v>0.57099999999999995</v>
      </c>
      <c r="E67" s="26">
        <v>0.39800000000000002</v>
      </c>
      <c r="F67" s="26">
        <v>0.72499999999999998</v>
      </c>
      <c r="G67" s="26" t="s">
        <v>297</v>
      </c>
    </row>
    <row r="68" spans="1:7" ht="49.95" customHeight="1" x14ac:dyDescent="0.3">
      <c r="A68" s="58" t="s">
        <v>440</v>
      </c>
      <c r="B68" s="58" t="s">
        <v>360</v>
      </c>
      <c r="C68" s="58" t="s">
        <v>329</v>
      </c>
      <c r="D68" s="52">
        <v>0.57299999999999995</v>
      </c>
      <c r="E68" s="26">
        <v>0.40300000000000002</v>
      </c>
      <c r="F68" s="26">
        <v>0.72599999999999998</v>
      </c>
      <c r="G68" s="26" t="s">
        <v>297</v>
      </c>
    </row>
    <row r="69" spans="1:7" ht="49.95" customHeight="1" x14ac:dyDescent="0.3">
      <c r="A69" s="50" t="s">
        <v>441</v>
      </c>
      <c r="B69" s="50" t="s">
        <v>362</v>
      </c>
      <c r="C69" s="50" t="s">
        <v>329</v>
      </c>
      <c r="D69" s="51">
        <v>0.59299999999999997</v>
      </c>
      <c r="E69" s="26">
        <v>0.42399999999999999</v>
      </c>
      <c r="F69" s="26">
        <v>0.74199999999999999</v>
      </c>
      <c r="G69" s="26" t="s">
        <v>297</v>
      </c>
    </row>
    <row r="70" spans="1:7" ht="49.95" customHeight="1" x14ac:dyDescent="0.3">
      <c r="A70" s="58" t="s">
        <v>442</v>
      </c>
      <c r="B70" s="58" t="s">
        <v>364</v>
      </c>
      <c r="C70" s="58" t="s">
        <v>329</v>
      </c>
      <c r="D70" s="52">
        <v>0.63300000000000001</v>
      </c>
      <c r="E70" s="26">
        <v>0.46200000000000002</v>
      </c>
      <c r="F70" s="26">
        <v>0.78100000000000003</v>
      </c>
      <c r="G70" s="26" t="s">
        <v>297</v>
      </c>
    </row>
    <row r="71" spans="1:7" x14ac:dyDescent="0.3">
      <c r="A71" s="105" t="s">
        <v>307</v>
      </c>
      <c r="B71" s="105"/>
      <c r="C71" s="105"/>
      <c r="D71" s="62">
        <f>AVERAGE(D2:D70)</f>
        <v>0.35695652173913045</v>
      </c>
    </row>
  </sheetData>
  <mergeCells count="1">
    <mergeCell ref="A71:C7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179" workbookViewId="0">
      <selection activeCell="A3" sqref="A3:D3"/>
    </sheetView>
  </sheetViews>
  <sheetFormatPr defaultColWidth="11.19921875" defaultRowHeight="15.6" x14ac:dyDescent="0.3"/>
  <cols>
    <col min="3" max="3" width="25.296875" customWidth="1"/>
  </cols>
  <sheetData>
    <row r="1" spans="1:7" ht="31.2" x14ac:dyDescent="0.3">
      <c r="A1" s="56" t="s">
        <v>3</v>
      </c>
      <c r="B1" s="56" t="s">
        <v>4</v>
      </c>
      <c r="C1" s="56" t="s">
        <v>5</v>
      </c>
      <c r="D1" s="38" t="s">
        <v>77</v>
      </c>
      <c r="E1" s="38" t="s">
        <v>305</v>
      </c>
      <c r="F1" s="38" t="s">
        <v>306</v>
      </c>
      <c r="G1" s="38" t="s">
        <v>298</v>
      </c>
    </row>
    <row r="2" spans="1:7" ht="62.4" x14ac:dyDescent="0.3">
      <c r="A2" s="58" t="s">
        <v>443</v>
      </c>
      <c r="B2" s="58" t="s">
        <v>444</v>
      </c>
      <c r="C2" s="58" t="s">
        <v>445</v>
      </c>
      <c r="D2" s="52">
        <v>0.32400000000000001</v>
      </c>
      <c r="E2" s="26">
        <v>0.22</v>
      </c>
      <c r="F2" s="26">
        <v>0.442</v>
      </c>
      <c r="G2" s="26" t="s">
        <v>297</v>
      </c>
    </row>
    <row r="3" spans="1:7" x14ac:dyDescent="0.3">
      <c r="A3" s="105" t="s">
        <v>307</v>
      </c>
      <c r="B3" s="105"/>
      <c r="C3" s="105"/>
      <c r="D3" s="62">
        <f>AVERAGE(D2)</f>
        <v>0.32400000000000001</v>
      </c>
    </row>
  </sheetData>
  <mergeCells count="1">
    <mergeCell ref="A3:C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88" workbookViewId="0">
      <selection activeCell="D2" sqref="D2"/>
    </sheetView>
  </sheetViews>
  <sheetFormatPr defaultColWidth="11.19921875" defaultRowHeight="15.6" x14ac:dyDescent="0.3"/>
  <cols>
    <col min="3" max="3" width="24.796875" customWidth="1"/>
  </cols>
  <sheetData>
    <row r="1" spans="1:7" ht="31.2" x14ac:dyDescent="0.3">
      <c r="A1" s="56" t="s">
        <v>3</v>
      </c>
      <c r="B1" s="56" t="s">
        <v>4</v>
      </c>
      <c r="C1" s="56" t="s">
        <v>5</v>
      </c>
      <c r="D1" s="38" t="s">
        <v>77</v>
      </c>
      <c r="E1" s="38" t="s">
        <v>305</v>
      </c>
      <c r="F1" s="38" t="s">
        <v>306</v>
      </c>
      <c r="G1" s="38" t="s">
        <v>298</v>
      </c>
    </row>
    <row r="2" spans="1:7" ht="93.6" x14ac:dyDescent="0.3">
      <c r="A2" s="58"/>
      <c r="B2" s="58" t="s">
        <v>446</v>
      </c>
      <c r="C2" s="58" t="s">
        <v>447</v>
      </c>
      <c r="D2" s="52">
        <v>1.9E-2</v>
      </c>
      <c r="E2" s="26">
        <v>1.0999999999999999E-2</v>
      </c>
      <c r="F2" s="26">
        <v>3.3000000000000002E-2</v>
      </c>
      <c r="G2" s="26" t="s">
        <v>297</v>
      </c>
    </row>
    <row r="3" spans="1:7" ht="109.2" x14ac:dyDescent="0.3">
      <c r="A3" s="21"/>
      <c r="B3" s="40" t="s">
        <v>448</v>
      </c>
      <c r="C3" s="40" t="s">
        <v>449</v>
      </c>
      <c r="D3" s="30">
        <v>0.22500000000000001</v>
      </c>
      <c r="E3" s="26">
        <v>0.153</v>
      </c>
      <c r="F3" s="26">
        <v>0.31</v>
      </c>
      <c r="G3" s="26" t="s">
        <v>297</v>
      </c>
    </row>
    <row r="4" spans="1:7" ht="93.6" x14ac:dyDescent="0.3">
      <c r="A4" s="21"/>
      <c r="B4" s="40" t="s">
        <v>450</v>
      </c>
      <c r="C4" s="64" t="s">
        <v>451</v>
      </c>
      <c r="D4" s="30">
        <v>0.40799999999999997</v>
      </c>
      <c r="E4" s="26">
        <v>0.27300000000000002</v>
      </c>
      <c r="F4" s="26">
        <v>0.55600000000000005</v>
      </c>
      <c r="G4" s="26" t="s">
        <v>297</v>
      </c>
    </row>
    <row r="5" spans="1:7" x14ac:dyDescent="0.3">
      <c r="A5" s="105" t="s">
        <v>307</v>
      </c>
      <c r="B5" s="105"/>
      <c r="C5" s="105"/>
      <c r="D5" s="62">
        <f>AVERAGE(D2:D4)</f>
        <v>0.2173333333333333</v>
      </c>
    </row>
  </sheetData>
  <mergeCells count="1">
    <mergeCell ref="A5:C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66" workbookViewId="0">
      <selection activeCell="E8" sqref="E8"/>
    </sheetView>
  </sheetViews>
  <sheetFormatPr defaultColWidth="11.19921875" defaultRowHeight="15.6" x14ac:dyDescent="0.3"/>
  <cols>
    <col min="3" max="3" width="37.69921875" customWidth="1"/>
  </cols>
  <sheetData>
    <row r="1" spans="1:7" ht="31.2" x14ac:dyDescent="0.3">
      <c r="A1" s="56" t="s">
        <v>3</v>
      </c>
      <c r="B1" s="56" t="s">
        <v>4</v>
      </c>
      <c r="C1" s="56" t="s">
        <v>5</v>
      </c>
      <c r="D1" s="38" t="s">
        <v>77</v>
      </c>
      <c r="E1" s="38" t="s">
        <v>305</v>
      </c>
      <c r="F1" s="38" t="s">
        <v>306</v>
      </c>
      <c r="G1" s="38" t="s">
        <v>298</v>
      </c>
    </row>
    <row r="2" spans="1:7" ht="31.2" x14ac:dyDescent="0.3">
      <c r="A2" s="58" t="s">
        <v>452</v>
      </c>
      <c r="B2" s="58" t="s">
        <v>452</v>
      </c>
      <c r="C2" s="58" t="s">
        <v>453</v>
      </c>
      <c r="D2" s="52">
        <v>5.8000000000000003E-2</v>
      </c>
      <c r="E2" s="26">
        <v>3.5000000000000003E-2</v>
      </c>
      <c r="F2" s="26">
        <v>0.09</v>
      </c>
      <c r="G2" s="26" t="s">
        <v>297</v>
      </c>
    </row>
    <row r="3" spans="1:7" ht="62.4" x14ac:dyDescent="0.3">
      <c r="A3" s="39" t="s">
        <v>454</v>
      </c>
      <c r="B3" s="39" t="s">
        <v>455</v>
      </c>
      <c r="C3" s="39" t="s">
        <v>456</v>
      </c>
      <c r="D3" s="30">
        <v>2.7E-2</v>
      </c>
      <c r="E3" s="26">
        <v>1.4999999999999999E-2</v>
      </c>
      <c r="F3" s="26">
        <v>4.2000000000000003E-2</v>
      </c>
      <c r="G3" s="26" t="s">
        <v>297</v>
      </c>
    </row>
    <row r="4" spans="1:7" ht="78" x14ac:dyDescent="0.3">
      <c r="A4" s="39" t="s">
        <v>457</v>
      </c>
      <c r="B4" s="39" t="s">
        <v>458</v>
      </c>
      <c r="C4" s="39" t="s">
        <v>459</v>
      </c>
      <c r="D4" s="30">
        <v>0.188</v>
      </c>
      <c r="E4" s="26">
        <v>0.125</v>
      </c>
      <c r="F4" s="26">
        <v>0.26700000000000002</v>
      </c>
      <c r="G4" s="26" t="s">
        <v>297</v>
      </c>
    </row>
    <row r="5" spans="1:7" x14ac:dyDescent="0.3">
      <c r="A5" s="105" t="s">
        <v>307</v>
      </c>
      <c r="B5" s="105"/>
      <c r="C5" s="105"/>
      <c r="D5" s="62">
        <f>AVERAGE(D2:D4)</f>
        <v>9.1000000000000011E-2</v>
      </c>
    </row>
  </sheetData>
  <mergeCells count="1">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zoomScale="72" zoomScaleNormal="72" workbookViewId="0">
      <selection activeCell="L13" sqref="L13"/>
    </sheetView>
  </sheetViews>
  <sheetFormatPr defaultColWidth="11.19921875" defaultRowHeight="15.6" x14ac:dyDescent="0.3"/>
  <cols>
    <col min="1" max="1" width="41.796875" customWidth="1"/>
    <col min="2" max="2" width="13.796875" customWidth="1"/>
    <col min="3" max="3" width="14.796875" bestFit="1" customWidth="1"/>
    <col min="4" max="4" width="14.19921875" bestFit="1" customWidth="1"/>
    <col min="5" max="5" width="14.796875" bestFit="1" customWidth="1"/>
    <col min="6" max="6" width="1.69921875" customWidth="1"/>
    <col min="7" max="7" width="15.69921875" customWidth="1"/>
    <col min="8" max="8" width="18.5" customWidth="1"/>
    <col min="9" max="9" width="23.5" customWidth="1"/>
    <col min="10" max="10" width="14" customWidth="1"/>
    <col min="12" max="12" width="12.69921875" customWidth="1"/>
    <col min="13" max="13" width="13.5" customWidth="1"/>
  </cols>
  <sheetData>
    <row r="1" spans="1:18" ht="33.6" x14ac:dyDescent="0.65">
      <c r="A1" s="12" t="s">
        <v>226</v>
      </c>
      <c r="B1" s="9"/>
      <c r="C1" s="7"/>
      <c r="D1" s="7"/>
      <c r="E1" s="7"/>
      <c r="F1" s="7"/>
      <c r="G1" s="7"/>
      <c r="H1" s="7"/>
      <c r="I1" s="7"/>
      <c r="J1" s="7"/>
      <c r="K1" s="7"/>
      <c r="L1" s="7"/>
      <c r="M1" s="7"/>
      <c r="N1" s="7"/>
      <c r="O1" s="7"/>
      <c r="P1" s="7"/>
      <c r="Q1" s="7"/>
      <c r="R1" s="7"/>
    </row>
    <row r="2" spans="1:18" ht="23.4" x14ac:dyDescent="0.3">
      <c r="A2" s="10" t="s">
        <v>227</v>
      </c>
      <c r="B2" s="11"/>
      <c r="C2" s="8"/>
      <c r="D2" s="8"/>
      <c r="E2" s="8"/>
      <c r="F2" s="8"/>
      <c r="G2" s="8"/>
      <c r="H2" s="8"/>
      <c r="I2" s="8"/>
      <c r="J2" s="8"/>
      <c r="K2" s="8"/>
      <c r="L2" s="8"/>
      <c r="M2" s="8"/>
      <c r="N2" s="8"/>
      <c r="O2" s="8"/>
      <c r="P2" s="8"/>
      <c r="Q2" s="8"/>
      <c r="R2" s="8"/>
    </row>
    <row r="3" spans="1:18" x14ac:dyDescent="0.3">
      <c r="A3" s="89"/>
      <c r="B3" s="89"/>
      <c r="C3" s="89"/>
      <c r="D3" s="89"/>
      <c r="E3" s="89"/>
      <c r="F3" s="89"/>
      <c r="G3" s="89"/>
      <c r="H3" s="89"/>
      <c r="I3" s="89"/>
      <c r="J3" s="89"/>
      <c r="K3" s="89"/>
      <c r="L3" s="89"/>
      <c r="M3" s="89"/>
      <c r="N3" s="89"/>
      <c r="O3" s="89"/>
      <c r="P3" s="89"/>
    </row>
    <row r="4" spans="1:18" ht="46.8" x14ac:dyDescent="0.3">
      <c r="A4" s="89"/>
      <c r="B4" s="99" t="s">
        <v>78</v>
      </c>
      <c r="C4" s="99"/>
      <c r="D4" s="100" t="s">
        <v>79</v>
      </c>
      <c r="E4" s="100"/>
      <c r="F4" s="87"/>
      <c r="G4" s="38" t="s">
        <v>321</v>
      </c>
      <c r="H4" s="88" t="s">
        <v>460</v>
      </c>
      <c r="I4" s="88" t="s">
        <v>461</v>
      </c>
      <c r="J4" s="88" t="s">
        <v>462</v>
      </c>
      <c r="K4" s="89"/>
      <c r="L4" s="89"/>
      <c r="M4" s="89"/>
      <c r="N4" s="89"/>
      <c r="O4" s="89"/>
      <c r="P4" s="89"/>
    </row>
    <row r="5" spans="1:18" x14ac:dyDescent="0.3">
      <c r="A5" s="65" t="s">
        <v>80</v>
      </c>
      <c r="B5" s="14" t="s">
        <v>228</v>
      </c>
      <c r="C5" s="75" t="s">
        <v>81</v>
      </c>
      <c r="D5" s="76" t="s">
        <v>228</v>
      </c>
      <c r="E5" s="76" t="s">
        <v>81</v>
      </c>
      <c r="F5" s="77"/>
      <c r="G5" s="78"/>
      <c r="H5" s="79"/>
      <c r="I5" s="79"/>
      <c r="J5" s="80"/>
      <c r="K5" s="89"/>
      <c r="L5" s="89"/>
      <c r="M5" s="89"/>
      <c r="N5" s="89"/>
      <c r="O5" s="89"/>
      <c r="P5" s="89"/>
    </row>
    <row r="6" spans="1:18" x14ac:dyDescent="0.3">
      <c r="A6" s="66" t="s">
        <v>82</v>
      </c>
      <c r="B6" s="15" t="s">
        <v>83</v>
      </c>
      <c r="C6" s="81" t="s">
        <v>83</v>
      </c>
      <c r="D6" s="82" t="s">
        <v>84</v>
      </c>
      <c r="E6" s="82" t="s">
        <v>85</v>
      </c>
      <c r="F6" s="77"/>
      <c r="G6" s="78"/>
      <c r="H6" s="79"/>
      <c r="I6" s="79"/>
      <c r="J6" s="80"/>
      <c r="K6" s="89"/>
      <c r="L6" s="89"/>
      <c r="M6" s="89"/>
      <c r="N6" s="89"/>
      <c r="O6" s="89"/>
      <c r="P6" s="89"/>
    </row>
    <row r="7" spans="1:18" x14ac:dyDescent="0.3">
      <c r="A7" s="67" t="s">
        <v>86</v>
      </c>
      <c r="B7" s="16"/>
      <c r="C7" s="81"/>
      <c r="D7" s="82"/>
      <c r="E7" s="82"/>
      <c r="F7" s="77"/>
      <c r="G7" s="78">
        <f>'Lymphatic system'!D3</f>
        <v>5.0999999999999997E-2</v>
      </c>
      <c r="H7" s="83">
        <f>G7*0.73</f>
        <v>3.7229999999999999E-2</v>
      </c>
      <c r="I7" s="84">
        <f>G7*0.32</f>
        <v>1.6319999999999998E-2</v>
      </c>
      <c r="J7" s="84">
        <f>(H7+I7)/2</f>
        <v>2.6775E-2</v>
      </c>
      <c r="K7" s="89"/>
      <c r="L7" s="97" t="s">
        <v>463</v>
      </c>
      <c r="M7" s="98">
        <f>AVERAGE(H7:H58)</f>
        <v>4.7719420552404947E-2</v>
      </c>
      <c r="N7" s="89"/>
      <c r="O7" s="89"/>
      <c r="P7" s="89"/>
    </row>
    <row r="8" spans="1:18" x14ac:dyDescent="0.3">
      <c r="A8" s="68" t="s">
        <v>254</v>
      </c>
      <c r="B8" s="13" t="s">
        <v>87</v>
      </c>
      <c r="C8" s="81" t="s">
        <v>88</v>
      </c>
      <c r="D8" s="82" t="s">
        <v>89</v>
      </c>
      <c r="E8" s="82" t="s">
        <v>90</v>
      </c>
      <c r="F8" s="77"/>
      <c r="G8" s="78"/>
      <c r="H8" s="85"/>
      <c r="I8" s="84"/>
      <c r="J8" s="84"/>
      <c r="K8" s="89"/>
      <c r="L8" s="97" t="s">
        <v>464</v>
      </c>
      <c r="M8" s="98">
        <f>AVERAGE(I7:I58)</f>
        <v>6.3868855741965977E-2</v>
      </c>
      <c r="N8" s="89"/>
      <c r="O8" s="89"/>
      <c r="P8" s="89"/>
    </row>
    <row r="9" spans="1:18" x14ac:dyDescent="0.3">
      <c r="A9" s="69" t="s">
        <v>91</v>
      </c>
      <c r="B9" s="74"/>
      <c r="C9" s="81"/>
      <c r="D9" s="82"/>
      <c r="E9" s="82"/>
      <c r="F9" s="77"/>
      <c r="G9" s="78">
        <f>'Cardiac disorder'!D4</f>
        <v>0.224</v>
      </c>
      <c r="H9" s="83">
        <f>G9*0.05</f>
        <v>1.1200000000000002E-2</v>
      </c>
      <c r="I9" s="84">
        <f>G9*0.91</f>
        <v>0.20384000000000002</v>
      </c>
      <c r="J9" s="84">
        <f>(H9+I9)/2</f>
        <v>0.10752</v>
      </c>
      <c r="K9" s="89"/>
      <c r="L9" s="97" t="s">
        <v>465</v>
      </c>
      <c r="M9" s="98">
        <f>SUM(M7:M8)</f>
        <v>0.11158827629437093</v>
      </c>
      <c r="N9" s="89">
        <f>M9/2</f>
        <v>5.5794138147185465E-2</v>
      </c>
      <c r="O9" s="89"/>
      <c r="P9" s="89"/>
    </row>
    <row r="10" spans="1:18" x14ac:dyDescent="0.3">
      <c r="A10" s="70" t="s">
        <v>255</v>
      </c>
      <c r="B10" s="13" t="s">
        <v>92</v>
      </c>
      <c r="C10" s="81" t="s">
        <v>93</v>
      </c>
      <c r="D10" s="82" t="s">
        <v>94</v>
      </c>
      <c r="E10" s="82" t="s">
        <v>95</v>
      </c>
      <c r="F10" s="77"/>
      <c r="G10" s="78"/>
      <c r="H10" s="85"/>
      <c r="I10" s="84"/>
      <c r="J10" s="84"/>
      <c r="K10" s="89"/>
      <c r="L10" s="97" t="s">
        <v>466</v>
      </c>
      <c r="M10" s="98">
        <f>M9/365</f>
        <v>3.0572130491608474E-4</v>
      </c>
      <c r="N10" s="89"/>
      <c r="O10" s="89"/>
      <c r="P10" s="89"/>
    </row>
    <row r="11" spans="1:18" x14ac:dyDescent="0.3">
      <c r="A11" s="69" t="s">
        <v>96</v>
      </c>
      <c r="B11" s="74"/>
      <c r="C11" s="81"/>
      <c r="D11" s="82"/>
      <c r="E11" s="82"/>
      <c r="F11" s="77"/>
      <c r="G11" s="96">
        <f>Ear!D46</f>
        <v>0.14018181818181816</v>
      </c>
      <c r="H11" s="83"/>
      <c r="I11" s="84"/>
      <c r="J11" s="84">
        <f t="shared" ref="J11:J58" si="0">(H11+I11)/2</f>
        <v>0</v>
      </c>
      <c r="K11" s="89"/>
      <c r="L11" s="89"/>
      <c r="M11" s="89"/>
      <c r="N11" s="89"/>
      <c r="O11" s="89"/>
      <c r="P11" s="89"/>
    </row>
    <row r="12" spans="1:18" x14ac:dyDescent="0.3">
      <c r="A12" s="71" t="s">
        <v>256</v>
      </c>
      <c r="B12" s="74" t="s">
        <v>97</v>
      </c>
      <c r="C12" s="81" t="s">
        <v>98</v>
      </c>
      <c r="D12" s="82" t="s">
        <v>99</v>
      </c>
      <c r="E12" s="82" t="s">
        <v>100</v>
      </c>
      <c r="F12" s="77"/>
      <c r="G12" s="78"/>
      <c r="H12" s="79"/>
      <c r="I12" s="84"/>
      <c r="J12" s="80"/>
      <c r="K12" s="89"/>
      <c r="L12" s="89"/>
      <c r="M12" s="89"/>
      <c r="N12" s="89"/>
      <c r="O12" s="89"/>
      <c r="P12" s="89"/>
    </row>
    <row r="13" spans="1:18" x14ac:dyDescent="0.3">
      <c r="A13" s="71" t="s">
        <v>101</v>
      </c>
      <c r="B13" s="74" t="s">
        <v>102</v>
      </c>
      <c r="C13" s="81" t="s">
        <v>103</v>
      </c>
      <c r="D13" s="82" t="s">
        <v>104</v>
      </c>
      <c r="E13" s="82" t="s">
        <v>105</v>
      </c>
      <c r="F13" s="77"/>
      <c r="G13" s="78"/>
      <c r="H13" s="79"/>
      <c r="I13" s="84"/>
      <c r="J13" s="80"/>
      <c r="K13" s="89"/>
      <c r="L13" s="89"/>
      <c r="M13" s="89"/>
      <c r="N13" s="89"/>
      <c r="O13" s="89"/>
      <c r="P13" s="89"/>
    </row>
    <row r="14" spans="1:18" x14ac:dyDescent="0.3">
      <c r="A14" s="70" t="s">
        <v>106</v>
      </c>
      <c r="B14" s="13" t="s">
        <v>92</v>
      </c>
      <c r="C14" s="81" t="s">
        <v>107</v>
      </c>
      <c r="D14" s="82" t="s">
        <v>94</v>
      </c>
      <c r="E14" s="82" t="s">
        <v>108</v>
      </c>
      <c r="F14" s="77"/>
      <c r="G14" s="86"/>
      <c r="H14" s="79"/>
      <c r="I14" s="84"/>
      <c r="J14" s="80"/>
      <c r="K14" s="89"/>
      <c r="L14" s="89"/>
      <c r="M14" s="89"/>
      <c r="N14" s="89"/>
      <c r="O14" s="89"/>
      <c r="P14" s="89"/>
    </row>
    <row r="15" spans="1:18" x14ac:dyDescent="0.3">
      <c r="A15" s="69" t="s">
        <v>109</v>
      </c>
      <c r="B15" s="74"/>
      <c r="C15" s="81"/>
      <c r="D15" s="82"/>
      <c r="E15" s="82"/>
      <c r="F15" s="77"/>
      <c r="G15" s="78"/>
      <c r="H15" s="79"/>
      <c r="I15" s="84"/>
      <c r="J15" s="80"/>
      <c r="K15" s="89"/>
      <c r="L15" s="89"/>
      <c r="M15" s="89"/>
      <c r="N15" s="89"/>
      <c r="O15" s="89"/>
      <c r="P15" s="89"/>
    </row>
    <row r="16" spans="1:18" x14ac:dyDescent="0.3">
      <c r="A16" s="70" t="s">
        <v>257</v>
      </c>
      <c r="B16" s="13" t="s">
        <v>97</v>
      </c>
      <c r="C16" s="81" t="s">
        <v>110</v>
      </c>
      <c r="D16" s="82" t="s">
        <v>111</v>
      </c>
      <c r="E16" s="82" t="s">
        <v>112</v>
      </c>
      <c r="F16" s="77"/>
      <c r="G16" s="78">
        <f>Eye!B3</f>
        <v>1.4999999999999999E-2</v>
      </c>
      <c r="H16" s="84">
        <f>G16*0.18</f>
        <v>2.6999999999999997E-3</v>
      </c>
      <c r="I16" s="84">
        <f>G16*0.24</f>
        <v>3.5999999999999999E-3</v>
      </c>
      <c r="J16" s="84">
        <f t="shared" si="0"/>
        <v>3.15E-3</v>
      </c>
      <c r="K16" s="93"/>
      <c r="L16" s="94"/>
      <c r="M16" s="89"/>
      <c r="N16" s="89"/>
      <c r="O16" s="89"/>
      <c r="P16" s="89"/>
    </row>
    <row r="17" spans="1:16" x14ac:dyDescent="0.3">
      <c r="A17" s="72" t="s">
        <v>113</v>
      </c>
      <c r="B17" s="74"/>
      <c r="C17" s="81"/>
      <c r="D17" s="82"/>
      <c r="E17" s="82"/>
      <c r="F17" s="77"/>
      <c r="G17" s="78"/>
      <c r="H17" s="84"/>
      <c r="I17" s="84"/>
      <c r="J17" s="84"/>
      <c r="K17" s="93"/>
      <c r="L17" s="94"/>
      <c r="M17" s="89"/>
      <c r="N17" s="89"/>
      <c r="O17" s="89"/>
      <c r="P17" s="89"/>
    </row>
    <row r="18" spans="1:16" x14ac:dyDescent="0.3">
      <c r="A18" s="71" t="s">
        <v>258</v>
      </c>
      <c r="B18" s="74" t="s">
        <v>114</v>
      </c>
      <c r="C18" s="81" t="s">
        <v>115</v>
      </c>
      <c r="D18" s="82" t="s">
        <v>116</v>
      </c>
      <c r="E18" s="82" t="s">
        <v>117</v>
      </c>
      <c r="F18" s="77"/>
      <c r="G18" s="86">
        <f>Gastro!D5</f>
        <v>0.2195</v>
      </c>
      <c r="H18" s="84">
        <f>G18*0.42</f>
        <v>9.2189999999999994E-2</v>
      </c>
      <c r="I18" s="84">
        <f>G18*0.52</f>
        <v>0.11414000000000001</v>
      </c>
      <c r="J18" s="84">
        <f t="shared" si="0"/>
        <v>0.10316500000000001</v>
      </c>
      <c r="K18" s="89"/>
      <c r="L18" s="89"/>
      <c r="M18" s="89"/>
      <c r="N18" s="89"/>
      <c r="O18" s="89"/>
      <c r="P18" s="89"/>
    </row>
    <row r="19" spans="1:16" x14ac:dyDescent="0.3">
      <c r="A19" s="71" t="s">
        <v>259</v>
      </c>
      <c r="B19" s="74" t="s">
        <v>118</v>
      </c>
      <c r="C19" s="81" t="s">
        <v>119</v>
      </c>
      <c r="D19" s="82" t="s">
        <v>116</v>
      </c>
      <c r="E19" s="82" t="s">
        <v>120</v>
      </c>
      <c r="F19" s="77"/>
      <c r="G19" s="86">
        <f>Gastro!D14</f>
        <v>0.14574999999999999</v>
      </c>
      <c r="H19" s="84">
        <f>G19*0.27</f>
        <v>3.9352499999999999E-2</v>
      </c>
      <c r="I19" s="84">
        <f>G19*0.37</f>
        <v>5.3927499999999996E-2</v>
      </c>
      <c r="J19" s="84">
        <f t="shared" si="0"/>
        <v>4.6640000000000001E-2</v>
      </c>
      <c r="K19" s="89"/>
      <c r="L19" s="89"/>
      <c r="M19" s="89"/>
      <c r="N19" s="89"/>
      <c r="O19" s="89"/>
      <c r="P19" s="89"/>
    </row>
    <row r="20" spans="1:16" x14ac:dyDescent="0.3">
      <c r="A20" s="71" t="s">
        <v>260</v>
      </c>
      <c r="B20" s="74" t="s">
        <v>121</v>
      </c>
      <c r="C20" s="81" t="s">
        <v>122</v>
      </c>
      <c r="D20" s="82" t="s">
        <v>87</v>
      </c>
      <c r="E20" s="82" t="s">
        <v>123</v>
      </c>
      <c r="F20" s="77"/>
      <c r="G20" s="78">
        <f>Gastro!D21</f>
        <v>0.112</v>
      </c>
      <c r="H20" s="84">
        <f>G20*0.56</f>
        <v>6.2720000000000012E-2</v>
      </c>
      <c r="I20" s="84">
        <f>G20*0.31</f>
        <v>3.4720000000000001E-2</v>
      </c>
      <c r="J20" s="84">
        <f t="shared" si="0"/>
        <v>4.8720000000000006E-2</v>
      </c>
      <c r="K20" s="89"/>
      <c r="L20" s="89"/>
      <c r="M20" s="89"/>
      <c r="N20" s="89"/>
      <c r="O20" s="89"/>
      <c r="P20" s="89"/>
    </row>
    <row r="21" spans="1:16" x14ac:dyDescent="0.3">
      <c r="A21" s="71" t="s">
        <v>261</v>
      </c>
      <c r="B21" s="74" t="s">
        <v>87</v>
      </c>
      <c r="C21" s="81" t="s">
        <v>124</v>
      </c>
      <c r="D21" s="82" t="s">
        <v>125</v>
      </c>
      <c r="E21" s="82" t="s">
        <v>126</v>
      </c>
      <c r="F21" s="77"/>
      <c r="G21" s="86">
        <f>Gastro!D26</f>
        <v>7.0000000000000007E-2</v>
      </c>
      <c r="H21" s="84">
        <f>G21*0.52</f>
        <v>3.6400000000000002E-2</v>
      </c>
      <c r="I21" s="84">
        <f>G21*0.68</f>
        <v>4.760000000000001E-2</v>
      </c>
      <c r="J21" s="84">
        <f t="shared" si="0"/>
        <v>4.200000000000001E-2</v>
      </c>
      <c r="K21" s="94"/>
      <c r="L21" s="89"/>
      <c r="M21" s="89"/>
      <c r="N21" s="89"/>
      <c r="O21" s="89"/>
      <c r="P21" s="89"/>
    </row>
    <row r="22" spans="1:16" x14ac:dyDescent="0.3">
      <c r="A22" s="71" t="s">
        <v>262</v>
      </c>
      <c r="B22" s="74" t="s">
        <v>127</v>
      </c>
      <c r="C22" s="81" t="s">
        <v>128</v>
      </c>
      <c r="D22" s="82" t="s">
        <v>129</v>
      </c>
      <c r="E22" s="82" t="s">
        <v>130</v>
      </c>
      <c r="F22" s="77"/>
      <c r="G22" s="86">
        <f>Gastro!D26</f>
        <v>7.0000000000000007E-2</v>
      </c>
      <c r="H22" s="84">
        <f>G22*0.34</f>
        <v>2.3800000000000005E-2</v>
      </c>
      <c r="I22" s="84">
        <f>G22*0.4</f>
        <v>2.8000000000000004E-2</v>
      </c>
      <c r="J22" s="84">
        <f t="shared" si="0"/>
        <v>2.5900000000000006E-2</v>
      </c>
      <c r="K22" s="89"/>
      <c r="L22" s="89"/>
      <c r="M22" s="89"/>
      <c r="N22" s="89"/>
      <c r="O22" s="89"/>
      <c r="P22" s="89"/>
    </row>
    <row r="23" spans="1:16" x14ac:dyDescent="0.3">
      <c r="A23" s="71" t="s">
        <v>263</v>
      </c>
      <c r="B23" s="74" t="s">
        <v>131</v>
      </c>
      <c r="C23" s="81" t="s">
        <v>132</v>
      </c>
      <c r="D23" s="82" t="s">
        <v>94</v>
      </c>
      <c r="E23" s="82" t="s">
        <v>133</v>
      </c>
      <c r="F23" s="77"/>
      <c r="G23" s="86">
        <f>Gastro!D26</f>
        <v>7.0000000000000007E-2</v>
      </c>
      <c r="H23" s="84">
        <f>G23*0.5</f>
        <v>3.5000000000000003E-2</v>
      </c>
      <c r="I23" s="84">
        <f>G23*0.75</f>
        <v>5.2500000000000005E-2</v>
      </c>
      <c r="J23" s="84">
        <f t="shared" si="0"/>
        <v>4.3750000000000004E-2</v>
      </c>
      <c r="K23" s="89"/>
      <c r="L23" s="89"/>
      <c r="M23" s="89"/>
      <c r="N23" s="89"/>
      <c r="O23" s="89"/>
      <c r="P23" s="89"/>
    </row>
    <row r="24" spans="1:16" x14ac:dyDescent="0.3">
      <c r="A24" s="70" t="s">
        <v>265</v>
      </c>
      <c r="B24" s="13" t="s">
        <v>134</v>
      </c>
      <c r="C24" s="81" t="s">
        <v>135</v>
      </c>
      <c r="D24" s="82" t="s">
        <v>136</v>
      </c>
      <c r="E24" s="82" t="s">
        <v>137</v>
      </c>
      <c r="F24" s="77"/>
      <c r="G24" s="78">
        <f>Gastro!D21</f>
        <v>0.112</v>
      </c>
      <c r="H24" s="84">
        <f>G24*0.49</f>
        <v>5.4879999999999998E-2</v>
      </c>
      <c r="I24" s="84">
        <f>G24*0.55</f>
        <v>6.1600000000000009E-2</v>
      </c>
      <c r="J24" s="84">
        <f t="shared" si="0"/>
        <v>5.824E-2</v>
      </c>
      <c r="K24" s="89"/>
      <c r="L24" s="89"/>
      <c r="M24" s="89"/>
      <c r="N24" s="89"/>
      <c r="O24" s="89"/>
      <c r="P24" s="89"/>
    </row>
    <row r="25" spans="1:16" x14ac:dyDescent="0.3">
      <c r="A25" s="69" t="s">
        <v>138</v>
      </c>
      <c r="B25" s="74"/>
      <c r="C25" s="81"/>
      <c r="D25" s="82"/>
      <c r="E25" s="82"/>
      <c r="F25" s="77"/>
      <c r="G25" s="78"/>
      <c r="H25" s="79"/>
      <c r="I25" s="84"/>
      <c r="J25" s="84"/>
      <c r="K25" s="89"/>
      <c r="L25" s="89"/>
      <c r="M25" s="89"/>
      <c r="N25" s="89"/>
      <c r="O25" s="89"/>
      <c r="P25" s="89"/>
    </row>
    <row r="26" spans="1:16" x14ac:dyDescent="0.3">
      <c r="A26" s="71" t="s">
        <v>264</v>
      </c>
      <c r="B26" s="74" t="s">
        <v>136</v>
      </c>
      <c r="C26" s="81" t="s">
        <v>139</v>
      </c>
      <c r="D26" s="82" t="s">
        <v>140</v>
      </c>
      <c r="E26" s="82" t="s">
        <v>141</v>
      </c>
      <c r="F26" s="77"/>
      <c r="G26" s="78">
        <f>'General disorders'!D4</f>
        <v>0.32500000000000001</v>
      </c>
      <c r="H26" s="84">
        <f>G26*0.19</f>
        <v>6.1750000000000006E-2</v>
      </c>
      <c r="I26" s="84">
        <f>G26*0.23</f>
        <v>7.4750000000000011E-2</v>
      </c>
      <c r="J26" s="84">
        <f t="shared" si="0"/>
        <v>6.8250000000000005E-2</v>
      </c>
      <c r="K26" s="93"/>
      <c r="L26" s="89"/>
      <c r="M26" s="89"/>
      <c r="N26" s="89"/>
      <c r="O26" s="89"/>
      <c r="P26" s="89"/>
    </row>
    <row r="27" spans="1:16" x14ac:dyDescent="0.3">
      <c r="A27" s="71" t="s">
        <v>266</v>
      </c>
      <c r="B27" s="74" t="s">
        <v>142</v>
      </c>
      <c r="C27" s="81" t="s">
        <v>143</v>
      </c>
      <c r="D27" s="82" t="s">
        <v>144</v>
      </c>
      <c r="E27" s="82" t="s">
        <v>145</v>
      </c>
      <c r="F27" s="77"/>
      <c r="G27" s="78"/>
      <c r="H27" s="84"/>
      <c r="I27" s="84"/>
      <c r="J27" s="84"/>
      <c r="K27" s="93"/>
      <c r="L27" s="89"/>
      <c r="M27" s="89"/>
      <c r="N27" s="89"/>
      <c r="O27" s="89"/>
      <c r="P27" s="89"/>
    </row>
    <row r="28" spans="1:16" x14ac:dyDescent="0.3">
      <c r="A28" s="71" t="s">
        <v>267</v>
      </c>
      <c r="B28" s="74" t="s">
        <v>146</v>
      </c>
      <c r="C28" s="81" t="s">
        <v>147</v>
      </c>
      <c r="D28" s="82" t="s">
        <v>148</v>
      </c>
      <c r="E28" s="82" t="s">
        <v>149</v>
      </c>
      <c r="F28" s="77"/>
      <c r="G28" s="78">
        <f>'General disorders'!D10</f>
        <v>5.0999999999999997E-2</v>
      </c>
      <c r="H28" s="84">
        <f>G28*0.88</f>
        <v>4.4879999999999996E-2</v>
      </c>
      <c r="I28" s="84">
        <f>G28*0.93</f>
        <v>4.743E-2</v>
      </c>
      <c r="J28" s="84">
        <f t="shared" si="0"/>
        <v>4.6155000000000002E-2</v>
      </c>
      <c r="K28" s="93"/>
      <c r="L28" s="89"/>
      <c r="M28" s="89"/>
      <c r="N28" s="89"/>
      <c r="O28" s="89"/>
      <c r="P28" s="89"/>
    </row>
    <row r="29" spans="1:16" x14ac:dyDescent="0.3">
      <c r="A29" s="71" t="s">
        <v>268</v>
      </c>
      <c r="B29" s="74" t="s">
        <v>150</v>
      </c>
      <c r="C29" s="81" t="s">
        <v>151</v>
      </c>
      <c r="D29" s="82" t="s">
        <v>142</v>
      </c>
      <c r="E29" s="82" t="s">
        <v>152</v>
      </c>
      <c r="F29" s="77"/>
      <c r="G29" s="78"/>
      <c r="H29" s="84"/>
      <c r="I29" s="84"/>
      <c r="J29" s="84"/>
      <c r="K29" s="89"/>
      <c r="L29" s="89"/>
      <c r="M29" s="89"/>
      <c r="N29" s="89"/>
      <c r="O29" s="89"/>
      <c r="P29" s="89"/>
    </row>
    <row r="30" spans="1:16" x14ac:dyDescent="0.3">
      <c r="A30" s="70" t="s">
        <v>253</v>
      </c>
      <c r="B30" s="13" t="s">
        <v>153</v>
      </c>
      <c r="C30" s="81" t="s">
        <v>154</v>
      </c>
      <c r="D30" s="82" t="s">
        <v>155</v>
      </c>
      <c r="E30" s="82" t="s">
        <v>156</v>
      </c>
      <c r="F30" s="77"/>
      <c r="G30" s="78">
        <f>'General disorders'!D16</f>
        <v>5.1999999999999998E-2</v>
      </c>
      <c r="H30" s="84">
        <f>G30*((0.71+0.62)/2)</f>
        <v>3.458E-2</v>
      </c>
      <c r="I30" s="84">
        <f>G30*((0.83+0.79)/2)</f>
        <v>4.2119999999999998E-2</v>
      </c>
      <c r="J30" s="84">
        <f t="shared" si="0"/>
        <v>3.8349999999999995E-2</v>
      </c>
      <c r="K30" s="89"/>
      <c r="L30" s="89"/>
      <c r="M30" s="89"/>
      <c r="N30" s="89"/>
      <c r="O30" s="89"/>
      <c r="P30" s="89"/>
    </row>
    <row r="31" spans="1:16" x14ac:dyDescent="0.3">
      <c r="A31" s="69" t="s">
        <v>157</v>
      </c>
      <c r="B31" s="74"/>
      <c r="C31" s="81"/>
      <c r="D31" s="82"/>
      <c r="E31" s="82"/>
      <c r="F31" s="77"/>
      <c r="G31" s="78"/>
      <c r="H31" s="84"/>
      <c r="I31" s="84"/>
      <c r="J31" s="84"/>
      <c r="K31" s="89"/>
      <c r="L31" s="89"/>
      <c r="M31" s="89"/>
      <c r="N31" s="89"/>
      <c r="O31" s="89"/>
      <c r="P31" s="89"/>
    </row>
    <row r="32" spans="1:16" x14ac:dyDescent="0.3">
      <c r="A32" s="70" t="s">
        <v>158</v>
      </c>
      <c r="B32" s="13" t="s">
        <v>87</v>
      </c>
      <c r="C32" s="81" t="s">
        <v>159</v>
      </c>
      <c r="D32" s="82" t="s">
        <v>160</v>
      </c>
      <c r="E32" s="82" t="s">
        <v>161</v>
      </c>
      <c r="F32" s="77"/>
      <c r="G32" s="78">
        <f>Metabolic!D3</f>
        <v>0.224</v>
      </c>
      <c r="H32" s="84">
        <f>G32*0.5</f>
        <v>0.112</v>
      </c>
      <c r="I32" s="84">
        <f>G32*0.4</f>
        <v>8.9600000000000013E-2</v>
      </c>
      <c r="J32" s="84">
        <f t="shared" si="0"/>
        <v>0.1008</v>
      </c>
      <c r="K32" s="89"/>
      <c r="L32" s="89"/>
      <c r="M32" s="89"/>
      <c r="N32" s="89"/>
      <c r="O32" s="89"/>
      <c r="P32" s="89"/>
    </row>
    <row r="33" spans="1:16" x14ac:dyDescent="0.3">
      <c r="A33" s="69" t="s">
        <v>162</v>
      </c>
      <c r="B33" s="74"/>
      <c r="C33" s="81"/>
      <c r="D33" s="82"/>
      <c r="E33" s="82"/>
      <c r="F33" s="77"/>
      <c r="G33" s="78"/>
      <c r="H33" s="79"/>
      <c r="I33" s="84"/>
      <c r="J33" s="84"/>
      <c r="K33" s="89"/>
      <c r="L33" s="89"/>
      <c r="M33" s="89"/>
      <c r="N33" s="89"/>
      <c r="O33" s="89"/>
      <c r="P33" s="89"/>
    </row>
    <row r="34" spans="1:16" x14ac:dyDescent="0.3">
      <c r="A34" s="71" t="s">
        <v>163</v>
      </c>
      <c r="B34" s="74" t="s">
        <v>104</v>
      </c>
      <c r="C34" s="81" t="s">
        <v>164</v>
      </c>
      <c r="D34" s="82" t="s">
        <v>111</v>
      </c>
      <c r="E34" s="82" t="s">
        <v>165</v>
      </c>
      <c r="F34" s="77"/>
      <c r="G34" s="86">
        <f>Musculoskeletal!D11</f>
        <v>0.18762500000000001</v>
      </c>
      <c r="H34" s="84">
        <f>G34*((0.54+0.34+0.26+0.34)/4)</f>
        <v>6.9421250000000018E-2</v>
      </c>
      <c r="I34" s="84">
        <f>G34*((0.66+0.25+0.29+0.33)/4)</f>
        <v>7.1766562500000006E-2</v>
      </c>
      <c r="J34" s="84">
        <f t="shared" si="0"/>
        <v>7.0593906250000005E-2</v>
      </c>
      <c r="K34" s="89"/>
      <c r="L34" s="89"/>
      <c r="M34" s="89"/>
      <c r="N34" s="89"/>
      <c r="O34" s="89"/>
      <c r="P34" s="89"/>
    </row>
    <row r="35" spans="1:16" x14ac:dyDescent="0.3">
      <c r="A35" s="71" t="s">
        <v>166</v>
      </c>
      <c r="B35" s="74" t="s">
        <v>87</v>
      </c>
      <c r="C35" s="81" t="s">
        <v>167</v>
      </c>
      <c r="D35" s="82" t="s">
        <v>97</v>
      </c>
      <c r="E35" s="82" t="s">
        <v>168</v>
      </c>
      <c r="F35" s="77"/>
      <c r="G35" s="78"/>
      <c r="H35" s="79"/>
      <c r="I35" s="84"/>
      <c r="J35" s="84"/>
      <c r="K35" s="89"/>
      <c r="L35" s="89"/>
      <c r="M35" s="89"/>
      <c r="N35" s="89"/>
      <c r="O35" s="89"/>
      <c r="P35" s="89"/>
    </row>
    <row r="36" spans="1:16" x14ac:dyDescent="0.3">
      <c r="A36" s="71" t="s">
        <v>252</v>
      </c>
      <c r="B36" s="74" t="s">
        <v>99</v>
      </c>
      <c r="C36" s="81" t="s">
        <v>169</v>
      </c>
      <c r="D36" s="82" t="s">
        <v>142</v>
      </c>
      <c r="E36" s="82" t="s">
        <v>170</v>
      </c>
      <c r="F36" s="77"/>
      <c r="G36" s="78"/>
      <c r="H36" s="79"/>
      <c r="I36" s="84"/>
      <c r="J36" s="84"/>
      <c r="K36" s="89"/>
      <c r="L36" s="89"/>
      <c r="M36" s="89"/>
      <c r="N36" s="89"/>
      <c r="O36" s="89"/>
      <c r="P36" s="89"/>
    </row>
    <row r="37" spans="1:16" x14ac:dyDescent="0.3">
      <c r="A37" s="70" t="s">
        <v>251</v>
      </c>
      <c r="B37" s="13" t="s">
        <v>121</v>
      </c>
      <c r="C37" s="81" t="s">
        <v>171</v>
      </c>
      <c r="D37" s="82" t="s">
        <v>125</v>
      </c>
      <c r="E37" s="82" t="s">
        <v>172</v>
      </c>
      <c r="F37" s="77"/>
      <c r="G37" s="78"/>
      <c r="H37" s="79"/>
      <c r="I37" s="84"/>
      <c r="J37" s="84"/>
      <c r="K37" s="89"/>
      <c r="L37" s="89"/>
      <c r="M37" s="89"/>
      <c r="N37" s="89"/>
      <c r="O37" s="89"/>
      <c r="P37" s="89"/>
    </row>
    <row r="38" spans="1:16" x14ac:dyDescent="0.3">
      <c r="A38" s="73" t="s">
        <v>173</v>
      </c>
      <c r="B38" s="74"/>
      <c r="C38" s="81"/>
      <c r="D38" s="82"/>
      <c r="E38" s="82"/>
      <c r="F38" s="77"/>
      <c r="G38" s="78"/>
      <c r="H38" s="79"/>
      <c r="I38" s="84"/>
      <c r="J38" s="84"/>
      <c r="K38" s="89"/>
      <c r="L38" s="89"/>
      <c r="M38" s="89"/>
      <c r="N38" s="89"/>
      <c r="O38" s="89"/>
      <c r="P38" s="89"/>
    </row>
    <row r="39" spans="1:16" x14ac:dyDescent="0.3">
      <c r="A39" s="71" t="s">
        <v>250</v>
      </c>
      <c r="B39" s="74" t="s">
        <v>174</v>
      </c>
      <c r="C39" s="81" t="s">
        <v>175</v>
      </c>
      <c r="D39" s="82" t="s">
        <v>176</v>
      </c>
      <c r="E39" s="82" t="s">
        <v>177</v>
      </c>
      <c r="F39" s="77"/>
      <c r="G39" s="78"/>
      <c r="H39" s="79"/>
      <c r="I39" s="84"/>
      <c r="J39" s="84"/>
      <c r="K39" s="89"/>
      <c r="L39" s="89"/>
      <c r="M39" s="89"/>
      <c r="N39" s="89"/>
      <c r="O39" s="89"/>
      <c r="P39" s="89"/>
    </row>
    <row r="40" spans="1:16" x14ac:dyDescent="0.3">
      <c r="A40" s="71" t="s">
        <v>178</v>
      </c>
      <c r="B40" s="74" t="s">
        <v>92</v>
      </c>
      <c r="C40" s="81" t="s">
        <v>179</v>
      </c>
      <c r="D40" s="82" t="s">
        <v>174</v>
      </c>
      <c r="E40" s="82" t="s">
        <v>180</v>
      </c>
      <c r="F40" s="77"/>
      <c r="G40" s="86">
        <f>'Nervous system'!D5</f>
        <v>0.42849999999999999</v>
      </c>
      <c r="H40" s="84">
        <f>G40*0.33</f>
        <v>0.141405</v>
      </c>
      <c r="I40" s="84">
        <f>G40*0.18</f>
        <v>7.712999999999999E-2</v>
      </c>
      <c r="J40" s="84">
        <f t="shared" si="0"/>
        <v>0.10926749999999999</v>
      </c>
      <c r="K40" s="89"/>
      <c r="L40" s="89"/>
      <c r="M40" s="89"/>
      <c r="N40" s="89"/>
      <c r="O40" s="89"/>
      <c r="P40" s="89"/>
    </row>
    <row r="41" spans="1:16" x14ac:dyDescent="0.3">
      <c r="A41" s="71" t="s">
        <v>249</v>
      </c>
      <c r="B41" s="74" t="s">
        <v>181</v>
      </c>
      <c r="C41" s="81" t="s">
        <v>182</v>
      </c>
      <c r="D41" s="82" t="s">
        <v>183</v>
      </c>
      <c r="E41" s="82" t="s">
        <v>184</v>
      </c>
      <c r="F41" s="77"/>
      <c r="G41" s="78">
        <f>'Nervous system'!D11</f>
        <v>3.6999999999999998E-2</v>
      </c>
      <c r="H41" s="84">
        <f>G41*0.5</f>
        <v>1.8499999999999999E-2</v>
      </c>
      <c r="I41" s="84">
        <f>G41*0.64</f>
        <v>2.368E-2</v>
      </c>
      <c r="J41" s="84">
        <f t="shared" si="0"/>
        <v>2.1089999999999998E-2</v>
      </c>
      <c r="K41" s="89"/>
      <c r="L41" s="89"/>
      <c r="M41" s="89"/>
      <c r="N41" s="89"/>
      <c r="O41" s="89"/>
      <c r="P41" s="89"/>
    </row>
    <row r="42" spans="1:16" x14ac:dyDescent="0.3">
      <c r="A42" s="71" t="s">
        <v>248</v>
      </c>
      <c r="B42" s="74" t="s">
        <v>142</v>
      </c>
      <c r="C42" s="81" t="s">
        <v>185</v>
      </c>
      <c r="D42" s="82" t="s">
        <v>186</v>
      </c>
      <c r="E42" s="82" t="s">
        <v>187</v>
      </c>
      <c r="F42" s="77"/>
      <c r="G42" s="78"/>
      <c r="H42" s="84"/>
      <c r="I42" s="84"/>
      <c r="J42" s="84"/>
      <c r="K42" s="89"/>
      <c r="L42" s="89"/>
      <c r="M42" s="89"/>
      <c r="N42" s="89"/>
      <c r="O42" s="89"/>
      <c r="P42" s="89"/>
    </row>
    <row r="43" spans="1:16" x14ac:dyDescent="0.3">
      <c r="A43" s="70" t="s">
        <v>188</v>
      </c>
      <c r="B43" s="13" t="s">
        <v>102</v>
      </c>
      <c r="C43" s="81" t="s">
        <v>189</v>
      </c>
      <c r="D43" s="82" t="s">
        <v>87</v>
      </c>
      <c r="E43" s="82" t="s">
        <v>190</v>
      </c>
      <c r="F43" s="77"/>
      <c r="G43" s="78">
        <f>'Nervous system'!D17</f>
        <v>0.48799999999999999</v>
      </c>
      <c r="H43" s="84">
        <f>G43*0.03</f>
        <v>1.4639999999999999E-2</v>
      </c>
      <c r="I43" s="84">
        <f>G43*0.06</f>
        <v>2.9279999999999997E-2</v>
      </c>
      <c r="J43" s="84">
        <f t="shared" si="0"/>
        <v>2.1959999999999997E-2</v>
      </c>
      <c r="K43" s="89"/>
      <c r="L43" s="89"/>
      <c r="M43" s="89"/>
      <c r="N43" s="89"/>
      <c r="O43" s="89"/>
      <c r="P43" s="89"/>
    </row>
    <row r="44" spans="1:16" x14ac:dyDescent="0.3">
      <c r="A44" s="73" t="s">
        <v>247</v>
      </c>
      <c r="B44" s="74" t="s">
        <v>111</v>
      </c>
      <c r="C44" s="81" t="s">
        <v>191</v>
      </c>
      <c r="D44" s="82" t="s">
        <v>192</v>
      </c>
      <c r="E44" s="82" t="s">
        <v>193</v>
      </c>
      <c r="F44" s="77"/>
      <c r="G44" s="78">
        <f>Shock!D5</f>
        <v>5.3500000000000006E-2</v>
      </c>
      <c r="H44" s="84">
        <f>G44*((0.06+0.24+0.1)/3)</f>
        <v>7.1333333333333344E-3</v>
      </c>
      <c r="I44" s="84">
        <f>G44*((0.33+1+0.22+0.1)/4)</f>
        <v>2.2068750000000005E-2</v>
      </c>
      <c r="J44" s="84">
        <f t="shared" si="0"/>
        <v>1.460104166666667E-2</v>
      </c>
      <c r="K44" s="89"/>
      <c r="L44" s="89"/>
      <c r="M44" s="89"/>
      <c r="N44" s="89"/>
      <c r="O44" s="89"/>
      <c r="P44" s="89"/>
    </row>
    <row r="45" spans="1:16" x14ac:dyDescent="0.3">
      <c r="A45" s="71" t="s">
        <v>194</v>
      </c>
      <c r="B45" s="74" t="s">
        <v>195</v>
      </c>
      <c r="C45" s="81">
        <v>0</v>
      </c>
      <c r="D45" s="82" t="s">
        <v>92</v>
      </c>
      <c r="E45" s="82" t="s">
        <v>196</v>
      </c>
      <c r="F45" s="77"/>
      <c r="G45" s="78"/>
      <c r="H45" s="84"/>
      <c r="I45" s="84"/>
      <c r="J45" s="84"/>
      <c r="K45" s="89"/>
      <c r="L45" s="89"/>
      <c r="M45" s="89"/>
      <c r="N45" s="89"/>
      <c r="O45" s="89"/>
      <c r="P45" s="89"/>
    </row>
    <row r="46" spans="1:16" x14ac:dyDescent="0.3">
      <c r="A46" s="71" t="s">
        <v>197</v>
      </c>
      <c r="B46" s="74" t="s">
        <v>174</v>
      </c>
      <c r="C46" s="81" t="s">
        <v>198</v>
      </c>
      <c r="D46" s="82" t="s">
        <v>199</v>
      </c>
      <c r="E46" s="82" t="s">
        <v>193</v>
      </c>
      <c r="F46" s="77"/>
      <c r="G46" s="78"/>
      <c r="H46" s="84"/>
      <c r="I46" s="84"/>
      <c r="J46" s="84"/>
      <c r="K46" s="89"/>
      <c r="L46" s="89"/>
      <c r="M46" s="89"/>
      <c r="N46" s="89"/>
      <c r="O46" s="89"/>
      <c r="P46" s="89"/>
    </row>
    <row r="47" spans="1:16" x14ac:dyDescent="0.3">
      <c r="A47" s="70" t="s">
        <v>200</v>
      </c>
      <c r="B47" s="13" t="s">
        <v>92</v>
      </c>
      <c r="C47" s="81" t="s">
        <v>201</v>
      </c>
      <c r="D47" s="82" t="s">
        <v>92</v>
      </c>
      <c r="E47" s="82" t="s">
        <v>201</v>
      </c>
      <c r="F47" s="77"/>
      <c r="G47" s="78"/>
      <c r="H47" s="84"/>
      <c r="I47" s="84"/>
      <c r="J47" s="84"/>
      <c r="K47" s="89"/>
      <c r="L47" s="89"/>
      <c r="M47" s="89"/>
      <c r="N47" s="89"/>
      <c r="O47" s="89"/>
      <c r="P47" s="89"/>
    </row>
    <row r="48" spans="1:16" x14ac:dyDescent="0.3">
      <c r="A48" s="73" t="s">
        <v>202</v>
      </c>
      <c r="B48" s="74"/>
      <c r="C48" s="81"/>
      <c r="D48" s="82"/>
      <c r="E48" s="82"/>
      <c r="F48" s="77"/>
      <c r="G48" s="86">
        <f>'Renal disorders'!D71</f>
        <v>0.35695652173913045</v>
      </c>
      <c r="H48" s="84">
        <f>G48*0.15</f>
        <v>5.3543478260869568E-2</v>
      </c>
      <c r="I48" s="84">
        <f>G48*((0.58+0.3)/2)</f>
        <v>0.15706086956521739</v>
      </c>
      <c r="J48" s="84">
        <f t="shared" si="0"/>
        <v>0.10530217391304347</v>
      </c>
      <c r="K48" s="89"/>
      <c r="L48" s="89"/>
      <c r="M48" s="89"/>
      <c r="N48" s="89"/>
      <c r="O48" s="89"/>
      <c r="P48" s="89"/>
    </row>
    <row r="49" spans="1:16" x14ac:dyDescent="0.3">
      <c r="A49" s="71" t="s">
        <v>203</v>
      </c>
      <c r="B49" s="74" t="s">
        <v>92</v>
      </c>
      <c r="C49" s="81" t="s">
        <v>204</v>
      </c>
      <c r="D49" s="82" t="s">
        <v>102</v>
      </c>
      <c r="E49" s="82" t="s">
        <v>205</v>
      </c>
      <c r="F49" s="77"/>
      <c r="G49" s="78"/>
      <c r="H49" s="84"/>
      <c r="I49" s="84"/>
      <c r="J49" s="84"/>
      <c r="K49" s="89"/>
      <c r="L49" s="89"/>
      <c r="M49" s="89"/>
      <c r="N49" s="89"/>
      <c r="O49" s="89"/>
      <c r="P49" s="89"/>
    </row>
    <row r="50" spans="1:16" x14ac:dyDescent="0.3">
      <c r="A50" s="70" t="s">
        <v>246</v>
      </c>
      <c r="B50" s="13" t="s">
        <v>195</v>
      </c>
      <c r="C50" s="81">
        <v>0</v>
      </c>
      <c r="D50" s="82" t="s">
        <v>206</v>
      </c>
      <c r="E50" s="82" t="s">
        <v>207</v>
      </c>
      <c r="F50" s="77"/>
      <c r="G50" s="78"/>
      <c r="H50" s="84"/>
      <c r="I50" s="84"/>
      <c r="J50" s="84"/>
      <c r="K50" s="89"/>
      <c r="L50" s="89"/>
      <c r="M50" s="89"/>
      <c r="N50" s="89"/>
      <c r="O50" s="89"/>
      <c r="P50" s="89"/>
    </row>
    <row r="51" spans="1:16" x14ac:dyDescent="0.3">
      <c r="A51" s="73" t="s">
        <v>208</v>
      </c>
      <c r="B51" s="74"/>
      <c r="C51" s="81"/>
      <c r="D51" s="82"/>
      <c r="E51" s="82"/>
      <c r="F51" s="77"/>
      <c r="G51" s="78">
        <f>'Reproducive system'!D3</f>
        <v>0.32400000000000001</v>
      </c>
      <c r="H51" s="84">
        <f>G51*0.29</f>
        <v>9.3960000000000002E-2</v>
      </c>
      <c r="I51" s="84">
        <f>G51*0.29</f>
        <v>9.3960000000000002E-2</v>
      </c>
      <c r="J51" s="84">
        <f t="shared" si="0"/>
        <v>9.3960000000000002E-2</v>
      </c>
      <c r="K51" s="89"/>
      <c r="L51" s="89"/>
      <c r="M51" s="89"/>
      <c r="N51" s="89"/>
      <c r="O51" s="89"/>
      <c r="P51" s="89"/>
    </row>
    <row r="52" spans="1:16" x14ac:dyDescent="0.3">
      <c r="A52" s="70" t="s">
        <v>245</v>
      </c>
      <c r="B52" s="13" t="s">
        <v>92</v>
      </c>
      <c r="C52" s="81" t="s">
        <v>209</v>
      </c>
      <c r="D52" s="82" t="s">
        <v>174</v>
      </c>
      <c r="E52" s="82" t="s">
        <v>210</v>
      </c>
      <c r="F52" s="77"/>
      <c r="G52" s="78"/>
      <c r="H52" s="84"/>
      <c r="I52" s="84"/>
      <c r="J52" s="84"/>
      <c r="K52" s="89"/>
      <c r="L52" s="89"/>
      <c r="M52" s="89"/>
      <c r="N52" s="89"/>
      <c r="O52" s="89"/>
      <c r="P52" s="89"/>
    </row>
    <row r="53" spans="1:16" x14ac:dyDescent="0.3">
      <c r="A53" s="73" t="s">
        <v>211</v>
      </c>
      <c r="B53" s="74"/>
      <c r="C53" s="81"/>
      <c r="D53" s="82"/>
      <c r="E53" s="82"/>
      <c r="F53" s="77"/>
      <c r="G53" s="86">
        <f>Respiratory!D5</f>
        <v>0.2173333333333333</v>
      </c>
      <c r="H53" s="84">
        <f>G53*((0.07+0.35+0.01)/3)</f>
        <v>3.1151111111111109E-2</v>
      </c>
      <c r="I53" s="84">
        <f>G53*((0.14+0.4+0.02+1)/4)</f>
        <v>8.4759999999999988E-2</v>
      </c>
      <c r="J53" s="84">
        <f t="shared" si="0"/>
        <v>5.7955555555555552E-2</v>
      </c>
      <c r="K53" s="89"/>
      <c r="L53" s="89"/>
      <c r="M53" s="89"/>
      <c r="N53" s="89"/>
      <c r="O53" s="89"/>
      <c r="P53" s="89"/>
    </row>
    <row r="54" spans="1:16" x14ac:dyDescent="0.3">
      <c r="A54" s="71" t="s">
        <v>244</v>
      </c>
      <c r="B54" s="74" t="s">
        <v>111</v>
      </c>
      <c r="C54" s="81" t="s">
        <v>212</v>
      </c>
      <c r="D54" s="82" t="s">
        <v>142</v>
      </c>
      <c r="E54" s="82" t="s">
        <v>213</v>
      </c>
      <c r="F54" s="77"/>
      <c r="G54" s="78"/>
      <c r="H54" s="84"/>
      <c r="I54" s="84"/>
      <c r="J54" s="84"/>
      <c r="K54" s="89"/>
      <c r="L54" s="89"/>
      <c r="M54" s="89"/>
      <c r="N54" s="89"/>
      <c r="O54" s="89"/>
      <c r="P54" s="89"/>
    </row>
    <row r="55" spans="1:16" x14ac:dyDescent="0.3">
      <c r="A55" s="71" t="s">
        <v>243</v>
      </c>
      <c r="B55" s="74" t="s">
        <v>214</v>
      </c>
      <c r="C55" s="81" t="s">
        <v>215</v>
      </c>
      <c r="D55" s="82" t="s">
        <v>216</v>
      </c>
      <c r="E55" s="82" t="s">
        <v>217</v>
      </c>
      <c r="F55" s="77"/>
      <c r="G55" s="78"/>
      <c r="H55" s="84"/>
      <c r="I55" s="84"/>
      <c r="J55" s="84"/>
      <c r="K55" s="89"/>
      <c r="L55" s="89"/>
      <c r="M55" s="89"/>
      <c r="N55" s="89"/>
      <c r="O55" s="89"/>
      <c r="P55" s="89"/>
    </row>
    <row r="56" spans="1:16" x14ac:dyDescent="0.3">
      <c r="A56" s="71" t="s">
        <v>218</v>
      </c>
      <c r="B56" s="74" t="s">
        <v>92</v>
      </c>
      <c r="C56" s="81" t="s">
        <v>219</v>
      </c>
      <c r="D56" s="82" t="s">
        <v>94</v>
      </c>
      <c r="E56" s="82" t="s">
        <v>220</v>
      </c>
      <c r="F56" s="77"/>
      <c r="G56" s="78"/>
      <c r="H56" s="84"/>
      <c r="I56" s="84"/>
      <c r="J56" s="84"/>
      <c r="K56" s="89"/>
      <c r="L56" s="89"/>
      <c r="M56" s="89"/>
      <c r="N56" s="89"/>
      <c r="O56" s="89"/>
      <c r="P56" s="89"/>
    </row>
    <row r="57" spans="1:16" x14ac:dyDescent="0.3">
      <c r="A57" s="70" t="s">
        <v>242</v>
      </c>
      <c r="B57" s="13" t="s">
        <v>195</v>
      </c>
      <c r="C57" s="81">
        <v>0</v>
      </c>
      <c r="D57" s="82" t="s">
        <v>94</v>
      </c>
      <c r="E57" s="82" t="s">
        <v>221</v>
      </c>
      <c r="F57" s="77"/>
      <c r="G57" s="78"/>
      <c r="H57" s="84"/>
      <c r="I57" s="84"/>
      <c r="J57" s="84"/>
      <c r="K57" s="89"/>
      <c r="L57" s="89"/>
      <c r="M57" s="89"/>
      <c r="N57" s="89"/>
      <c r="O57" s="89"/>
      <c r="P57" s="89"/>
    </row>
    <row r="58" spans="1:16" x14ac:dyDescent="0.3">
      <c r="A58" s="69" t="s">
        <v>222</v>
      </c>
      <c r="B58" s="74"/>
      <c r="C58" s="81"/>
      <c r="D58" s="82"/>
      <c r="E58" s="82"/>
      <c r="F58" s="77"/>
      <c r="G58" s="78">
        <f>Skin!D5</f>
        <v>9.1000000000000011E-2</v>
      </c>
      <c r="H58" s="84">
        <f>G58*0.21</f>
        <v>1.9110000000000002E-2</v>
      </c>
      <c r="I58" s="84">
        <f>G58*((0.8+0.06)/2)</f>
        <v>3.9130000000000012E-2</v>
      </c>
      <c r="J58" s="84">
        <f t="shared" si="0"/>
        <v>2.9120000000000007E-2</v>
      </c>
      <c r="K58" s="89"/>
      <c r="L58" s="89"/>
      <c r="M58" s="89"/>
      <c r="N58" s="89"/>
      <c r="O58" s="89"/>
      <c r="P58" s="89"/>
    </row>
    <row r="59" spans="1:16" x14ac:dyDescent="0.3">
      <c r="A59" s="71" t="s">
        <v>241</v>
      </c>
      <c r="B59" s="74" t="s">
        <v>195</v>
      </c>
      <c r="C59" s="81">
        <v>0</v>
      </c>
      <c r="D59" s="82" t="s">
        <v>111</v>
      </c>
      <c r="E59" s="82" t="s">
        <v>223</v>
      </c>
      <c r="F59" s="77"/>
      <c r="G59" s="78"/>
      <c r="H59" s="79"/>
      <c r="I59" s="79"/>
      <c r="J59" s="80"/>
      <c r="K59" s="89"/>
      <c r="L59" s="89"/>
      <c r="M59" s="89"/>
      <c r="N59" s="89"/>
      <c r="O59" s="89"/>
      <c r="P59" s="89"/>
    </row>
    <row r="60" spans="1:16" x14ac:dyDescent="0.3">
      <c r="A60" s="70" t="s">
        <v>240</v>
      </c>
      <c r="B60" s="13" t="s">
        <v>206</v>
      </c>
      <c r="C60" s="81" t="s">
        <v>224</v>
      </c>
      <c r="D60" s="82" t="s">
        <v>121</v>
      </c>
      <c r="E60" s="82" t="s">
        <v>225</v>
      </c>
      <c r="F60" s="77"/>
      <c r="G60" s="78"/>
      <c r="H60" s="79"/>
      <c r="I60" s="79"/>
      <c r="J60" s="80"/>
      <c r="K60" s="89"/>
      <c r="L60" s="89"/>
      <c r="M60" s="89"/>
      <c r="N60" s="89"/>
      <c r="O60" s="89"/>
      <c r="P60" s="89"/>
    </row>
    <row r="61" spans="1:16" s="89" customFormat="1" x14ac:dyDescent="0.3">
      <c r="G61" s="95">
        <f>AVERAGE(G7:G58)</f>
        <v>0.16938944471892844</v>
      </c>
      <c r="H61" s="95">
        <f>AVERAGE(H7:H58)</f>
        <v>4.7719420552404947E-2</v>
      </c>
    </row>
    <row r="62" spans="1:16" s="89" customFormat="1" x14ac:dyDescent="0.3">
      <c r="A62" s="90" t="s">
        <v>229</v>
      </c>
    </row>
    <row r="63" spans="1:16" s="89" customFormat="1" x14ac:dyDescent="0.3">
      <c r="A63" s="90" t="s">
        <v>230</v>
      </c>
    </row>
    <row r="64" spans="1:16" s="89" customFormat="1" x14ac:dyDescent="0.3">
      <c r="A64" s="91" t="s">
        <v>231</v>
      </c>
    </row>
    <row r="65" spans="1:1" s="89" customFormat="1" x14ac:dyDescent="0.3">
      <c r="A65" s="91" t="s">
        <v>232</v>
      </c>
    </row>
    <row r="66" spans="1:1" s="89" customFormat="1" x14ac:dyDescent="0.3">
      <c r="A66" s="91" t="s">
        <v>233</v>
      </c>
    </row>
    <row r="67" spans="1:1" s="89" customFormat="1" x14ac:dyDescent="0.3">
      <c r="A67" s="91" t="s">
        <v>234</v>
      </c>
    </row>
    <row r="68" spans="1:1" s="89" customFormat="1" x14ac:dyDescent="0.3">
      <c r="A68" s="91" t="s">
        <v>235</v>
      </c>
    </row>
    <row r="69" spans="1:1" s="89" customFormat="1" x14ac:dyDescent="0.3">
      <c r="A69" s="91" t="s">
        <v>236</v>
      </c>
    </row>
    <row r="70" spans="1:1" s="89" customFormat="1" x14ac:dyDescent="0.3">
      <c r="A70" s="91" t="s">
        <v>237</v>
      </c>
    </row>
    <row r="71" spans="1:1" s="89" customFormat="1" x14ac:dyDescent="0.3">
      <c r="A71" s="91" t="s">
        <v>238</v>
      </c>
    </row>
    <row r="72" spans="1:1" s="89" customFormat="1" x14ac:dyDescent="0.3">
      <c r="A72" s="92" t="s">
        <v>239</v>
      </c>
    </row>
    <row r="73" spans="1:1" s="89" customFormat="1" x14ac:dyDescent="0.3"/>
    <row r="74" spans="1:1" s="89" customFormat="1" x14ac:dyDescent="0.3"/>
  </sheetData>
  <mergeCells count="2">
    <mergeCell ref="B4:C4"/>
    <mergeCell ref="D4:E4"/>
  </mergeCells>
  <hyperlinks>
    <hyperlink ref="A8" location="'Lymphatic system'!A1" display="Lymphadenopathy [a]"/>
    <hyperlink ref="A9" location="'Cardiac disorder'!A1" display="Cardiac disorders"/>
    <hyperlink ref="A11" location="Ear!A1" display="Ear and labyrinth disorders"/>
    <hyperlink ref="A15" location="Eye!A1" display="Eye disorders"/>
    <hyperlink ref="A17" location="Gastro!A1" display="Gastrointestinal disorders"/>
    <hyperlink ref="A25" location="'General disorders'!A1" display="General disorders"/>
    <hyperlink ref="A31" location="Metabolic!A1" display="Metabolic and endocrine disorders"/>
    <hyperlink ref="A33" location="Musculoskeletal!A1" display="Musculoskeletal and connective tissue disorders"/>
    <hyperlink ref="A44" location="Shock!A1" display="Shock [d]"/>
    <hyperlink ref="A38" location="'Nervous system'!A1" display="Nervous system disorders"/>
    <hyperlink ref="A48" location="'Renal disorders'!A1" display="Renal disorders"/>
    <hyperlink ref="A51" location="'Reproducive system'!A1" display="Reproductive system and breast disorders"/>
    <hyperlink ref="A53" location="Respiratory!A1" display="Respiratory, thoracic and mediastinal disorders "/>
    <hyperlink ref="A58" location="Skin!A1" display="Skin and subcutaneous tissue disorder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222" zoomScaleNormal="150" workbookViewId="0">
      <selection activeCell="D3" sqref="D3"/>
    </sheetView>
  </sheetViews>
  <sheetFormatPr defaultColWidth="11.19921875" defaultRowHeight="15.6" x14ac:dyDescent="0.3"/>
  <cols>
    <col min="5" max="5" width="10.796875" style="23"/>
  </cols>
  <sheetData>
    <row r="1" spans="1:7" ht="20.399999999999999" x14ac:dyDescent="0.3">
      <c r="A1" s="31" t="s">
        <v>3</v>
      </c>
      <c r="B1" s="31" t="s">
        <v>4</v>
      </c>
      <c r="C1" s="31" t="s">
        <v>5</v>
      </c>
      <c r="D1" s="32" t="s">
        <v>77</v>
      </c>
      <c r="E1" s="32" t="s">
        <v>305</v>
      </c>
      <c r="F1" s="32" t="s">
        <v>306</v>
      </c>
      <c r="G1" s="32" t="s">
        <v>298</v>
      </c>
    </row>
    <row r="2" spans="1:7" ht="61.2" x14ac:dyDescent="0.3">
      <c r="A2" s="24" t="s">
        <v>269</v>
      </c>
      <c r="B2" s="24" t="s">
        <v>270</v>
      </c>
      <c r="C2" s="24" t="s">
        <v>271</v>
      </c>
      <c r="D2" s="25">
        <v>5.0999999999999997E-2</v>
      </c>
      <c r="E2" s="22">
        <v>3.2000000000000001E-2</v>
      </c>
      <c r="F2" s="22">
        <v>7.3999999999999996E-2</v>
      </c>
      <c r="G2" s="22" t="s">
        <v>297</v>
      </c>
    </row>
    <row r="3" spans="1:7" x14ac:dyDescent="0.3">
      <c r="A3" s="101" t="s">
        <v>307</v>
      </c>
      <c r="B3" s="101"/>
      <c r="C3" s="101"/>
      <c r="D3" s="35">
        <f>AVERAGE(D2)</f>
        <v>5.0999999999999997E-2</v>
      </c>
    </row>
  </sheetData>
  <mergeCells count="1">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233" workbookViewId="0">
      <selection activeCell="F2" sqref="F2"/>
    </sheetView>
  </sheetViews>
  <sheetFormatPr defaultColWidth="11.19921875" defaultRowHeight="15.6" x14ac:dyDescent="0.3"/>
  <sheetData>
    <row r="1" spans="1:7" ht="20.399999999999999" x14ac:dyDescent="0.3">
      <c r="A1" s="33" t="s">
        <v>3</v>
      </c>
      <c r="B1" s="33" t="s">
        <v>4</v>
      </c>
      <c r="C1" s="33" t="s">
        <v>5</v>
      </c>
      <c r="D1" s="34" t="s">
        <v>77</v>
      </c>
      <c r="E1" s="32" t="s">
        <v>305</v>
      </c>
      <c r="F1" s="32" t="s">
        <v>306</v>
      </c>
      <c r="G1" s="32" t="s">
        <v>298</v>
      </c>
    </row>
    <row r="2" spans="1:7" ht="40.799999999999997" x14ac:dyDescent="0.3">
      <c r="A2" s="19" t="s">
        <v>272</v>
      </c>
      <c r="B2" s="19" t="s">
        <v>273</v>
      </c>
      <c r="C2" s="19" t="s">
        <v>274</v>
      </c>
      <c r="D2" s="20">
        <v>0.224</v>
      </c>
      <c r="E2" s="22">
        <v>0.151</v>
      </c>
      <c r="F2" s="22">
        <v>0.312</v>
      </c>
      <c r="G2" s="22" t="s">
        <v>297</v>
      </c>
    </row>
    <row r="3" spans="1:7" ht="40.799999999999997" x14ac:dyDescent="0.3">
      <c r="A3" s="28" t="s">
        <v>275</v>
      </c>
      <c r="B3" s="28" t="s">
        <v>273</v>
      </c>
      <c r="C3" s="28" t="s">
        <v>274</v>
      </c>
      <c r="D3" s="29">
        <v>0.224</v>
      </c>
      <c r="E3" s="22">
        <v>0.151</v>
      </c>
      <c r="F3" s="22">
        <v>0.312</v>
      </c>
      <c r="G3" s="22" t="s">
        <v>297</v>
      </c>
    </row>
    <row r="4" spans="1:7" x14ac:dyDescent="0.3">
      <c r="A4" s="101" t="s">
        <v>307</v>
      </c>
      <c r="B4" s="101"/>
      <c r="C4" s="101"/>
      <c r="D4" s="35">
        <f>AVERAGE(D2:D3)</f>
        <v>0.224</v>
      </c>
      <c r="E4" s="23"/>
      <c r="F4" s="23"/>
      <c r="G4" s="23"/>
    </row>
    <row r="5" spans="1:7" x14ac:dyDescent="0.3">
      <c r="A5" s="23"/>
      <c r="B5" s="23"/>
      <c r="C5" s="23"/>
      <c r="D5" s="23"/>
      <c r="E5" s="23"/>
      <c r="F5" s="23"/>
      <c r="G5" s="23"/>
    </row>
  </sheetData>
  <mergeCells count="1">
    <mergeCell ref="A4: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7" zoomScale="150" zoomScaleNormal="150" workbookViewId="0"/>
  </sheetViews>
  <sheetFormatPr defaultColWidth="11.19921875" defaultRowHeight="15.6" x14ac:dyDescent="0.3"/>
  <cols>
    <col min="1" max="1" width="25.19921875" customWidth="1"/>
    <col min="2" max="2" width="15" customWidth="1"/>
    <col min="3" max="3" width="35" customWidth="1"/>
    <col min="4" max="4" width="21.69921875" customWidth="1"/>
  </cols>
  <sheetData>
    <row r="1" spans="1:7" ht="31.2" x14ac:dyDescent="0.3">
      <c r="A1" s="36" t="s">
        <v>3</v>
      </c>
      <c r="B1" s="36" t="s">
        <v>4</v>
      </c>
      <c r="C1" s="36" t="s">
        <v>5</v>
      </c>
      <c r="D1" s="37" t="s">
        <v>77</v>
      </c>
      <c r="E1" s="38" t="s">
        <v>305</v>
      </c>
      <c r="F1" s="38" t="s">
        <v>306</v>
      </c>
      <c r="G1" s="38" t="s">
        <v>298</v>
      </c>
    </row>
    <row r="2" spans="1:7" ht="62.4" x14ac:dyDescent="0.3">
      <c r="A2" s="39" t="s">
        <v>6</v>
      </c>
      <c r="B2" s="39" t="s">
        <v>7</v>
      </c>
      <c r="C2" s="39" t="s">
        <v>8</v>
      </c>
      <c r="D2" s="30">
        <v>0.01</v>
      </c>
      <c r="E2" s="26">
        <v>4.0000000000000001E-3</v>
      </c>
      <c r="F2" s="26">
        <v>1.9E-2</v>
      </c>
      <c r="G2" s="26" t="s">
        <v>297</v>
      </c>
    </row>
    <row r="3" spans="1:7" ht="93.6" x14ac:dyDescent="0.3">
      <c r="A3" s="40" t="s">
        <v>9</v>
      </c>
      <c r="B3" s="40" t="s">
        <v>10</v>
      </c>
      <c r="C3" s="40" t="s">
        <v>11</v>
      </c>
      <c r="D3" s="30">
        <v>2.7E-2</v>
      </c>
      <c r="E3" s="26">
        <v>1.4999999999999999E-2</v>
      </c>
      <c r="F3" s="26">
        <v>4.2000000000000003E-2</v>
      </c>
      <c r="G3" s="26" t="s">
        <v>297</v>
      </c>
    </row>
    <row r="4" spans="1:7" ht="78" x14ac:dyDescent="0.3">
      <c r="A4" s="39" t="s">
        <v>12</v>
      </c>
      <c r="B4" s="39" t="s">
        <v>13</v>
      </c>
      <c r="C4" s="39" t="s">
        <v>14</v>
      </c>
      <c r="D4" s="30">
        <v>2.1000000000000001E-2</v>
      </c>
      <c r="E4" s="26">
        <v>1.2E-2</v>
      </c>
      <c r="F4" s="26">
        <v>3.5999999999999997E-2</v>
      </c>
      <c r="G4" s="26" t="s">
        <v>297</v>
      </c>
    </row>
    <row r="5" spans="1:7" ht="124.8" x14ac:dyDescent="0.3">
      <c r="A5" s="40" t="s">
        <v>15</v>
      </c>
      <c r="B5" s="40" t="s">
        <v>16</v>
      </c>
      <c r="C5" s="40" t="s">
        <v>17</v>
      </c>
      <c r="D5" s="30">
        <v>7.3999999999999996E-2</v>
      </c>
      <c r="E5" s="26">
        <v>4.9000000000000002E-2</v>
      </c>
      <c r="F5" s="26">
        <v>0.107</v>
      </c>
      <c r="G5" s="26" t="s">
        <v>297</v>
      </c>
    </row>
    <row r="6" spans="1:7" ht="46.8" x14ac:dyDescent="0.3">
      <c r="A6" s="39" t="s">
        <v>18</v>
      </c>
      <c r="B6" s="39" t="s">
        <v>19</v>
      </c>
      <c r="C6" s="39"/>
      <c r="D6" s="30">
        <v>0.122</v>
      </c>
      <c r="E6" s="26">
        <v>7.9000000000000001E-2</v>
      </c>
      <c r="F6" s="26">
        <v>0.17</v>
      </c>
      <c r="G6" s="26" t="s">
        <v>297</v>
      </c>
    </row>
    <row r="7" spans="1:7" ht="46.8" x14ac:dyDescent="0.3">
      <c r="A7" s="40" t="s">
        <v>20</v>
      </c>
      <c r="B7" s="40" t="s">
        <v>21</v>
      </c>
      <c r="C7" s="40"/>
      <c r="D7" s="30">
        <v>0.13200000000000001</v>
      </c>
      <c r="E7" s="26">
        <v>8.5999999999999993E-2</v>
      </c>
      <c r="F7" s="26">
        <v>0.184</v>
      </c>
      <c r="G7" s="26" t="s">
        <v>297</v>
      </c>
    </row>
    <row r="8" spans="1:7" ht="46.8" x14ac:dyDescent="0.3">
      <c r="A8" s="39" t="s">
        <v>22</v>
      </c>
      <c r="B8" s="39" t="s">
        <v>23</v>
      </c>
      <c r="C8" s="39"/>
      <c r="D8" s="30">
        <v>0.13700000000000001</v>
      </c>
      <c r="E8" s="26">
        <v>8.8999999999999996E-2</v>
      </c>
      <c r="F8" s="26">
        <v>0.189</v>
      </c>
      <c r="G8" s="26" t="s">
        <v>297</v>
      </c>
    </row>
    <row r="9" spans="1:7" ht="62.4" x14ac:dyDescent="0.3">
      <c r="A9" s="40" t="s">
        <v>24</v>
      </c>
      <c r="B9" s="40" t="s">
        <v>25</v>
      </c>
      <c r="C9" s="40"/>
      <c r="D9" s="30">
        <v>0.17899999999999999</v>
      </c>
      <c r="E9" s="26">
        <v>0.12</v>
      </c>
      <c r="F9" s="26">
        <v>0.247</v>
      </c>
      <c r="G9" s="26" t="s">
        <v>297</v>
      </c>
    </row>
    <row r="10" spans="1:7" ht="62.4" x14ac:dyDescent="0.3">
      <c r="A10" s="39" t="s">
        <v>26</v>
      </c>
      <c r="B10" s="39" t="s">
        <v>7</v>
      </c>
      <c r="C10" s="39" t="s">
        <v>8</v>
      </c>
      <c r="D10" s="30">
        <v>0.01</v>
      </c>
      <c r="E10" s="26">
        <v>4.0000000000000001E-3</v>
      </c>
      <c r="F10" s="26">
        <v>1.9E-2</v>
      </c>
      <c r="G10" s="26" t="s">
        <v>297</v>
      </c>
    </row>
    <row r="11" spans="1:7" ht="93.6" x14ac:dyDescent="0.3">
      <c r="A11" s="40" t="s">
        <v>27</v>
      </c>
      <c r="B11" s="40" t="s">
        <v>10</v>
      </c>
      <c r="C11" s="40" t="s">
        <v>11</v>
      </c>
      <c r="D11" s="30">
        <v>2.7E-2</v>
      </c>
      <c r="E11" s="26">
        <v>1.4999999999999999E-2</v>
      </c>
      <c r="F11" s="26">
        <v>4.2000000000000003E-2</v>
      </c>
      <c r="G11" s="26" t="s">
        <v>297</v>
      </c>
    </row>
    <row r="12" spans="1:7" ht="109.2" x14ac:dyDescent="0.3">
      <c r="A12" s="39" t="s">
        <v>28</v>
      </c>
      <c r="B12" s="39" t="s">
        <v>29</v>
      </c>
      <c r="C12" s="39" t="s">
        <v>30</v>
      </c>
      <c r="D12" s="30">
        <v>0.158</v>
      </c>
      <c r="E12" s="26">
        <v>0.105</v>
      </c>
      <c r="F12" s="26">
        <v>0.22700000000000001</v>
      </c>
      <c r="G12" s="26" t="s">
        <v>297</v>
      </c>
    </row>
    <row r="13" spans="1:7" ht="124.8" x14ac:dyDescent="0.3">
      <c r="A13" s="40" t="s">
        <v>31</v>
      </c>
      <c r="B13" s="40" t="s">
        <v>32</v>
      </c>
      <c r="C13" s="40" t="s">
        <v>33</v>
      </c>
      <c r="D13" s="30">
        <v>0.20399999999999999</v>
      </c>
      <c r="E13" s="26">
        <v>0.13400000000000001</v>
      </c>
      <c r="F13" s="26">
        <v>0.28799999999999998</v>
      </c>
      <c r="G13" s="26" t="s">
        <v>297</v>
      </c>
    </row>
    <row r="14" spans="1:7" ht="93.6" x14ac:dyDescent="0.3">
      <c r="A14" s="39" t="s">
        <v>34</v>
      </c>
      <c r="B14" s="39" t="s">
        <v>35</v>
      </c>
      <c r="C14" s="39" t="s">
        <v>36</v>
      </c>
      <c r="D14" s="30">
        <v>0.215</v>
      </c>
      <c r="E14" s="26">
        <v>0.14399999999999999</v>
      </c>
      <c r="F14" s="26">
        <v>0.307</v>
      </c>
      <c r="G14" s="26" t="s">
        <v>297</v>
      </c>
    </row>
    <row r="15" spans="1:7" ht="78" x14ac:dyDescent="0.3">
      <c r="A15" s="40" t="s">
        <v>37</v>
      </c>
      <c r="B15" s="40" t="s">
        <v>13</v>
      </c>
      <c r="C15" s="40" t="s">
        <v>14</v>
      </c>
      <c r="D15" s="30">
        <v>2.1000000000000001E-2</v>
      </c>
      <c r="E15" s="26">
        <v>1.2E-2</v>
      </c>
      <c r="F15" s="26">
        <v>3.5999999999999997E-2</v>
      </c>
      <c r="G15" s="26" t="s">
        <v>297</v>
      </c>
    </row>
    <row r="16" spans="1:7" ht="124.8" x14ac:dyDescent="0.3">
      <c r="A16" s="39" t="s">
        <v>38</v>
      </c>
      <c r="B16" s="39" t="s">
        <v>16</v>
      </c>
      <c r="C16" s="39" t="s">
        <v>17</v>
      </c>
      <c r="D16" s="30">
        <v>7.3999999999999996E-2</v>
      </c>
      <c r="E16" s="26">
        <v>4.9000000000000002E-2</v>
      </c>
      <c r="F16" s="26">
        <v>0.107</v>
      </c>
      <c r="G16" s="26" t="s">
        <v>297</v>
      </c>
    </row>
    <row r="17" spans="1:7" ht="156" x14ac:dyDescent="0.3">
      <c r="A17" s="40" t="s">
        <v>39</v>
      </c>
      <c r="B17" s="40" t="s">
        <v>40</v>
      </c>
      <c r="C17" s="40" t="s">
        <v>41</v>
      </c>
      <c r="D17" s="30">
        <v>0.26100000000000001</v>
      </c>
      <c r="E17" s="26">
        <v>0.17499999999999999</v>
      </c>
      <c r="F17" s="26">
        <v>0.36</v>
      </c>
      <c r="G17" s="26" t="s">
        <v>297</v>
      </c>
    </row>
    <row r="18" spans="1:7" ht="171.6" x14ac:dyDescent="0.3">
      <c r="A18" s="39" t="s">
        <v>42</v>
      </c>
      <c r="B18" s="39" t="s">
        <v>43</v>
      </c>
      <c r="C18" s="39" t="s">
        <v>44</v>
      </c>
      <c r="D18" s="30">
        <v>0.27700000000000002</v>
      </c>
      <c r="E18" s="26">
        <v>0.182</v>
      </c>
      <c r="F18" s="26">
        <v>0.38700000000000001</v>
      </c>
      <c r="G18" s="26" t="s">
        <v>297</v>
      </c>
    </row>
    <row r="19" spans="1:7" ht="124.8" x14ac:dyDescent="0.3">
      <c r="A19" s="40" t="s">
        <v>45</v>
      </c>
      <c r="B19" s="40" t="s">
        <v>46</v>
      </c>
      <c r="C19" s="40" t="s">
        <v>47</v>
      </c>
      <c r="D19" s="30">
        <v>0.316</v>
      </c>
      <c r="E19" s="26">
        <v>0.21199999999999999</v>
      </c>
      <c r="F19" s="26">
        <v>0.435</v>
      </c>
      <c r="G19" s="26" t="s">
        <v>297</v>
      </c>
    </row>
    <row r="20" spans="1:7" ht="46.8" x14ac:dyDescent="0.3">
      <c r="A20" s="40" t="s">
        <v>48</v>
      </c>
      <c r="B20" s="40" t="s">
        <v>49</v>
      </c>
      <c r="C20" s="40" t="s">
        <v>50</v>
      </c>
      <c r="D20" s="30">
        <v>9.1999999999999998E-2</v>
      </c>
      <c r="E20" s="26">
        <v>6.4000000000000001E-2</v>
      </c>
      <c r="F20" s="26">
        <v>0.129</v>
      </c>
      <c r="G20" s="26" t="s">
        <v>297</v>
      </c>
    </row>
    <row r="21" spans="1:7" ht="62.4" x14ac:dyDescent="0.3">
      <c r="A21" s="39" t="s">
        <v>51</v>
      </c>
      <c r="B21" s="39" t="s">
        <v>52</v>
      </c>
      <c r="C21" s="39" t="s">
        <v>50</v>
      </c>
      <c r="D21" s="30">
        <v>0.16700000000000001</v>
      </c>
      <c r="E21" s="26">
        <v>0.115</v>
      </c>
      <c r="F21" s="26">
        <v>0.23100000000000001</v>
      </c>
      <c r="G21" s="26" t="s">
        <v>297</v>
      </c>
    </row>
    <row r="22" spans="1:7" ht="62.4" x14ac:dyDescent="0.3">
      <c r="A22" s="39" t="s">
        <v>53</v>
      </c>
      <c r="B22" s="39" t="s">
        <v>7</v>
      </c>
      <c r="C22" s="39" t="s">
        <v>8</v>
      </c>
      <c r="D22" s="30">
        <v>0.01</v>
      </c>
      <c r="E22" s="26">
        <v>4.0000000000000001E-3</v>
      </c>
      <c r="F22" s="26">
        <v>1.9E-2</v>
      </c>
      <c r="G22" s="26" t="s">
        <v>297</v>
      </c>
    </row>
    <row r="23" spans="1:7" ht="93.6" x14ac:dyDescent="0.3">
      <c r="A23" s="40" t="s">
        <v>54</v>
      </c>
      <c r="B23" s="40" t="s">
        <v>10</v>
      </c>
      <c r="C23" s="40" t="s">
        <v>11</v>
      </c>
      <c r="D23" s="30">
        <v>2.7E-2</v>
      </c>
      <c r="E23" s="26">
        <v>1.4999999999999999E-2</v>
      </c>
      <c r="F23" s="26">
        <v>4.2000000000000003E-2</v>
      </c>
      <c r="G23" s="26" t="s">
        <v>297</v>
      </c>
    </row>
    <row r="24" spans="1:7" ht="109.2" x14ac:dyDescent="0.3">
      <c r="A24" s="39" t="s">
        <v>55</v>
      </c>
      <c r="B24" s="39" t="s">
        <v>29</v>
      </c>
      <c r="C24" s="39" t="s">
        <v>30</v>
      </c>
      <c r="D24" s="30">
        <v>0.158</v>
      </c>
      <c r="E24" s="26">
        <v>0.105</v>
      </c>
      <c r="F24" s="26">
        <v>0.22700000000000001</v>
      </c>
      <c r="G24" s="26" t="s">
        <v>297</v>
      </c>
    </row>
    <row r="25" spans="1:7" ht="124.8" x14ac:dyDescent="0.3">
      <c r="A25" s="40" t="s">
        <v>56</v>
      </c>
      <c r="B25" s="40" t="s">
        <v>32</v>
      </c>
      <c r="C25" s="40" t="s">
        <v>33</v>
      </c>
      <c r="D25" s="30">
        <v>0.20399999999999999</v>
      </c>
      <c r="E25" s="26">
        <v>0.13400000000000001</v>
      </c>
      <c r="F25" s="26">
        <v>0.28799999999999998</v>
      </c>
      <c r="G25" s="26" t="s">
        <v>297</v>
      </c>
    </row>
    <row r="26" spans="1:7" ht="93.6" x14ac:dyDescent="0.3">
      <c r="A26" s="39" t="s">
        <v>57</v>
      </c>
      <c r="B26" s="39" t="s">
        <v>35</v>
      </c>
      <c r="C26" s="39" t="s">
        <v>36</v>
      </c>
      <c r="D26" s="30">
        <v>0.215</v>
      </c>
      <c r="E26" s="26">
        <v>0.14399999999999999</v>
      </c>
      <c r="F26" s="26">
        <v>0.307</v>
      </c>
      <c r="G26" s="26" t="s">
        <v>297</v>
      </c>
    </row>
    <row r="27" spans="1:7" ht="78" x14ac:dyDescent="0.3">
      <c r="A27" s="40" t="s">
        <v>58</v>
      </c>
      <c r="B27" s="40" t="s">
        <v>13</v>
      </c>
      <c r="C27" s="40" t="s">
        <v>14</v>
      </c>
      <c r="D27" s="30">
        <v>2.1000000000000001E-2</v>
      </c>
      <c r="E27" s="26">
        <v>1.2E-2</v>
      </c>
      <c r="F27" s="26">
        <v>3.5999999999999997E-2</v>
      </c>
      <c r="G27" s="26" t="s">
        <v>297</v>
      </c>
    </row>
    <row r="28" spans="1:7" ht="124.8" x14ac:dyDescent="0.3">
      <c r="A28" s="39" t="s">
        <v>59</v>
      </c>
      <c r="B28" s="39" t="s">
        <v>16</v>
      </c>
      <c r="C28" s="39" t="s">
        <v>17</v>
      </c>
      <c r="D28" s="30">
        <v>7.3999999999999996E-2</v>
      </c>
      <c r="E28" s="26">
        <v>4.9000000000000002E-2</v>
      </c>
      <c r="F28" s="26">
        <v>0.107</v>
      </c>
      <c r="G28" s="26" t="s">
        <v>297</v>
      </c>
    </row>
    <row r="29" spans="1:7" ht="156" x14ac:dyDescent="0.3">
      <c r="A29" s="40" t="s">
        <v>60</v>
      </c>
      <c r="B29" s="40" t="s">
        <v>40</v>
      </c>
      <c r="C29" s="40" t="s">
        <v>41</v>
      </c>
      <c r="D29" s="30">
        <v>0.26100000000000001</v>
      </c>
      <c r="E29" s="26">
        <v>0.17499999999999999</v>
      </c>
      <c r="F29" s="26">
        <v>0.36</v>
      </c>
      <c r="G29" s="26" t="s">
        <v>297</v>
      </c>
    </row>
    <row r="30" spans="1:7" ht="171.6" x14ac:dyDescent="0.3">
      <c r="A30" s="39" t="s">
        <v>61</v>
      </c>
      <c r="B30" s="39" t="s">
        <v>43</v>
      </c>
      <c r="C30" s="39" t="s">
        <v>44</v>
      </c>
      <c r="D30" s="30">
        <v>0.27700000000000002</v>
      </c>
      <c r="E30" s="26">
        <v>0.182</v>
      </c>
      <c r="F30" s="26">
        <v>0.38700000000000001</v>
      </c>
      <c r="G30" s="26" t="s">
        <v>297</v>
      </c>
    </row>
    <row r="31" spans="1:7" ht="124.8" x14ac:dyDescent="0.3">
      <c r="A31" s="40" t="s">
        <v>62</v>
      </c>
      <c r="B31" s="40" t="s">
        <v>46</v>
      </c>
      <c r="C31" s="40" t="s">
        <v>47</v>
      </c>
      <c r="D31" s="30">
        <v>0.316</v>
      </c>
      <c r="E31" s="26">
        <v>0.21199999999999999</v>
      </c>
      <c r="F31" s="26">
        <v>0.435</v>
      </c>
      <c r="G31" s="26" t="s">
        <v>297</v>
      </c>
    </row>
    <row r="32" spans="1:7" ht="46.8" x14ac:dyDescent="0.3">
      <c r="A32" s="39" t="s">
        <v>63</v>
      </c>
      <c r="B32" s="39" t="s">
        <v>49</v>
      </c>
      <c r="C32" s="39" t="s">
        <v>50</v>
      </c>
      <c r="D32" s="30">
        <v>9.1999999999999998E-2</v>
      </c>
      <c r="E32" s="26">
        <v>6.4000000000000001E-2</v>
      </c>
      <c r="F32" s="26">
        <v>0.129</v>
      </c>
      <c r="G32" s="26" t="s">
        <v>297</v>
      </c>
    </row>
    <row r="33" spans="1:7" ht="62.4" x14ac:dyDescent="0.3">
      <c r="A33" s="40" t="s">
        <v>64</v>
      </c>
      <c r="B33" s="40" t="s">
        <v>52</v>
      </c>
      <c r="C33" s="40" t="s">
        <v>50</v>
      </c>
      <c r="D33" s="30">
        <v>0.16700000000000001</v>
      </c>
      <c r="E33" s="26">
        <v>0.115</v>
      </c>
      <c r="F33" s="26">
        <v>0.23100000000000001</v>
      </c>
      <c r="G33" s="26" t="s">
        <v>297</v>
      </c>
    </row>
    <row r="34" spans="1:7" ht="62.4" x14ac:dyDescent="0.3">
      <c r="A34" s="40" t="s">
        <v>65</v>
      </c>
      <c r="B34" s="40" t="s">
        <v>7</v>
      </c>
      <c r="C34" s="40" t="s">
        <v>8</v>
      </c>
      <c r="D34" s="30">
        <v>0.01</v>
      </c>
      <c r="E34" s="26">
        <v>4.0000000000000001E-3</v>
      </c>
      <c r="F34" s="26">
        <v>1.9E-2</v>
      </c>
      <c r="G34" s="26" t="s">
        <v>297</v>
      </c>
    </row>
    <row r="35" spans="1:7" ht="93.6" x14ac:dyDescent="0.3">
      <c r="A35" s="39" t="s">
        <v>66</v>
      </c>
      <c r="B35" s="39" t="s">
        <v>10</v>
      </c>
      <c r="C35" s="39" t="s">
        <v>11</v>
      </c>
      <c r="D35" s="30">
        <v>2.7E-2</v>
      </c>
      <c r="E35" s="26">
        <v>1.4999999999999999E-2</v>
      </c>
      <c r="F35" s="26">
        <v>4.2000000000000003E-2</v>
      </c>
      <c r="G35" s="26" t="s">
        <v>297</v>
      </c>
    </row>
    <row r="36" spans="1:7" ht="109.2" x14ac:dyDescent="0.3">
      <c r="A36" s="40" t="s">
        <v>67</v>
      </c>
      <c r="B36" s="40" t="s">
        <v>29</v>
      </c>
      <c r="C36" s="40" t="s">
        <v>30</v>
      </c>
      <c r="D36" s="30">
        <v>0.158</v>
      </c>
      <c r="E36" s="26">
        <v>0.105</v>
      </c>
      <c r="F36" s="26">
        <v>0.22700000000000001</v>
      </c>
      <c r="G36" s="26" t="s">
        <v>297</v>
      </c>
    </row>
    <row r="37" spans="1:7" ht="124.8" x14ac:dyDescent="0.3">
      <c r="A37" s="39" t="s">
        <v>68</v>
      </c>
      <c r="B37" s="39" t="s">
        <v>32</v>
      </c>
      <c r="C37" s="39" t="s">
        <v>33</v>
      </c>
      <c r="D37" s="30">
        <v>0.20399999999999999</v>
      </c>
      <c r="E37" s="26">
        <v>0.13400000000000001</v>
      </c>
      <c r="F37" s="26">
        <v>0.28799999999999998</v>
      </c>
      <c r="G37" s="26" t="s">
        <v>297</v>
      </c>
    </row>
    <row r="38" spans="1:7" ht="93.6" x14ac:dyDescent="0.3">
      <c r="A38" s="40" t="s">
        <v>69</v>
      </c>
      <c r="B38" s="40" t="s">
        <v>35</v>
      </c>
      <c r="C38" s="40" t="s">
        <v>36</v>
      </c>
      <c r="D38" s="30">
        <v>0.215</v>
      </c>
      <c r="E38" s="26">
        <v>0.14399999999999999</v>
      </c>
      <c r="F38" s="26">
        <v>0.307</v>
      </c>
      <c r="G38" s="26" t="s">
        <v>297</v>
      </c>
    </row>
    <row r="39" spans="1:7" ht="78" x14ac:dyDescent="0.3">
      <c r="A39" s="39" t="s">
        <v>70</v>
      </c>
      <c r="B39" s="39" t="s">
        <v>13</v>
      </c>
      <c r="C39" s="39" t="s">
        <v>14</v>
      </c>
      <c r="D39" s="30">
        <v>2.1000000000000001E-2</v>
      </c>
      <c r="E39" s="26">
        <v>1.2E-2</v>
      </c>
      <c r="F39" s="26">
        <v>3.5999999999999997E-2</v>
      </c>
      <c r="G39" s="26" t="s">
        <v>297</v>
      </c>
    </row>
    <row r="40" spans="1:7" ht="124.8" x14ac:dyDescent="0.3">
      <c r="A40" s="40" t="s">
        <v>71</v>
      </c>
      <c r="B40" s="40" t="s">
        <v>16</v>
      </c>
      <c r="C40" s="40" t="s">
        <v>17</v>
      </c>
      <c r="D40" s="30">
        <v>7.3999999999999996E-2</v>
      </c>
      <c r="E40" s="26">
        <v>4.9000000000000002E-2</v>
      </c>
      <c r="F40" s="26">
        <v>0.107</v>
      </c>
      <c r="G40" s="26" t="s">
        <v>297</v>
      </c>
    </row>
    <row r="41" spans="1:7" ht="156" x14ac:dyDescent="0.3">
      <c r="A41" s="39" t="s">
        <v>72</v>
      </c>
      <c r="B41" s="39" t="s">
        <v>40</v>
      </c>
      <c r="C41" s="39" t="s">
        <v>41</v>
      </c>
      <c r="D41" s="30">
        <v>0.26100000000000001</v>
      </c>
      <c r="E41" s="26">
        <v>0.17499999999999999</v>
      </c>
      <c r="F41" s="26">
        <v>0.36</v>
      </c>
      <c r="G41" s="26" t="s">
        <v>297</v>
      </c>
    </row>
    <row r="42" spans="1:7" ht="171.6" x14ac:dyDescent="0.3">
      <c r="A42" s="40" t="s">
        <v>73</v>
      </c>
      <c r="B42" s="40" t="s">
        <v>43</v>
      </c>
      <c r="C42" s="40" t="s">
        <v>44</v>
      </c>
      <c r="D42" s="30">
        <v>0.27700000000000002</v>
      </c>
      <c r="E42" s="26">
        <v>0.182</v>
      </c>
      <c r="F42" s="26">
        <v>0.38700000000000001</v>
      </c>
      <c r="G42" s="26" t="s">
        <v>297</v>
      </c>
    </row>
    <row r="43" spans="1:7" ht="124.8" x14ac:dyDescent="0.3">
      <c r="A43" s="39" t="s">
        <v>74</v>
      </c>
      <c r="B43" s="39" t="s">
        <v>46</v>
      </c>
      <c r="C43" s="39" t="s">
        <v>47</v>
      </c>
      <c r="D43" s="30">
        <v>0.316</v>
      </c>
      <c r="E43" s="26">
        <v>0.21199999999999999</v>
      </c>
      <c r="F43" s="26">
        <v>0.435</v>
      </c>
      <c r="G43" s="26" t="s">
        <v>297</v>
      </c>
    </row>
    <row r="44" spans="1:7" ht="46.8" x14ac:dyDescent="0.3">
      <c r="A44" s="40" t="s">
        <v>75</v>
      </c>
      <c r="B44" s="40" t="s">
        <v>49</v>
      </c>
      <c r="C44" s="40" t="s">
        <v>50</v>
      </c>
      <c r="D44" s="30">
        <v>9.1999999999999998E-2</v>
      </c>
      <c r="E44" s="26">
        <v>6.4000000000000001E-2</v>
      </c>
      <c r="F44" s="26">
        <v>0.129</v>
      </c>
      <c r="G44" s="26" t="s">
        <v>297</v>
      </c>
    </row>
    <row r="45" spans="1:7" ht="62.4" x14ac:dyDescent="0.3">
      <c r="A45" s="39" t="s">
        <v>76</v>
      </c>
      <c r="B45" s="39" t="s">
        <v>52</v>
      </c>
      <c r="C45" s="39" t="s">
        <v>50</v>
      </c>
      <c r="D45" s="30">
        <v>0.16700000000000001</v>
      </c>
      <c r="E45" s="26">
        <v>0.115</v>
      </c>
      <c r="F45" s="26">
        <v>0.23200000000000001</v>
      </c>
      <c r="G45" s="26" t="s">
        <v>297</v>
      </c>
    </row>
    <row r="46" spans="1:7" x14ac:dyDescent="0.3">
      <c r="A46" s="102" t="s">
        <v>307</v>
      </c>
      <c r="B46" s="102"/>
      <c r="C46" s="102"/>
      <c r="D46" s="41">
        <f>AVERAGE(D2:D45)</f>
        <v>0.14018181818181816</v>
      </c>
    </row>
  </sheetData>
  <mergeCells count="1">
    <mergeCell ref="A46:C4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160" zoomScaleNormal="160" workbookViewId="0">
      <selection activeCell="C2" sqref="C2"/>
    </sheetView>
  </sheetViews>
  <sheetFormatPr defaultColWidth="11.19921875" defaultRowHeight="15.6" x14ac:dyDescent="0.3"/>
  <cols>
    <col min="1" max="1" width="28.69921875" customWidth="1"/>
    <col min="5" max="5" width="34.796875" customWidth="1"/>
  </cols>
  <sheetData>
    <row r="1" spans="1:5" x14ac:dyDescent="0.3">
      <c r="A1" s="42" t="s">
        <v>310</v>
      </c>
      <c r="B1" s="42" t="s">
        <v>277</v>
      </c>
      <c r="C1" s="43" t="s">
        <v>308</v>
      </c>
      <c r="D1" s="43" t="s">
        <v>309</v>
      </c>
      <c r="E1" s="44" t="s">
        <v>298</v>
      </c>
    </row>
    <row r="2" spans="1:5" ht="78" x14ac:dyDescent="0.3">
      <c r="A2" s="45" t="s">
        <v>276</v>
      </c>
      <c r="B2" s="26">
        <v>1.4999999999999999E-2</v>
      </c>
      <c r="C2" s="26">
        <v>1.0999999999999999E-2</v>
      </c>
      <c r="D2" s="26">
        <v>1.9E-2</v>
      </c>
      <c r="E2" s="46" t="s">
        <v>278</v>
      </c>
    </row>
    <row r="3" spans="1:5" x14ac:dyDescent="0.3">
      <c r="A3" s="47" t="s">
        <v>307</v>
      </c>
      <c r="B3" s="27">
        <f>AVERAGE(B2)</f>
        <v>1.4999999999999999E-2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150" zoomScaleNormal="300" workbookViewId="0">
      <selection activeCell="G20" sqref="G20"/>
    </sheetView>
  </sheetViews>
  <sheetFormatPr defaultColWidth="11.19921875" defaultRowHeight="15.6" x14ac:dyDescent="0.3"/>
  <cols>
    <col min="5" max="5" width="17.5" customWidth="1"/>
    <col min="7" max="7" width="25.296875" customWidth="1"/>
  </cols>
  <sheetData>
    <row r="1" spans="1:7" ht="21" x14ac:dyDescent="0.4">
      <c r="A1" s="103" t="s">
        <v>295</v>
      </c>
      <c r="B1" s="103"/>
      <c r="C1" s="103"/>
      <c r="D1" s="103"/>
      <c r="E1" s="103"/>
      <c r="F1" s="103"/>
      <c r="G1" s="103"/>
    </row>
    <row r="2" spans="1:7" ht="46.8" x14ac:dyDescent="0.3">
      <c r="A2" s="48" t="s">
        <v>3</v>
      </c>
      <c r="B2" s="48" t="s">
        <v>4</v>
      </c>
      <c r="C2" s="48" t="s">
        <v>5</v>
      </c>
      <c r="D2" s="49" t="s">
        <v>77</v>
      </c>
      <c r="E2" s="38" t="s">
        <v>305</v>
      </c>
      <c r="F2" s="38" t="s">
        <v>306</v>
      </c>
      <c r="G2" s="38" t="s">
        <v>298</v>
      </c>
    </row>
    <row r="3" spans="1:7" ht="140.4" x14ac:dyDescent="0.3">
      <c r="A3" s="50" t="s">
        <v>279</v>
      </c>
      <c r="B3" s="50" t="s">
        <v>280</v>
      </c>
      <c r="C3" s="50" t="s">
        <v>281</v>
      </c>
      <c r="D3" s="51">
        <v>0.114</v>
      </c>
      <c r="E3" s="52">
        <v>7.8E-2</v>
      </c>
      <c r="F3" s="26">
        <v>0.159</v>
      </c>
      <c r="G3" s="26" t="s">
        <v>297</v>
      </c>
    </row>
    <row r="4" spans="1:7" ht="62.4" x14ac:dyDescent="0.3">
      <c r="A4" s="50" t="s">
        <v>282</v>
      </c>
      <c r="B4" s="50" t="s">
        <v>283</v>
      </c>
      <c r="C4" s="50" t="s">
        <v>284</v>
      </c>
      <c r="D4" s="51">
        <v>0.32500000000000001</v>
      </c>
      <c r="E4" s="52">
        <v>0.20899999999999999</v>
      </c>
      <c r="F4" s="26">
        <v>0.46200000000000002</v>
      </c>
      <c r="G4" s="26" t="s">
        <v>297</v>
      </c>
    </row>
    <row r="5" spans="1:7" x14ac:dyDescent="0.3">
      <c r="A5" s="104" t="s">
        <v>307</v>
      </c>
      <c r="B5" s="104"/>
      <c r="C5" s="104"/>
      <c r="D5" s="55">
        <f>AVERAGE(D3:D4)</f>
        <v>0.2195</v>
      </c>
    </row>
    <row r="6" spans="1:7" x14ac:dyDescent="0.3">
      <c r="A6" s="54"/>
      <c r="B6" s="54"/>
      <c r="C6" s="54"/>
      <c r="D6" s="53"/>
    </row>
    <row r="7" spans="1:7" x14ac:dyDescent="0.3">
      <c r="A7" s="17"/>
      <c r="B7" s="17"/>
      <c r="C7" s="17"/>
      <c r="D7" s="18"/>
    </row>
    <row r="8" spans="1:7" ht="21" x14ac:dyDescent="0.4">
      <c r="A8" s="103" t="s">
        <v>296</v>
      </c>
      <c r="B8" s="103"/>
      <c r="C8" s="103"/>
      <c r="D8" s="103"/>
      <c r="E8" s="103"/>
      <c r="F8" s="103"/>
      <c r="G8" s="103"/>
    </row>
    <row r="9" spans="1:7" ht="46.8" x14ac:dyDescent="0.3">
      <c r="A9" s="56" t="s">
        <v>3</v>
      </c>
      <c r="B9" s="56" t="s">
        <v>4</v>
      </c>
      <c r="C9" s="56" t="s">
        <v>5</v>
      </c>
      <c r="D9" s="38" t="s">
        <v>77</v>
      </c>
      <c r="E9" s="38" t="s">
        <v>305</v>
      </c>
      <c r="F9" s="38" t="s">
        <v>306</v>
      </c>
      <c r="G9" s="38" t="s">
        <v>298</v>
      </c>
    </row>
    <row r="10" spans="1:7" ht="124.8" x14ac:dyDescent="0.3">
      <c r="A10" s="40" t="s">
        <v>285</v>
      </c>
      <c r="B10" s="40" t="s">
        <v>286</v>
      </c>
      <c r="C10" s="40" t="s">
        <v>287</v>
      </c>
      <c r="D10" s="30">
        <v>7.3999999999999996E-2</v>
      </c>
      <c r="E10" s="30">
        <v>4.9000000000000002E-2</v>
      </c>
      <c r="F10" s="26">
        <v>0.104</v>
      </c>
      <c r="G10" s="26" t="s">
        <v>297</v>
      </c>
    </row>
    <row r="11" spans="1:7" ht="156" x14ac:dyDescent="0.3">
      <c r="A11" s="39" t="s">
        <v>288</v>
      </c>
      <c r="B11" s="39" t="s">
        <v>289</v>
      </c>
      <c r="C11" s="39" t="s">
        <v>290</v>
      </c>
      <c r="D11" s="30">
        <v>0.188</v>
      </c>
      <c r="E11" s="30">
        <v>0.125</v>
      </c>
      <c r="F11" s="26">
        <v>0.26400000000000001</v>
      </c>
      <c r="G11" s="26" t="s">
        <v>297</v>
      </c>
    </row>
    <row r="12" spans="1:7" ht="187.2" x14ac:dyDescent="0.3">
      <c r="A12" s="40" t="s">
        <v>291</v>
      </c>
      <c r="B12" s="40" t="s">
        <v>292</v>
      </c>
      <c r="C12" s="40" t="s">
        <v>293</v>
      </c>
      <c r="D12" s="30">
        <v>0.247</v>
      </c>
      <c r="E12" s="30">
        <v>0.16400000000000001</v>
      </c>
      <c r="F12" s="26">
        <v>0.34799999999999998</v>
      </c>
      <c r="G12" s="26" t="s">
        <v>297</v>
      </c>
    </row>
    <row r="13" spans="1:7" ht="109.2" x14ac:dyDescent="0.3">
      <c r="A13" s="40" t="s">
        <v>285</v>
      </c>
      <c r="B13" s="40"/>
      <c r="C13" s="40"/>
      <c r="D13" s="30">
        <v>7.3999999999999996E-2</v>
      </c>
      <c r="E13" s="30"/>
      <c r="F13" s="26"/>
      <c r="G13" s="30" t="s">
        <v>299</v>
      </c>
    </row>
    <row r="14" spans="1:7" x14ac:dyDescent="0.3">
      <c r="A14" s="104" t="s">
        <v>307</v>
      </c>
      <c r="B14" s="104"/>
      <c r="C14" s="104"/>
      <c r="D14" s="55">
        <f>AVERAGE(D10:D13)</f>
        <v>0.14574999999999999</v>
      </c>
    </row>
    <row r="15" spans="1:7" x14ac:dyDescent="0.3">
      <c r="A15" s="57"/>
      <c r="B15" s="57"/>
      <c r="C15" s="57"/>
      <c r="D15" s="55"/>
    </row>
    <row r="17" spans="1:7" ht="21" x14ac:dyDescent="0.4">
      <c r="A17" s="103" t="s">
        <v>304</v>
      </c>
      <c r="B17" s="103"/>
      <c r="C17" s="103"/>
      <c r="D17" s="103"/>
      <c r="E17" s="103"/>
      <c r="F17" s="103"/>
      <c r="G17" s="103"/>
    </row>
    <row r="18" spans="1:7" ht="46.8" x14ac:dyDescent="0.3">
      <c r="A18" s="56" t="s">
        <v>3</v>
      </c>
      <c r="B18" s="56" t="s">
        <v>4</v>
      </c>
      <c r="C18" s="56" t="s">
        <v>5</v>
      </c>
      <c r="D18" s="38" t="s">
        <v>77</v>
      </c>
      <c r="E18" s="38" t="s">
        <v>305</v>
      </c>
      <c r="F18" s="38" t="s">
        <v>306</v>
      </c>
      <c r="G18" s="38" t="s">
        <v>298</v>
      </c>
    </row>
    <row r="19" spans="1:7" ht="156" x14ac:dyDescent="0.3">
      <c r="A19" s="52" t="s">
        <v>294</v>
      </c>
      <c r="B19" s="52" t="s">
        <v>280</v>
      </c>
      <c r="C19" s="52" t="s">
        <v>281</v>
      </c>
      <c r="D19" s="52">
        <v>0.114</v>
      </c>
      <c r="E19" s="52">
        <v>7.8E-2</v>
      </c>
      <c r="F19" s="26">
        <v>0.159</v>
      </c>
      <c r="G19" s="26" t="s">
        <v>297</v>
      </c>
    </row>
    <row r="20" spans="1:7" ht="109.2" x14ac:dyDescent="0.3">
      <c r="A20" s="52" t="s">
        <v>300</v>
      </c>
      <c r="B20" s="52"/>
      <c r="C20" s="52" t="s">
        <v>301</v>
      </c>
      <c r="D20" s="52">
        <v>0.11</v>
      </c>
      <c r="E20" s="30"/>
      <c r="F20" s="26"/>
      <c r="G20" s="30" t="s">
        <v>299</v>
      </c>
    </row>
    <row r="21" spans="1:7" x14ac:dyDescent="0.3">
      <c r="A21" s="104" t="s">
        <v>307</v>
      </c>
      <c r="B21" s="104"/>
      <c r="C21" s="104"/>
      <c r="D21" s="55">
        <f>AVERAGE(D19:D20)</f>
        <v>0.112</v>
      </c>
    </row>
    <row r="23" spans="1:7" ht="21" x14ac:dyDescent="0.4">
      <c r="A23" s="103" t="s">
        <v>303</v>
      </c>
      <c r="B23" s="103"/>
      <c r="C23" s="103"/>
      <c r="D23" s="103"/>
      <c r="E23" s="103"/>
      <c r="F23" s="103"/>
      <c r="G23" s="103"/>
    </row>
    <row r="24" spans="1:7" ht="46.8" x14ac:dyDescent="0.3">
      <c r="A24" s="56" t="s">
        <v>3</v>
      </c>
      <c r="B24" s="56" t="s">
        <v>4</v>
      </c>
      <c r="C24" s="56" t="s">
        <v>5</v>
      </c>
      <c r="D24" s="38" t="s">
        <v>77</v>
      </c>
      <c r="E24" s="38" t="s">
        <v>305</v>
      </c>
      <c r="F24" s="38" t="s">
        <v>306</v>
      </c>
      <c r="G24" s="38" t="s">
        <v>298</v>
      </c>
    </row>
    <row r="25" spans="1:7" ht="109.2" x14ac:dyDescent="0.3">
      <c r="A25" s="58" t="s">
        <v>302</v>
      </c>
      <c r="B25" s="58"/>
      <c r="C25" s="58" t="s">
        <v>303</v>
      </c>
      <c r="D25" s="52">
        <v>7.0000000000000007E-2</v>
      </c>
      <c r="E25" s="59"/>
      <c r="F25" s="21"/>
      <c r="G25" s="30" t="s">
        <v>299</v>
      </c>
    </row>
    <row r="26" spans="1:7" x14ac:dyDescent="0.3">
      <c r="A26" s="104" t="s">
        <v>307</v>
      </c>
      <c r="B26" s="104"/>
      <c r="C26" s="104"/>
      <c r="D26" s="55">
        <f>AVERAGE(D25)</f>
        <v>7.0000000000000007E-2</v>
      </c>
    </row>
  </sheetData>
  <mergeCells count="8">
    <mergeCell ref="A1:G1"/>
    <mergeCell ref="A5:C5"/>
    <mergeCell ref="A23:G23"/>
    <mergeCell ref="A26:C26"/>
    <mergeCell ref="A8:G8"/>
    <mergeCell ref="A14:C14"/>
    <mergeCell ref="A17:G17"/>
    <mergeCell ref="A21: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50" zoomScaleNormal="150" workbookViewId="0">
      <selection activeCell="A13" sqref="A13:G13"/>
    </sheetView>
  </sheetViews>
  <sheetFormatPr defaultColWidth="11.19921875" defaultRowHeight="15.6" x14ac:dyDescent="0.3"/>
  <cols>
    <col min="3" max="3" width="14.5" customWidth="1"/>
    <col min="7" max="7" width="15.296875" customWidth="1"/>
  </cols>
  <sheetData>
    <row r="1" spans="1:7" ht="21" x14ac:dyDescent="0.4">
      <c r="A1" s="103" t="s">
        <v>311</v>
      </c>
      <c r="B1" s="103"/>
      <c r="C1" s="103"/>
      <c r="D1" s="103"/>
      <c r="E1" s="103"/>
      <c r="F1" s="103"/>
      <c r="G1" s="103"/>
    </row>
    <row r="2" spans="1:7" ht="31.2" x14ac:dyDescent="0.3">
      <c r="A2" s="48" t="s">
        <v>3</v>
      </c>
      <c r="B2" s="48" t="s">
        <v>4</v>
      </c>
      <c r="C2" s="48" t="s">
        <v>5</v>
      </c>
      <c r="D2" s="49" t="s">
        <v>77</v>
      </c>
      <c r="E2" s="38" t="s">
        <v>305</v>
      </c>
      <c r="F2" s="38" t="s">
        <v>306</v>
      </c>
      <c r="G2" s="38" t="s">
        <v>298</v>
      </c>
    </row>
    <row r="3" spans="1:7" ht="62.4" x14ac:dyDescent="0.3">
      <c r="A3" s="50" t="s">
        <v>312</v>
      </c>
      <c r="B3" s="50" t="s">
        <v>283</v>
      </c>
      <c r="C3" s="50" t="s">
        <v>284</v>
      </c>
      <c r="D3" s="51">
        <v>0.32500000000000001</v>
      </c>
      <c r="E3" s="52">
        <v>0.20899999999999999</v>
      </c>
      <c r="F3" s="26">
        <v>0.46200000000000002</v>
      </c>
      <c r="G3" s="26" t="s">
        <v>297</v>
      </c>
    </row>
    <row r="4" spans="1:7" x14ac:dyDescent="0.3">
      <c r="A4" s="104" t="s">
        <v>307</v>
      </c>
      <c r="B4" s="104"/>
      <c r="C4" s="104"/>
      <c r="D4" s="55">
        <f>AVERAGE(D3)</f>
        <v>0.32500000000000001</v>
      </c>
    </row>
    <row r="7" spans="1:7" ht="21" x14ac:dyDescent="0.4">
      <c r="A7" s="103" t="s">
        <v>314</v>
      </c>
      <c r="B7" s="103"/>
      <c r="C7" s="103"/>
      <c r="D7" s="103"/>
      <c r="E7" s="103"/>
      <c r="F7" s="103"/>
      <c r="G7" s="103"/>
    </row>
    <row r="8" spans="1:7" ht="31.2" x14ac:dyDescent="0.3">
      <c r="A8" s="48" t="s">
        <v>3</v>
      </c>
      <c r="B8" s="48" t="s">
        <v>4</v>
      </c>
      <c r="C8" s="48" t="s">
        <v>5</v>
      </c>
      <c r="D8" s="49" t="s">
        <v>77</v>
      </c>
      <c r="E8" s="38" t="s">
        <v>305</v>
      </c>
      <c r="F8" s="38" t="s">
        <v>306</v>
      </c>
      <c r="G8" s="38" t="s">
        <v>298</v>
      </c>
    </row>
    <row r="9" spans="1:7" ht="93.6" x14ac:dyDescent="0.3">
      <c r="A9" s="50" t="s">
        <v>313</v>
      </c>
      <c r="B9" s="50" t="s">
        <v>270</v>
      </c>
      <c r="C9" s="50" t="s">
        <v>271</v>
      </c>
      <c r="D9" s="51">
        <v>5.0999999999999997E-2</v>
      </c>
      <c r="E9" s="52">
        <v>3.2000000000000001E-2</v>
      </c>
      <c r="F9" s="26">
        <v>7.3999999999999996E-2</v>
      </c>
      <c r="G9" s="26" t="s">
        <v>297</v>
      </c>
    </row>
    <row r="10" spans="1:7" x14ac:dyDescent="0.3">
      <c r="A10" s="104" t="s">
        <v>307</v>
      </c>
      <c r="B10" s="104"/>
      <c r="C10" s="104"/>
      <c r="D10" s="55">
        <f>AVERAGE(D9)</f>
        <v>5.0999999999999997E-2</v>
      </c>
    </row>
    <row r="11" spans="1:7" x14ac:dyDescent="0.3">
      <c r="A11" s="57"/>
      <c r="B11" s="57"/>
      <c r="C11" s="57"/>
      <c r="D11" s="55"/>
    </row>
    <row r="13" spans="1:7" ht="21" x14ac:dyDescent="0.4">
      <c r="A13" s="103" t="s">
        <v>314</v>
      </c>
      <c r="B13" s="103"/>
      <c r="C13" s="103"/>
      <c r="D13" s="103"/>
      <c r="E13" s="103"/>
      <c r="F13" s="103"/>
      <c r="G13" s="103"/>
    </row>
    <row r="14" spans="1:7" ht="31.2" x14ac:dyDescent="0.3">
      <c r="A14" s="48" t="s">
        <v>3</v>
      </c>
      <c r="B14" s="48" t="s">
        <v>4</v>
      </c>
      <c r="C14" s="48" t="s">
        <v>5</v>
      </c>
      <c r="D14" s="49" t="s">
        <v>77</v>
      </c>
      <c r="E14" s="38" t="s">
        <v>305</v>
      </c>
      <c r="F14" s="38" t="s">
        <v>306</v>
      </c>
      <c r="G14" s="38" t="s">
        <v>298</v>
      </c>
    </row>
    <row r="15" spans="1:7" ht="124.8" x14ac:dyDescent="0.3">
      <c r="A15" s="50" t="s">
        <v>315</v>
      </c>
      <c r="B15" s="50" t="s">
        <v>316</v>
      </c>
      <c r="C15" s="50" t="s">
        <v>317</v>
      </c>
      <c r="D15" s="51">
        <v>5.1999999999999998E-2</v>
      </c>
      <c r="E15" s="52">
        <v>3.4000000000000002E-2</v>
      </c>
      <c r="F15" s="26">
        <v>7.5999999999999998E-2</v>
      </c>
      <c r="G15" s="30" t="s">
        <v>318</v>
      </c>
    </row>
    <row r="16" spans="1:7" x14ac:dyDescent="0.3">
      <c r="A16" s="104" t="s">
        <v>307</v>
      </c>
      <c r="B16" s="104"/>
      <c r="C16" s="104"/>
      <c r="D16" s="55">
        <f>AVERAGE(D15)</f>
        <v>5.1999999999999998E-2</v>
      </c>
    </row>
  </sheetData>
  <mergeCells count="6">
    <mergeCell ref="A16:C16"/>
    <mergeCell ref="A1:G1"/>
    <mergeCell ref="A4:C4"/>
    <mergeCell ref="A7:G7"/>
    <mergeCell ref="A10:C10"/>
    <mergeCell ref="A13: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160" zoomScaleNormal="160" workbookViewId="0">
      <selection activeCell="A3" sqref="A3:D3"/>
    </sheetView>
  </sheetViews>
  <sheetFormatPr defaultColWidth="11.19921875" defaultRowHeight="15.6" x14ac:dyDescent="0.3"/>
  <cols>
    <col min="3" max="3" width="21.296875" customWidth="1"/>
  </cols>
  <sheetData>
    <row r="1" spans="1:7" ht="31.2" x14ac:dyDescent="0.3">
      <c r="A1" s="60" t="s">
        <v>3</v>
      </c>
      <c r="B1" s="60" t="s">
        <v>4</v>
      </c>
      <c r="C1" s="60" t="s">
        <v>5</v>
      </c>
      <c r="D1" s="61" t="s">
        <v>77</v>
      </c>
      <c r="E1" s="38" t="s">
        <v>305</v>
      </c>
      <c r="F1" s="38" t="s">
        <v>306</v>
      </c>
      <c r="G1" s="38" t="s">
        <v>298</v>
      </c>
    </row>
    <row r="2" spans="1:7" ht="93.6" x14ac:dyDescent="0.3">
      <c r="A2" s="50" t="s">
        <v>319</v>
      </c>
      <c r="B2" s="50" t="s">
        <v>319</v>
      </c>
      <c r="C2" s="50" t="s">
        <v>320</v>
      </c>
      <c r="D2" s="51">
        <v>0.224</v>
      </c>
      <c r="E2" s="26">
        <v>0.15</v>
      </c>
      <c r="F2" s="26">
        <v>0.312</v>
      </c>
      <c r="G2" s="26" t="s">
        <v>297</v>
      </c>
    </row>
    <row r="3" spans="1:7" x14ac:dyDescent="0.3">
      <c r="A3" s="104" t="s">
        <v>307</v>
      </c>
      <c r="B3" s="104"/>
      <c r="C3" s="104"/>
      <c r="D3" s="55">
        <f>AVERAGE(D2)</f>
        <v>0.224</v>
      </c>
    </row>
  </sheetData>
  <mergeCells count="1">
    <mergeCell ref="A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Index</vt:lpstr>
      <vt:lpstr>Symptoms</vt:lpstr>
      <vt:lpstr>Lymphatic system</vt:lpstr>
      <vt:lpstr>Cardiac disorder</vt:lpstr>
      <vt:lpstr>Ear</vt:lpstr>
      <vt:lpstr>Eye</vt:lpstr>
      <vt:lpstr>Gastro</vt:lpstr>
      <vt:lpstr>General disorders</vt:lpstr>
      <vt:lpstr>Metabolic</vt:lpstr>
      <vt:lpstr>Musculoskeletal</vt:lpstr>
      <vt:lpstr>Nervous system</vt:lpstr>
      <vt:lpstr>Shock</vt:lpstr>
      <vt:lpstr>Renal disorders</vt:lpstr>
      <vt:lpstr>Reproducive system</vt:lpstr>
      <vt:lpstr>Respiratory</vt:lpstr>
      <vt:lpstr>Skin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F</dc:creator>
  <cp:lastModifiedBy>David Smith</cp:lastModifiedBy>
  <dcterms:created xsi:type="dcterms:W3CDTF">2023-03-06T10:36:17Z</dcterms:created>
  <dcterms:modified xsi:type="dcterms:W3CDTF">2023-09-08T10:34:24Z</dcterms:modified>
</cp:coreProperties>
</file>