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showInkAnnotation="0" autoCompressPictures="0"/>
  <mc:AlternateContent xmlns:mc="http://schemas.openxmlformats.org/markup-compatibility/2006">
    <mc:Choice Requires="x15">
      <x15ac:absPath xmlns:x15ac="http://schemas.microsoft.com/office/spreadsheetml/2010/11/ac" url="E:\"/>
    </mc:Choice>
  </mc:AlternateContent>
  <xr:revisionPtr revIDLastSave="0" documentId="13_ncr:1_{72360C30-BC7D-4117-A45B-664F4551E33E}" xr6:coauthVersionLast="40" xr6:coauthVersionMax="40" xr10:uidLastSave="{00000000-0000-0000-0000-000000000000}"/>
  <bookViews>
    <workbookView xWindow="0" yWindow="0" windowWidth="16410" windowHeight="7545" tabRatio="500" activeTab="1" xr2:uid="{00000000-000D-0000-FFFF-FFFF00000000}"/>
  </bookViews>
  <sheets>
    <sheet name="Intro" sheetId="2" r:id="rId1"/>
    <sheet name="I21" sheetId="1" r:id="rId2"/>
    <sheet name="Hadlock formula HC" sheetId="3" r:id="rId3"/>
  </sheets>
  <calcPr calcId="181029" concurrentCalc="0"/>
  <extLst>
    <ext xmlns:mx="http://schemas.microsoft.com/office/mac/excel/2008/main" uri="{7523E5D3-25F3-A5E0-1632-64F254C22452}">
      <mx:ArchID Flags="2"/>
    </ext>
  </extLst>
</workbook>
</file>

<file path=xl/calcChain.xml><?xml version="1.0" encoding="utf-8"?>
<calcChain xmlns="http://schemas.openxmlformats.org/spreadsheetml/2006/main">
  <c r="C5" i="3" l="1"/>
  <c r="J17" i="3"/>
  <c r="J15" i="3"/>
  <c r="J13" i="3"/>
  <c r="D11" i="3"/>
  <c r="J11" i="3"/>
  <c r="E15" i="3"/>
  <c r="E14" i="3"/>
  <c r="E11" i="3"/>
  <c r="C11" i="3"/>
  <c r="C9" i="3"/>
  <c r="H9" i="3"/>
  <c r="G9" i="3"/>
  <c r="F9" i="3"/>
  <c r="E9" i="3"/>
  <c r="C8" i="3"/>
  <c r="H8" i="3"/>
  <c r="G8" i="3"/>
  <c r="F8" i="3"/>
  <c r="E8" i="3"/>
  <c r="C7" i="3"/>
  <c r="H7" i="3"/>
  <c r="G7" i="3"/>
  <c r="E7" i="3"/>
  <c r="F7" i="3"/>
  <c r="C6" i="3"/>
  <c r="H6" i="3"/>
  <c r="G6" i="3"/>
  <c r="E6" i="3"/>
  <c r="F6" i="3"/>
  <c r="H5" i="3"/>
  <c r="G5" i="3"/>
  <c r="E5" i="3"/>
  <c r="F5" i="3"/>
  <c r="O18" i="2"/>
  <c r="K19" i="2"/>
  <c r="K20" i="2"/>
  <c r="N21" i="2"/>
  <c r="N20" i="2"/>
  <c r="C19" i="2"/>
  <c r="D20" i="2"/>
  <c r="N19" i="2"/>
  <c r="D19" i="2"/>
  <c r="C5" i="1"/>
  <c r="G5" i="1"/>
  <c r="H5" i="1"/>
  <c r="E5" i="1"/>
  <c r="F5" i="1"/>
  <c r="C6" i="1"/>
  <c r="G6" i="1"/>
  <c r="H6" i="1"/>
  <c r="E6" i="1"/>
  <c r="F6" i="1"/>
  <c r="C7" i="1"/>
  <c r="G7" i="1"/>
  <c r="H7" i="1"/>
  <c r="E7" i="1"/>
  <c r="F7" i="1"/>
  <c r="C8" i="1"/>
  <c r="G8" i="1"/>
  <c r="H8" i="1"/>
  <c r="E8" i="1"/>
  <c r="F8" i="1"/>
  <c r="C9" i="1"/>
  <c r="E9" i="1"/>
  <c r="F9" i="1"/>
  <c r="G9" i="1"/>
  <c r="H9" i="1"/>
  <c r="C11" i="1"/>
  <c r="D11" i="1"/>
  <c r="J13" i="1"/>
  <c r="J17" i="1"/>
  <c r="J11" i="1"/>
  <c r="J15" i="1"/>
  <c r="E15" i="1"/>
  <c r="E11" i="1"/>
  <c r="E1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Aris Papageorghiou</author>
  </authors>
  <commentList>
    <comment ref="C4" authorId="0" shapeId="0" xr:uid="{00000000-0006-0000-0100-000001000000}">
      <text>
        <r>
          <rPr>
            <b/>
            <sz val="9"/>
            <color indexed="81"/>
            <rFont val="Tahoma"/>
            <family val="2"/>
          </rPr>
          <t>Aris Papageorghiou:</t>
        </r>
        <r>
          <rPr>
            <sz val="9"/>
            <color indexed="81"/>
            <rFont val="Tahoma"/>
            <family val="2"/>
          </rPr>
          <t xml:space="preserve">
Enter exact gestational age in decimals., for example
32 weeks 0 days = 32.0
36 weeks 5 days = 32.7</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Aris Papageorghiou</author>
  </authors>
  <commentList>
    <comment ref="C4" authorId="0" shapeId="0" xr:uid="{00000000-0006-0000-0200-000001000000}">
      <text>
        <r>
          <rPr>
            <b/>
            <sz val="9"/>
            <color indexed="81"/>
            <rFont val="Tahoma"/>
            <family val="2"/>
          </rPr>
          <t>Aris Papageorghiou:</t>
        </r>
        <r>
          <rPr>
            <sz val="9"/>
            <color indexed="81"/>
            <rFont val="Tahoma"/>
            <family val="2"/>
          </rPr>
          <t xml:space="preserve">
Enter exact gestational age in decimals., for example
32 weeks 0 days = 32.0
36 weeks 5 days = 32.7</t>
        </r>
      </text>
    </comment>
  </commentList>
</comments>
</file>

<file path=xl/sharedStrings.xml><?xml version="1.0" encoding="utf-8"?>
<sst xmlns="http://schemas.openxmlformats.org/spreadsheetml/2006/main" count="65" uniqueCount="44">
  <si>
    <t xml:space="preserve">σ(GA) </t>
  </si>
  <si>
    <t xml:space="preserve">μ(GA) </t>
  </si>
  <si>
    <t xml:space="preserve">λ(GA) </t>
  </si>
  <si>
    <t>BƯỚC 3: ƯỚC LƯỢNG CÂN THAI (g)</t>
  </si>
  <si>
    <t>Y</t>
  </si>
  <si>
    <t>ĐK chẩm trán</t>
  </si>
  <si>
    <t>ĐKLĐ</t>
  </si>
  <si>
    <t>Chiều dài XĐ</t>
  </si>
  <si>
    <t>Chu vi bụng</t>
  </si>
  <si>
    <t>`</t>
  </si>
  <si>
    <t>Vòng đầu</t>
  </si>
  <si>
    <t>sd expected</t>
  </si>
  <si>
    <t>mean expected</t>
  </si>
  <si>
    <t>centile</t>
  </si>
  <si>
    <t>z-score</t>
  </si>
  <si>
    <t>Gestational age (weeks)</t>
  </si>
  <si>
    <t>BƯỚC 2: NHẬP số đo (mm)</t>
  </si>
  <si>
    <t>BƯỚC 1: NHẬP tuổi thai</t>
  </si>
  <si>
    <t>NGÀY</t>
  </si>
  <si>
    <t>TUẦN</t>
  </si>
  <si>
    <t>The INTERGROWTH-21st Project</t>
  </si>
  <si>
    <t>International  Standards for Fetal Growth: Centile and z-score calculator for fetal measurements</t>
  </si>
  <si>
    <t>This is a beta version centile and z-score calculator for fetal measurements (head circumference, abdominal circumference, femur length, BPD and OFD)</t>
  </si>
  <si>
    <t>Please use the tabs below to assess centiles and z-scores for an individual fetus or for a large dataset of measurements. For measurement methods see the reference below.</t>
  </si>
  <si>
    <t>Please note: This calculator will be replaced by a user-friendly app shortly.</t>
  </si>
  <si>
    <t>For paper based versions of the charts see https://intergrowth21.tghn.org</t>
  </si>
  <si>
    <t>Based on: Papageorghiou AT, Ohuma EO, Altman DG, Todros T, Cheikh Ismail L, Lambert A, Jaffer YA, Bertino E, Gravett MG, Purwar M, Noble JA, Pang R, Victora CG, Barros FC, Carvalho M, Salomon LJ, Bhutta ZA, Kennedy SH, Villar J; International Fetal and Newborn Growth Consortium for the 21st Century (INTERGROWTH-21st). International standards for fetal growth based on serial ultrasound measurements: the Fetal Growth Longitudinal Study of the INTERGROWTH-21st Project. Lancet. 2014 Sep 6;384(9946):869-79. doi: 10.1016/S0140-6736(14)61490-2.</t>
  </si>
  <si>
    <t>CRL (mm)</t>
  </si>
  <si>
    <t>GA</t>
  </si>
  <si>
    <t>weeks</t>
  </si>
  <si>
    <t>days</t>
  </si>
  <si>
    <t>GA (days)</t>
  </si>
  <si>
    <t>week</t>
  </si>
  <si>
    <t>CRLexp</t>
  </si>
  <si>
    <t>mm</t>
  </si>
  <si>
    <t>Zscore</t>
  </si>
  <si>
    <t>day</t>
  </si>
  <si>
    <t>SD</t>
  </si>
  <si>
    <t>5th</t>
  </si>
  <si>
    <t>Based on: Ultrasound Obstet Gynecol 2014; 44: 641–64</t>
  </si>
  <si>
    <t>CRLmes</t>
  </si>
  <si>
    <t>95th</t>
  </si>
  <si>
    <t>BƯỚC 3: ƯỚC LƯỢNG CÂN THAI (g)-HadlockHC/AC/FL</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</si>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</sst>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7">
    <font>
      <sz val="11"/>
      <color theme="1"/>
      <name val="Calibri"/>
      <family val="2"/>
      <scheme val="minor"/>
    </font>
    <font>
      <sz val="12"/>
      <color rgb="FF006100"/>
      <name val="Calibri"/>
      <family val="2"/>
      <scheme val="minor"/>
    </font>
    <font>
      <sz val="11"/>
      <color rgb="FFFF0000"/>
      <name val="Calibri"/>
      <family val="2"/>
      <scheme val="minor"/>
    </font>
    <font>
      <b/>
      <sz val="11"/>
      <color rgb="FFFA7D00"/>
      <name val="Calibri"/>
      <family val="2"/>
      <scheme val="minor"/>
    </font>
    <font>
      <b/>
      <sz val="11"/>
      <color rgb="FFFF0000"/>
      <name val="Calibri"/>
      <family val="2"/>
      <scheme val="minor"/>
    </font>
    <font>
      <b/>
      <sz val="11"/>
      <color rgb="FF3F3F3F"/>
      <name val="Calibri"/>
      <family val="2"/>
      <scheme val="minor"/>
    </font>
    <font>
      <sz val="11"/>
      <color rgb="FF3F3F76"/>
      <name val="Calibri"/>
      <family val="2"/>
      <scheme val="minor"/>
    </font>
    <font>
      <sz val="10"/>
      <color theme="1"/>
      <name val="Arial"/>
    </font>
    <font>
      <sz val="11"/>
      <name val="Calibri"/>
      <scheme val="minor"/>
    </font>
    <font>
      <sz val="10"/>
      <color theme="0"/>
      <name val="Arial"/>
    </font>
    <font>
      <sz val="11"/>
      <color theme="0"/>
      <name val="Calibri"/>
      <scheme val="minor"/>
    </font>
    <font>
      <b/>
      <sz val="11"/>
      <name val="Calibri"/>
      <scheme val="minor"/>
    </font>
    <font>
      <sz val="11"/>
      <color rgb="FF000000"/>
      <name val="Calibri"/>
      <family val="2"/>
      <scheme val="minor"/>
    </font>
    <font>
      <b/>
      <sz val="20"/>
      <name val="Calibri"/>
      <family val="2"/>
      <scheme val="minor"/>
    </font>
    <font>
      <b/>
      <sz val="20"/>
      <color rgb="FF008E40"/>
      <name val="Calibri"/>
      <family val="2"/>
      <scheme val="minor"/>
    </font>
    <font>
      <b/>
      <sz val="20"/>
      <color rgb="FFFF0000"/>
      <name val="Calibri"/>
      <family val="2"/>
      <scheme val="minor"/>
    </font>
    <font>
      <b/>
      <sz val="20"/>
      <color rgb="FF3F3F76"/>
      <name val="Calibri"/>
      <family val="2"/>
      <scheme val="minor"/>
    </font>
    <font>
      <b/>
      <sz val="20"/>
      <color rgb="FF00B050"/>
      <name val="Calibri"/>
      <family val="2"/>
      <scheme val="minor"/>
    </font>
    <font>
      <b/>
      <sz val="18"/>
      <name val="Calibri"/>
      <family val="2"/>
      <scheme val="minor"/>
    </font>
    <font>
      <b/>
      <sz val="9"/>
      <color indexed="81"/>
      <name val="Tahoma"/>
      <family val="2"/>
    </font>
    <font>
      <sz val="9"/>
      <color indexed="81"/>
      <name val="Tahoma"/>
      <family val="2"/>
    </font>
    <font>
      <sz val="8"/>
      <name val="Calibri"/>
      <family val="2"/>
      <scheme val="minor"/>
    </font>
    <font>
      <b/>
      <sz val="22"/>
      <color theme="4" tint="-0.249977111117893"/>
      <name val="Calibri"/>
      <family val="2"/>
      <scheme val="minor"/>
    </font>
    <font>
      <b/>
      <sz val="14"/>
      <color theme="4" tint="-0.249977111117893"/>
      <name val="Calibri"/>
      <family val="2"/>
      <scheme val="minor"/>
    </font>
    <font>
      <sz val="8"/>
      <color theme="1"/>
      <name val="Calibri"/>
      <family val="2"/>
      <scheme val="minor"/>
    </font>
    <font>
      <sz val="12"/>
      <color theme="0" tint="-4.9989318521683403E-2"/>
      <name val="Calibri"/>
      <scheme val="minor"/>
    </font>
    <font>
      <sz val="11"/>
      <color theme="0" tint="-4.9989318521683403E-2"/>
      <name val="Calibri"/>
      <scheme val="minor"/>
    </font>
  </fonts>
  <fills count="12">
    <fill>
      <patternFill patternType="none"/>
    </fill>
    <fill>
      <patternFill patternType="gray125"/>
    </fill>
    <fill>
      <patternFill patternType="solid">
        <fgColor rgb="FFC6EFCE"/>
      </patternFill>
    </fill>
    <fill>
      <patternFill patternType="solid">
        <fgColor rgb="FFFFCC99"/>
      </patternFill>
    </fill>
    <fill>
      <patternFill patternType="solid">
        <fgColor rgb="FFF2F2F2"/>
      </patternFill>
    </fill>
    <fill>
      <patternFill patternType="solid">
        <fgColor theme="0"/>
        <bgColor indexed="64"/>
      </patternFill>
    </fill>
    <fill>
      <patternFill patternType="solid">
        <fgColor rgb="FFF2F2F2"/>
        <bgColor rgb="FF000000"/>
      </patternFill>
    </fill>
    <fill>
      <patternFill patternType="solid">
        <fgColor rgb="FFA3FFCD"/>
        <bgColor indexed="64"/>
      </patternFill>
    </fill>
    <fill>
      <patternFill patternType="solid">
        <fgColor rgb="FFD9D9D9"/>
        <bgColor rgb="FF000000"/>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0" tint="-0.14999847407452621"/>
        <bgColor indexed="64"/>
      </patternFill>
    </fill>
  </fills>
  <borders count="42">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style="medium">
        <color auto="1"/>
      </right>
      <top/>
      <bottom/>
      <diagonal/>
    </border>
    <border>
      <left/>
      <right style="thin">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rgb="FF7F7F7F"/>
      </bottom>
      <diagonal/>
    </border>
    <border>
      <left/>
      <right/>
      <top style="medium">
        <color auto="1"/>
      </top>
      <bottom style="medium">
        <color auto="1"/>
      </bottom>
      <diagonal/>
    </border>
    <border>
      <left style="medium">
        <color auto="1"/>
      </left>
      <right style="medium">
        <color auto="1"/>
      </right>
      <top/>
      <bottom style="medium">
        <color auto="1"/>
      </bottom>
      <diagonal/>
    </border>
    <border>
      <left/>
      <right style="thin">
        <color auto="1"/>
      </right>
      <top/>
      <bottom style="medium">
        <color auto="1"/>
      </bottom>
      <diagonal/>
    </border>
    <border>
      <left/>
      <right/>
      <top/>
      <bottom style="medium">
        <color auto="1"/>
      </bottom>
      <diagonal/>
    </border>
    <border>
      <left style="medium">
        <color auto="1"/>
      </left>
      <right/>
      <top/>
      <bottom/>
      <diagonal/>
    </border>
    <border>
      <left style="thin">
        <color rgb="FF7F7F7F"/>
      </left>
      <right/>
      <top style="thin">
        <color rgb="FF7F7F7F"/>
      </top>
      <bottom/>
      <diagonal/>
    </border>
    <border>
      <left/>
      <right style="thin">
        <color rgb="FF7F7F7F"/>
      </right>
      <top style="thin">
        <color rgb="FF7F7F7F"/>
      </top>
      <bottom/>
      <diagonal/>
    </border>
    <border>
      <left style="medium">
        <color auto="1"/>
      </left>
      <right style="thin">
        <color auto="1"/>
      </right>
      <top style="thin">
        <color rgb="FF7F7F7F"/>
      </top>
      <bottom style="medium">
        <color auto="1"/>
      </bottom>
      <diagonal/>
    </border>
    <border>
      <left style="medium">
        <color auto="1"/>
      </left>
      <right style="medium">
        <color auto="1"/>
      </right>
      <top style="thin">
        <color rgb="FF7F7F7F"/>
      </top>
      <bottom style="medium">
        <color auto="1"/>
      </bottom>
      <diagonal/>
    </border>
    <border>
      <left style="medium">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style="medium">
        <color auto="1"/>
      </right>
      <top/>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medium">
        <color auto="1"/>
      </left>
      <right style="thin">
        <color auto="1"/>
      </right>
      <top style="thin">
        <color rgb="FF7F7F7F"/>
      </top>
      <bottom style="thin">
        <color rgb="FF7F7F7F"/>
      </bottom>
      <diagonal/>
    </border>
    <border>
      <left style="medium">
        <color auto="1"/>
      </left>
      <right style="medium">
        <color auto="1"/>
      </right>
      <top style="thin">
        <color rgb="FF7F7F7F"/>
      </top>
      <bottom style="thin">
        <color rgb="FF7F7F7F"/>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rgb="FF7F7F7F"/>
      </left>
      <right/>
      <top/>
      <bottom style="thin">
        <color rgb="FF7F7F7F"/>
      </bottom>
      <diagonal/>
    </border>
    <border>
      <left/>
      <right style="thin">
        <color rgb="FF7F7F7F"/>
      </right>
      <top/>
      <bottom style="thin">
        <color rgb="FF7F7F7F"/>
      </bottom>
      <diagonal/>
    </border>
    <border>
      <left style="medium">
        <color auto="1"/>
      </left>
      <right style="thin">
        <color auto="1"/>
      </right>
      <top style="medium">
        <color auto="1"/>
      </top>
      <bottom style="thin">
        <color rgb="FF7F7F7F"/>
      </bottom>
      <diagonal/>
    </border>
    <border>
      <left style="medium">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style="medium">
        <color auto="1"/>
      </right>
      <top style="medium">
        <color auto="1"/>
      </top>
      <bottom style="medium">
        <color auto="1"/>
      </bottom>
      <diagonal/>
    </border>
    <border>
      <left/>
      <right style="thin">
        <color auto="1"/>
      </right>
      <top/>
      <bottom/>
      <diagonal/>
    </border>
    <border>
      <left/>
      <right style="medium">
        <color auto="1"/>
      </right>
      <top style="medium">
        <color auto="1"/>
      </top>
      <bottom/>
      <diagonal/>
    </border>
    <border>
      <left/>
      <right/>
      <top style="medium">
        <color auto="1"/>
      </top>
      <bottom/>
      <diagonal/>
    </border>
    <border>
      <left/>
      <right style="thin">
        <color auto="1"/>
      </right>
      <top style="medium">
        <color auto="1"/>
      </top>
      <bottom/>
      <diagonal/>
    </border>
    <border>
      <left style="medium">
        <color auto="1"/>
      </left>
      <right/>
      <top style="medium">
        <color auto="1"/>
      </top>
      <bottom/>
      <diagonal/>
    </border>
    <border>
      <left/>
      <right style="thin">
        <color auto="1"/>
      </right>
      <top style="medium">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bottom style="medium">
        <color auto="1"/>
      </bottom>
      <diagonal/>
    </border>
    <border>
      <left/>
      <right style="medium">
        <color auto="1"/>
      </right>
      <top/>
      <bottom style="medium">
        <color auto="1"/>
      </bottom>
      <diagonal/>
    </border>
  </borders>
  <cellStyleXfs count="5">
    <xf numFmtId="0" fontId="0" fillId="0" borderId="0"/>
    <xf numFmtId="0" fontId="1" fillId="2" borderId="0" applyNumberFormat="0" applyBorder="0" applyAlignment="0" applyProtection="0"/>
    <xf numFmtId="0" fontId="6" fillId="3" borderId="1" applyNumberFormat="0" applyAlignment="0" applyProtection="0"/>
    <xf numFmtId="0" fontId="5" fillId="4" borderId="2" applyNumberFormat="0" applyAlignment="0" applyProtection="0"/>
    <xf numFmtId="0" fontId="3" fillId="4" borderId="1" applyNumberFormat="0" applyAlignment="0" applyProtection="0"/>
  </cellStyleXfs>
  <cellXfs count="101">
    <xf numFmtId="0" fontId="0" fillId="0" borderId="0" xfId="0"/>
    <xf numFmtId="0" fontId="2" fillId="5" borderId="0" xfId="0" applyFont="1" applyFill="1" applyBorder="1"/>
    <xf numFmtId="0" fontId="4" fillId="5" borderId="0" xfId="4" applyFont="1" applyFill="1" applyBorder="1"/>
    <xf numFmtId="164" fontId="4" fillId="5" borderId="0" xfId="3" applyNumberFormat="1" applyFont="1" applyFill="1" applyBorder="1"/>
    <xf numFmtId="0" fontId="4" fillId="5" borderId="0" xfId="2" applyFont="1" applyFill="1" applyBorder="1"/>
    <xf numFmtId="0" fontId="7" fillId="0" borderId="0" xfId="0" applyFont="1"/>
    <xf numFmtId="0" fontId="8" fillId="5" borderId="0" xfId="0" applyFont="1" applyFill="1" applyBorder="1"/>
    <xf numFmtId="164" fontId="9" fillId="0" borderId="0" xfId="0" applyNumberFormat="1" applyFont="1"/>
    <xf numFmtId="164" fontId="10" fillId="5" borderId="0" xfId="3" applyNumberFormat="1" applyFont="1" applyFill="1" applyBorder="1"/>
    <xf numFmtId="0" fontId="11" fillId="5" borderId="0" xfId="4" applyFont="1" applyFill="1" applyBorder="1"/>
    <xf numFmtId="0" fontId="12" fillId="0" borderId="0" xfId="0" applyFont="1"/>
    <xf numFmtId="0" fontId="13" fillId="6" borderId="3" xfId="0" applyFont="1" applyFill="1" applyBorder="1"/>
    <xf numFmtId="0" fontId="11" fillId="6" borderId="0" xfId="0" applyFont="1" applyFill="1" applyAlignment="1">
      <alignment vertical="center"/>
    </xf>
    <xf numFmtId="0" fontId="15" fillId="8" borderId="6" xfId="0" applyFont="1" applyFill="1" applyBorder="1" applyAlignment="1">
      <alignment vertical="center"/>
    </xf>
    <xf numFmtId="0" fontId="16" fillId="9" borderId="7" xfId="2" applyFont="1" applyFill="1" applyBorder="1" applyAlignment="1">
      <alignment vertical="center"/>
    </xf>
    <xf numFmtId="0" fontId="17" fillId="8" borderId="8" xfId="0" applyFont="1" applyFill="1" applyBorder="1" applyAlignment="1">
      <alignment vertical="center"/>
    </xf>
    <xf numFmtId="0" fontId="12" fillId="6" borderId="9" xfId="0" applyFont="1" applyFill="1" applyBorder="1"/>
    <xf numFmtId="0" fontId="0" fillId="0" borderId="0" xfId="0" applyBorder="1"/>
    <xf numFmtId="0" fontId="13" fillId="10" borderId="3" xfId="0" applyFont="1" applyFill="1" applyBorder="1"/>
    <xf numFmtId="0" fontId="11" fillId="4" borderId="0" xfId="4" applyFont="1" applyBorder="1"/>
    <xf numFmtId="2" fontId="14" fillId="7" borderId="10" xfId="2" applyNumberFormat="1" applyFont="1" applyFill="1" applyBorder="1" applyAlignment="1">
      <alignment horizontal="right"/>
    </xf>
    <xf numFmtId="2" fontId="14" fillId="7" borderId="11" xfId="2" applyNumberFormat="1" applyFont="1" applyFill="1" applyBorder="1" applyAlignment="1">
      <alignment horizontal="right"/>
    </xf>
    <xf numFmtId="0" fontId="15" fillId="5" borderId="11" xfId="2" applyFont="1" applyFill="1" applyBorder="1"/>
    <xf numFmtId="0" fontId="16" fillId="9" borderId="11" xfId="2" applyFont="1" applyFill="1" applyBorder="1"/>
    <xf numFmtId="0" fontId="13" fillId="11" borderId="11" xfId="0" applyFont="1" applyFill="1" applyBorder="1"/>
    <xf numFmtId="0" fontId="0" fillId="10" borderId="12" xfId="0" applyFill="1" applyBorder="1"/>
    <xf numFmtId="0" fontId="11" fillId="4" borderId="13" xfId="4" applyFont="1" applyBorder="1"/>
    <xf numFmtId="0" fontId="11" fillId="4" borderId="14" xfId="4" applyFont="1" applyBorder="1"/>
    <xf numFmtId="2" fontId="14" fillId="7" borderId="15" xfId="2" applyNumberFormat="1" applyFont="1" applyFill="1" applyBorder="1" applyAlignment="1">
      <alignment horizontal="right"/>
    </xf>
    <xf numFmtId="2" fontId="14" fillId="7" borderId="16" xfId="2" applyNumberFormat="1" applyFont="1" applyFill="1" applyBorder="1" applyAlignment="1">
      <alignment horizontal="right"/>
    </xf>
    <xf numFmtId="0" fontId="15" fillId="5" borderId="17" xfId="2" applyFont="1" applyFill="1" applyBorder="1"/>
    <xf numFmtId="0" fontId="16" fillId="9" borderId="16" xfId="2" applyFont="1" applyFill="1" applyBorder="1"/>
    <xf numFmtId="0" fontId="13" fillId="11" borderId="18" xfId="0" applyFont="1" applyFill="1" applyBorder="1"/>
    <xf numFmtId="0" fontId="0" fillId="10" borderId="19" xfId="0" applyFill="1" applyBorder="1"/>
    <xf numFmtId="0" fontId="11" fillId="4" borderId="20" xfId="4" applyFont="1" applyBorder="1"/>
    <xf numFmtId="0" fontId="11" fillId="4" borderId="21" xfId="4" applyFont="1" applyBorder="1"/>
    <xf numFmtId="2" fontId="14" fillId="7" borderId="22" xfId="2" applyNumberFormat="1" applyFont="1" applyFill="1" applyBorder="1" applyAlignment="1">
      <alignment horizontal="right"/>
    </xf>
    <xf numFmtId="2" fontId="14" fillId="7" borderId="23" xfId="2" applyNumberFormat="1" applyFont="1" applyFill="1" applyBorder="1" applyAlignment="1">
      <alignment horizontal="right"/>
    </xf>
    <xf numFmtId="0" fontId="15" fillId="5" borderId="24" xfId="2" applyFont="1" applyFill="1" applyBorder="1"/>
    <xf numFmtId="0" fontId="16" fillId="9" borderId="23" xfId="2" applyFont="1" applyFill="1" applyBorder="1"/>
    <xf numFmtId="0" fontId="13" fillId="11" borderId="25" xfId="0" applyFont="1" applyFill="1" applyBorder="1"/>
    <xf numFmtId="0" fontId="11" fillId="4" borderId="26" xfId="4" applyFont="1" applyBorder="1"/>
    <xf numFmtId="0" fontId="11" fillId="4" borderId="27" xfId="4" applyFont="1" applyBorder="1"/>
    <xf numFmtId="2" fontId="14" fillId="7" borderId="28" xfId="2" applyNumberFormat="1" applyFont="1" applyFill="1" applyBorder="1" applyAlignment="1">
      <alignment horizontal="right"/>
    </xf>
    <xf numFmtId="2" fontId="14" fillId="7" borderId="7" xfId="2" applyNumberFormat="1" applyFont="1" applyFill="1" applyBorder="1" applyAlignment="1">
      <alignment horizontal="right"/>
    </xf>
    <xf numFmtId="0" fontId="15" fillId="5" borderId="29" xfId="2" applyFont="1" applyFill="1" applyBorder="1"/>
    <xf numFmtId="0" fontId="16" fillId="9" borderId="7" xfId="2" applyFont="1" applyFill="1" applyBorder="1"/>
    <xf numFmtId="0" fontId="13" fillId="11" borderId="30" xfId="0" applyFont="1" applyFill="1" applyBorder="1"/>
    <xf numFmtId="0" fontId="18" fillId="11" borderId="4" xfId="0" applyFont="1" applyFill="1" applyBorder="1" applyAlignment="1">
      <alignment horizontal="center"/>
    </xf>
    <xf numFmtId="0" fontId="18" fillId="11" borderId="31" xfId="0" applyFont="1" applyFill="1" applyBorder="1" applyAlignment="1">
      <alignment horizontal="center"/>
    </xf>
    <xf numFmtId="0" fontId="15" fillId="11" borderId="6" xfId="0" applyFont="1" applyFill="1" applyBorder="1"/>
    <xf numFmtId="0" fontId="16" fillId="9" borderId="31" xfId="2" applyFont="1" applyFill="1" applyBorder="1"/>
    <xf numFmtId="0" fontId="17" fillId="11" borderId="5" xfId="0" applyFont="1" applyFill="1" applyBorder="1"/>
    <xf numFmtId="164" fontId="4" fillId="10" borderId="32" xfId="3" applyNumberFormat="1" applyFont="1" applyFill="1" applyBorder="1"/>
    <xf numFmtId="0" fontId="15" fillId="10" borderId="0" xfId="2" applyFont="1" applyFill="1" applyBorder="1"/>
    <xf numFmtId="0" fontId="15" fillId="10" borderId="0" xfId="0" applyFont="1" applyFill="1" applyBorder="1"/>
    <xf numFmtId="0" fontId="15" fillId="10" borderId="8" xfId="0" applyFont="1" applyFill="1" applyBorder="1"/>
    <xf numFmtId="0" fontId="2" fillId="10" borderId="12" xfId="0" applyFont="1" applyFill="1" applyBorder="1"/>
    <xf numFmtId="0" fontId="15" fillId="5" borderId="31" xfId="2" applyFont="1" applyFill="1" applyBorder="1"/>
    <xf numFmtId="0" fontId="15" fillId="11" borderId="31" xfId="0" applyFont="1" applyFill="1" applyBorder="1"/>
    <xf numFmtId="0" fontId="17" fillId="11" borderId="31" xfId="0" applyFont="1" applyFill="1" applyBorder="1"/>
    <xf numFmtId="0" fontId="2" fillId="10" borderId="19" xfId="0" applyFont="1" applyFill="1" applyBorder="1"/>
    <xf numFmtId="0" fontId="13" fillId="10" borderId="33" xfId="0" applyFont="1" applyFill="1" applyBorder="1"/>
    <xf numFmtId="0" fontId="13" fillId="10" borderId="34" xfId="0" applyFont="1" applyFill="1" applyBorder="1"/>
    <xf numFmtId="0" fontId="13" fillId="10" borderId="34" xfId="0" applyFont="1" applyFill="1" applyBorder="1" applyAlignment="1">
      <alignment horizontal="right"/>
    </xf>
    <xf numFmtId="0" fontId="13" fillId="10" borderId="8" xfId="0" applyFont="1" applyFill="1" applyBorder="1"/>
    <xf numFmtId="0" fontId="2" fillId="10" borderId="36" xfId="0" applyFont="1" applyFill="1" applyBorder="1"/>
    <xf numFmtId="0" fontId="0" fillId="10" borderId="0" xfId="0" applyFill="1"/>
    <xf numFmtId="0" fontId="22" fillId="10" borderId="0" xfId="0" applyFont="1" applyFill="1" applyAlignment="1">
      <alignment vertical="center"/>
    </xf>
    <xf numFmtId="0" fontId="0" fillId="10" borderId="0" xfId="0" applyFill="1" applyAlignment="1">
      <alignment vertical="center"/>
    </xf>
    <xf numFmtId="0" fontId="0" fillId="10" borderId="30" xfId="0" applyFill="1" applyBorder="1"/>
    <xf numFmtId="0" fontId="0" fillId="0" borderId="37" xfId="0" applyFill="1" applyBorder="1"/>
    <xf numFmtId="0" fontId="0" fillId="10" borderId="34" xfId="0" applyFill="1" applyBorder="1"/>
    <xf numFmtId="0" fontId="0" fillId="0" borderId="34" xfId="0" applyFill="1" applyBorder="1"/>
    <xf numFmtId="0" fontId="25" fillId="10" borderId="33" xfId="1" applyFont="1" applyFill="1" applyBorder="1"/>
    <xf numFmtId="1" fontId="26" fillId="10" borderId="0" xfId="0" applyNumberFormat="1" applyFont="1" applyFill="1" applyBorder="1"/>
    <xf numFmtId="0" fontId="1" fillId="2" borderId="0" xfId="1" applyBorder="1"/>
    <xf numFmtId="0" fontId="0" fillId="10" borderId="0" xfId="0" applyFill="1" applyBorder="1"/>
    <xf numFmtId="165" fontId="0" fillId="0" borderId="0" xfId="0" applyNumberFormat="1" applyFill="1" applyBorder="1"/>
    <xf numFmtId="0" fontId="1" fillId="2" borderId="38" xfId="1" applyBorder="1"/>
    <xf numFmtId="164" fontId="1" fillId="2" borderId="39" xfId="1" applyNumberFormat="1" applyBorder="1"/>
    <xf numFmtId="0" fontId="0" fillId="10" borderId="3" xfId="0" applyFill="1" applyBorder="1"/>
    <xf numFmtId="1" fontId="1" fillId="2" borderId="0" xfId="1" applyNumberFormat="1" applyBorder="1" applyAlignment="1"/>
    <xf numFmtId="0" fontId="12" fillId="6" borderId="0" xfId="0" applyFont="1" applyFill="1" applyBorder="1"/>
    <xf numFmtId="1" fontId="0" fillId="0" borderId="0" xfId="0" applyNumberFormat="1" applyFill="1" applyBorder="1"/>
    <xf numFmtId="0" fontId="0" fillId="0" borderId="0" xfId="0" applyFill="1" applyBorder="1"/>
    <xf numFmtId="0" fontId="0" fillId="10" borderId="40" xfId="0" applyFill="1" applyBorder="1"/>
    <xf numFmtId="0" fontId="0" fillId="10" borderId="11" xfId="0" applyFill="1" applyBorder="1"/>
    <xf numFmtId="0" fontId="0" fillId="10" borderId="41" xfId="0" applyFill="1" applyBorder="1"/>
    <xf numFmtId="0" fontId="24" fillId="10" borderId="0" xfId="0" applyFont="1" applyFill="1" applyAlignment="1">
      <alignment vertical="top" wrapText="1"/>
    </xf>
    <xf numFmtId="0" fontId="23" fillId="10" borderId="0" xfId="0" applyFont="1" applyFill="1" applyAlignment="1">
      <alignment horizontal="left" vertical="center"/>
    </xf>
    <xf numFmtId="0" fontId="0" fillId="10" borderId="0" xfId="0" applyFill="1" applyAlignment="1">
      <alignment vertical="center"/>
    </xf>
    <xf numFmtId="0" fontId="0" fillId="10" borderId="0" xfId="0" applyFill="1"/>
    <xf numFmtId="0" fontId="13" fillId="10" borderId="34" xfId="0" applyFont="1" applyFill="1" applyBorder="1" applyAlignment="1">
      <alignment horizontal="right"/>
    </xf>
    <xf numFmtId="0" fontId="13" fillId="10" borderId="35" xfId="0" applyFont="1" applyFill="1" applyBorder="1" applyAlignment="1">
      <alignment horizontal="right"/>
    </xf>
    <xf numFmtId="0" fontId="15" fillId="5" borderId="5" xfId="2" applyFont="1" applyFill="1" applyBorder="1"/>
    <xf numFmtId="0" fontId="15" fillId="5" borderId="4" xfId="2" applyFont="1" applyFill="1" applyBorder="1"/>
    <xf numFmtId="2" fontId="14" fillId="7" borderId="5" xfId="2" applyNumberFormat="1" applyFont="1" applyFill="1" applyBorder="1" applyAlignment="1">
      <alignment horizontal="center" vertical="center"/>
    </xf>
    <xf numFmtId="2" fontId="14" fillId="7" borderId="4" xfId="2" applyNumberFormat="1" applyFont="1" applyFill="1" applyBorder="1" applyAlignment="1">
      <alignment horizontal="center" vertical="center"/>
    </xf>
    <xf numFmtId="2" fontId="13" fillId="7" borderId="8" xfId="2" applyNumberFormat="1" applyFont="1" applyFill="1" applyBorder="1" applyAlignment="1">
      <alignment horizontal="center"/>
    </xf>
    <xf numFmtId="2" fontId="14" fillId="7" borderId="4" xfId="2" applyNumberFormat="1" applyFont="1" applyFill="1" applyBorder="1" applyAlignment="1">
      <alignment horizontal="center"/>
    </xf>
  </cellXfs>
  <cellStyles count="5">
    <cellStyle name="Calculation" xfId="4" builtinId="22"/>
    <cellStyle name="Good" xfId="1" builtinId="26"/>
    <cellStyle name="Input" xfId="2" builtinId="20"/>
    <cellStyle name="Normal" xfId="0" builtinId="0"/>
    <cellStyle name="Output" xfId="3" builtin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315312</xdr:colOff>
      <xdr:row>0</xdr:row>
      <xdr:rowOff>249620</xdr:rowOff>
    </xdr:from>
    <xdr:to>
      <xdr:col>12</xdr:col>
      <xdr:colOff>91966</xdr:colOff>
      <xdr:row>2</xdr:row>
      <xdr:rowOff>132496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7046312" y="249620"/>
          <a:ext cx="1122854" cy="594076"/>
        </a:xfrm>
        <a:prstGeom prst="rect">
          <a:avLst/>
        </a:prstGeom>
      </xdr:spPr>
    </xdr:pic>
    <xdr:clientData/>
  </xdr:twoCellAnchor>
  <xdr:twoCellAnchor editAs="oneCell">
    <xdr:from>
      <xdr:col>1</xdr:col>
      <xdr:colOff>0</xdr:colOff>
      <xdr:row>0</xdr:row>
      <xdr:rowOff>323751</xdr:rowOff>
    </xdr:from>
    <xdr:to>
      <xdr:col>3</xdr:col>
      <xdr:colOff>264072</xdr:colOff>
      <xdr:row>2</xdr:row>
      <xdr:rowOff>58365</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3100" y="323751"/>
          <a:ext cx="1610272" cy="445814"/>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2"/>
  <sheetViews>
    <sheetView showGridLines="0" showRowColHeaders="0" topLeftCell="A13" zoomScale="130" zoomScaleNormal="130" zoomScalePageLayoutView="130" workbookViewId="0">
      <selection activeCell="D24" sqref="D24"/>
    </sheetView>
  </sheetViews>
  <sheetFormatPr defaultColWidth="8.85546875" defaultRowHeight="15"/>
  <sheetData>
    <row r="1" spans="1:23" ht="28.5">
      <c r="A1" s="67"/>
      <c r="B1" s="67"/>
      <c r="C1" s="67"/>
      <c r="D1" s="68"/>
      <c r="E1" s="67"/>
      <c r="F1" s="67"/>
      <c r="G1" s="67"/>
      <c r="H1" s="67"/>
      <c r="I1" s="67"/>
      <c r="J1" s="67"/>
      <c r="K1" s="67"/>
      <c r="L1" s="67"/>
      <c r="M1" s="67"/>
      <c r="N1" s="67"/>
      <c r="O1" s="67"/>
      <c r="P1" s="67"/>
      <c r="Q1" s="67"/>
      <c r="R1" s="67"/>
      <c r="S1" s="67"/>
      <c r="T1" s="67"/>
      <c r="U1" s="67"/>
      <c r="V1" s="67"/>
      <c r="W1" s="67"/>
    </row>
    <row r="2" spans="1:23" ht="28.5">
      <c r="A2" s="67"/>
      <c r="B2" s="67"/>
      <c r="C2" s="67"/>
      <c r="D2" s="69"/>
      <c r="E2" s="68" t="s">
        <v>20</v>
      </c>
      <c r="F2" s="67"/>
      <c r="G2" s="67"/>
      <c r="H2" s="67"/>
      <c r="I2" s="67"/>
      <c r="J2" s="67"/>
      <c r="K2" s="67"/>
      <c r="L2" s="67"/>
      <c r="M2" s="67"/>
      <c r="N2" s="67"/>
      <c r="O2" s="67"/>
      <c r="P2" s="67"/>
      <c r="Q2" s="67"/>
      <c r="R2" s="67"/>
      <c r="S2" s="67"/>
      <c r="T2" s="67"/>
      <c r="U2" s="67"/>
      <c r="V2" s="67"/>
      <c r="W2" s="67"/>
    </row>
    <row r="3" spans="1:23">
      <c r="A3" s="67"/>
      <c r="B3" s="67"/>
      <c r="C3" s="67"/>
      <c r="D3" s="69"/>
      <c r="E3" s="67"/>
      <c r="F3" s="67"/>
      <c r="G3" s="67"/>
      <c r="H3" s="67"/>
      <c r="I3" s="67"/>
      <c r="J3" s="67"/>
      <c r="K3" s="67"/>
      <c r="L3" s="67"/>
      <c r="M3" s="67"/>
      <c r="N3" s="67"/>
      <c r="O3" s="67"/>
      <c r="P3" s="67"/>
      <c r="Q3" s="67"/>
      <c r="R3" s="67"/>
      <c r="S3" s="67"/>
      <c r="T3" s="67"/>
      <c r="U3" s="67"/>
      <c r="V3" s="67"/>
      <c r="W3" s="67"/>
    </row>
    <row r="4" spans="1:23">
      <c r="A4" s="67"/>
      <c r="B4" s="67"/>
      <c r="C4" s="67"/>
      <c r="D4" s="69"/>
      <c r="E4" s="67"/>
      <c r="F4" s="67"/>
      <c r="G4" s="67"/>
      <c r="H4" s="67"/>
      <c r="I4" s="67"/>
      <c r="J4" s="67"/>
      <c r="K4" s="67"/>
      <c r="L4" s="67"/>
      <c r="M4" s="67"/>
      <c r="N4" s="67"/>
      <c r="O4" s="67"/>
      <c r="P4" s="67"/>
      <c r="Q4" s="67"/>
      <c r="R4" s="67"/>
      <c r="S4" s="67"/>
      <c r="T4" s="67"/>
      <c r="U4" s="67"/>
      <c r="V4" s="67"/>
      <c r="W4" s="67"/>
    </row>
    <row r="5" spans="1:23" ht="18.75">
      <c r="A5" s="67"/>
      <c r="B5" s="67"/>
      <c r="C5" s="90" t="s">
        <v>21</v>
      </c>
      <c r="D5" s="90"/>
      <c r="E5" s="90"/>
      <c r="F5" s="90"/>
      <c r="G5" s="90"/>
      <c r="H5" s="90"/>
      <c r="I5" s="90"/>
      <c r="J5" s="90"/>
      <c r="K5" s="90"/>
      <c r="L5" s="90"/>
      <c r="M5" s="90"/>
      <c r="N5" s="90"/>
      <c r="O5" s="67"/>
      <c r="P5" s="67"/>
      <c r="Q5" s="67"/>
      <c r="R5" s="67"/>
      <c r="S5" s="67"/>
      <c r="T5" s="67"/>
      <c r="U5" s="67"/>
      <c r="V5" s="67"/>
      <c r="W5" s="67"/>
    </row>
    <row r="6" spans="1:23">
      <c r="A6" s="67"/>
      <c r="B6" s="67"/>
      <c r="C6" s="69"/>
      <c r="D6" s="67"/>
      <c r="E6" s="67"/>
      <c r="F6" s="67"/>
      <c r="G6" s="67"/>
      <c r="H6" s="67"/>
      <c r="I6" s="67"/>
      <c r="J6" s="67"/>
      <c r="K6" s="67"/>
      <c r="L6" s="67"/>
      <c r="M6" s="67"/>
      <c r="N6" s="67"/>
      <c r="O6" s="67"/>
      <c r="P6" s="67"/>
      <c r="Q6" s="67"/>
      <c r="R6" s="67"/>
      <c r="S6" s="67"/>
      <c r="T6" s="67"/>
      <c r="U6" s="67"/>
      <c r="V6" s="67"/>
      <c r="W6" s="67"/>
    </row>
    <row r="7" spans="1:23" ht="18.75" customHeight="1">
      <c r="A7" s="67"/>
      <c r="B7" s="67"/>
      <c r="C7" s="91" t="s">
        <v>22</v>
      </c>
      <c r="D7" s="91"/>
      <c r="E7" s="91"/>
      <c r="F7" s="91"/>
      <c r="G7" s="91"/>
      <c r="H7" s="91"/>
      <c r="I7" s="91"/>
      <c r="J7" s="91"/>
      <c r="K7" s="91"/>
      <c r="L7" s="91"/>
      <c r="M7" s="91"/>
      <c r="N7" s="91"/>
      <c r="O7" s="91"/>
      <c r="P7" s="91"/>
      <c r="Q7" s="91"/>
      <c r="R7" s="67"/>
      <c r="S7" s="67"/>
      <c r="T7" s="67"/>
      <c r="U7" s="67"/>
      <c r="V7" s="67"/>
      <c r="W7" s="67"/>
    </row>
    <row r="8" spans="1:23">
      <c r="A8" s="67"/>
      <c r="B8" s="67"/>
      <c r="C8" s="69"/>
      <c r="D8" s="69"/>
      <c r="E8" s="67"/>
      <c r="F8" s="67"/>
      <c r="G8" s="67"/>
      <c r="H8" s="67"/>
      <c r="I8" s="67"/>
      <c r="J8" s="67"/>
      <c r="K8" s="67"/>
      <c r="L8" s="67"/>
      <c r="M8" s="67"/>
      <c r="N8" s="67"/>
      <c r="O8" s="67"/>
      <c r="P8" s="67"/>
      <c r="Q8" s="67"/>
      <c r="R8" s="67"/>
      <c r="S8" s="67"/>
      <c r="T8" s="67"/>
      <c r="U8" s="67"/>
      <c r="V8" s="67"/>
      <c r="W8" s="67"/>
    </row>
    <row r="9" spans="1:23">
      <c r="A9" s="67"/>
      <c r="B9" s="67"/>
      <c r="C9" s="91" t="s">
        <v>23</v>
      </c>
      <c r="D9" s="91"/>
      <c r="E9" s="91"/>
      <c r="F9" s="91"/>
      <c r="G9" s="91"/>
      <c r="H9" s="91"/>
      <c r="I9" s="91"/>
      <c r="J9" s="91"/>
      <c r="K9" s="91"/>
      <c r="L9" s="91"/>
      <c r="M9" s="91"/>
      <c r="N9" s="91"/>
      <c r="O9" s="91"/>
      <c r="P9" s="91"/>
      <c r="Q9" s="91"/>
      <c r="R9" s="91"/>
      <c r="S9" s="67"/>
      <c r="T9" s="67"/>
      <c r="U9" s="67"/>
      <c r="V9" s="67"/>
      <c r="W9" s="67"/>
    </row>
    <row r="10" spans="1:23">
      <c r="A10" s="67"/>
      <c r="B10" s="67"/>
      <c r="C10" s="69"/>
      <c r="D10" s="69"/>
      <c r="E10" s="67"/>
      <c r="F10" s="67"/>
      <c r="G10" s="67"/>
      <c r="H10" s="67"/>
      <c r="I10" s="67"/>
      <c r="J10" s="67"/>
      <c r="K10" s="67"/>
      <c r="L10" s="67"/>
      <c r="M10" s="67"/>
      <c r="N10" s="67"/>
      <c r="O10" s="67"/>
      <c r="P10" s="67"/>
      <c r="Q10" s="67"/>
      <c r="R10" s="67"/>
      <c r="S10" s="67"/>
      <c r="T10" s="67"/>
      <c r="U10" s="67"/>
      <c r="V10" s="67"/>
      <c r="W10" s="67"/>
    </row>
    <row r="11" spans="1:23">
      <c r="A11" s="67"/>
      <c r="B11" s="67"/>
      <c r="C11" s="91" t="s">
        <v>24</v>
      </c>
      <c r="D11" s="91"/>
      <c r="E11" s="91"/>
      <c r="F11" s="91"/>
      <c r="G11" s="91"/>
      <c r="H11" s="91"/>
      <c r="I11" s="91"/>
      <c r="J11" s="91"/>
      <c r="K11" s="67"/>
      <c r="L11" s="67"/>
      <c r="M11" s="67"/>
      <c r="N11" s="67"/>
      <c r="O11" s="67"/>
      <c r="P11" s="67"/>
      <c r="Q11" s="67"/>
      <c r="R11" s="67"/>
      <c r="S11" s="67"/>
      <c r="T11" s="67"/>
      <c r="U11" s="67"/>
      <c r="V11" s="67"/>
      <c r="W11" s="67"/>
    </row>
    <row r="12" spans="1:23">
      <c r="A12" s="67"/>
      <c r="B12" s="67"/>
      <c r="C12" s="67"/>
      <c r="D12" s="67"/>
      <c r="E12" s="67"/>
      <c r="F12" s="67"/>
      <c r="G12" s="67"/>
      <c r="H12" s="67"/>
      <c r="I12" s="67"/>
      <c r="J12" s="67"/>
      <c r="K12" s="67"/>
      <c r="L12" s="67"/>
      <c r="M12" s="67"/>
      <c r="N12" s="67"/>
      <c r="O12" s="67"/>
      <c r="P12" s="67"/>
      <c r="Q12" s="67"/>
      <c r="R12" s="67"/>
      <c r="S12" s="67"/>
      <c r="T12" s="67"/>
      <c r="U12" s="67"/>
      <c r="V12" s="67"/>
      <c r="W12" s="67"/>
    </row>
    <row r="13" spans="1:23">
      <c r="A13" s="67"/>
      <c r="B13" s="67"/>
      <c r="C13" s="92" t="s">
        <v>25</v>
      </c>
      <c r="D13" s="92"/>
      <c r="E13" s="92"/>
      <c r="F13" s="92"/>
      <c r="G13" s="92"/>
      <c r="H13" s="92"/>
      <c r="I13" s="92"/>
      <c r="J13" s="92"/>
      <c r="K13" s="67"/>
      <c r="L13" s="67"/>
      <c r="M13" s="67"/>
      <c r="N13" s="67"/>
      <c r="O13" s="67"/>
      <c r="P13" s="67"/>
      <c r="Q13" s="67"/>
      <c r="R13" s="67"/>
      <c r="S13" s="67"/>
      <c r="T13" s="67"/>
      <c r="U13" s="67"/>
      <c r="V13" s="67"/>
      <c r="W13" s="67"/>
    </row>
    <row r="14" spans="1:23">
      <c r="A14" s="67"/>
      <c r="B14" s="67"/>
      <c r="C14" s="67"/>
      <c r="D14" s="67"/>
      <c r="E14" s="67"/>
      <c r="F14" s="67"/>
      <c r="G14" s="67"/>
      <c r="H14" s="67"/>
      <c r="I14" s="67"/>
      <c r="J14" s="67"/>
      <c r="K14" s="67"/>
      <c r="L14" s="67"/>
      <c r="M14" s="67"/>
      <c r="N14" s="67"/>
      <c r="O14" s="67"/>
      <c r="P14" s="67"/>
      <c r="Q14" s="67"/>
      <c r="R14" s="67"/>
      <c r="S14" s="67"/>
      <c r="T14" s="67"/>
      <c r="U14" s="67"/>
      <c r="V14" s="67"/>
      <c r="W14" s="67"/>
    </row>
    <row r="15" spans="1:23">
      <c r="A15" s="67"/>
      <c r="B15" s="67"/>
      <c r="C15" s="67"/>
      <c r="D15" s="67"/>
      <c r="E15" s="67"/>
      <c r="F15" s="67"/>
      <c r="G15" s="67"/>
      <c r="H15" s="67"/>
      <c r="I15" s="67"/>
      <c r="J15" s="67"/>
      <c r="K15" s="67"/>
      <c r="L15" s="67"/>
      <c r="M15" s="67"/>
      <c r="N15" s="67"/>
      <c r="O15" s="67"/>
      <c r="P15" s="67"/>
      <c r="Q15" s="67"/>
      <c r="R15" s="67"/>
      <c r="S15" s="67"/>
      <c r="T15" s="67"/>
      <c r="U15" s="67"/>
      <c r="V15" s="67"/>
      <c r="W15" s="67"/>
    </row>
    <row r="16" spans="1:23">
      <c r="A16" s="67"/>
      <c r="B16" s="67"/>
      <c r="C16" s="67"/>
      <c r="D16" s="67"/>
      <c r="E16" s="67"/>
      <c r="F16" s="67"/>
      <c r="G16" s="67"/>
      <c r="H16" s="67"/>
      <c r="I16" s="67"/>
      <c r="J16" s="67"/>
      <c r="K16" s="67"/>
      <c r="L16" s="67"/>
      <c r="M16" s="67"/>
      <c r="N16" s="67"/>
      <c r="O16" s="67"/>
      <c r="P16" s="67"/>
      <c r="Q16" s="67"/>
      <c r="R16" s="67"/>
      <c r="S16" s="67"/>
      <c r="T16" s="67"/>
      <c r="U16" s="67"/>
      <c r="V16" s="67"/>
      <c r="W16" s="67"/>
    </row>
    <row r="17" spans="1:23" ht="53.25" customHeight="1" thickBot="1">
      <c r="A17" s="67"/>
      <c r="B17" s="89" t="s">
        <v>26</v>
      </c>
      <c r="C17" s="89"/>
      <c r="D17" s="89"/>
      <c r="E17" s="89"/>
      <c r="F17" s="89"/>
      <c r="G17" s="89"/>
      <c r="H17" s="89"/>
      <c r="I17" s="89"/>
      <c r="J17" s="89"/>
      <c r="K17" s="89"/>
      <c r="L17" s="89"/>
      <c r="M17" s="89"/>
      <c r="N17" s="89"/>
      <c r="O17" s="89"/>
      <c r="P17" s="89"/>
      <c r="Q17" s="89"/>
      <c r="R17" s="89"/>
      <c r="S17" s="89"/>
      <c r="T17" s="67"/>
      <c r="U17" s="67"/>
      <c r="V17" s="67"/>
      <c r="W17" s="67"/>
    </row>
    <row r="18" spans="1:23" ht="15.75" customHeight="1">
      <c r="A18" s="67"/>
      <c r="B18" s="70" t="s">
        <v>27</v>
      </c>
      <c r="C18" s="71">
        <v>80</v>
      </c>
      <c r="D18" s="72"/>
      <c r="E18" s="72"/>
      <c r="F18" s="72"/>
      <c r="G18" s="72"/>
      <c r="H18" s="72"/>
      <c r="I18" s="72"/>
      <c r="J18" s="72" t="s">
        <v>28</v>
      </c>
      <c r="K18" s="73">
        <v>13</v>
      </c>
      <c r="L18" s="72" t="s">
        <v>29</v>
      </c>
      <c r="M18" s="73">
        <v>2</v>
      </c>
      <c r="N18" s="72" t="s">
        <v>30</v>
      </c>
      <c r="O18" s="74">
        <f>M18+K18*7</f>
        <v>93</v>
      </c>
      <c r="P18" s="67"/>
      <c r="Q18" s="67"/>
      <c r="R18" s="67"/>
      <c r="S18" s="67"/>
      <c r="T18" s="67"/>
      <c r="U18" s="67"/>
      <c r="V18" s="67"/>
      <c r="W18" s="67"/>
    </row>
    <row r="19" spans="1:23" ht="15.75">
      <c r="A19" s="67"/>
      <c r="B19" s="25" t="s">
        <v>31</v>
      </c>
      <c r="C19" s="75">
        <f>40.9041+(3.21585*POWER(C18,0.5))+(0.348956*C18)</f>
        <v>97.584016821770803</v>
      </c>
      <c r="D19" s="76">
        <f>INT(C19/7)</f>
        <v>13</v>
      </c>
      <c r="E19" s="77" t="s">
        <v>32</v>
      </c>
      <c r="F19" s="77"/>
      <c r="G19" s="77"/>
      <c r="H19" s="77"/>
      <c r="I19" s="77"/>
      <c r="J19" s="77" t="s">
        <v>33</v>
      </c>
      <c r="K19" s="78">
        <f>-50.6562+0.815118*O18+0.00535302*POWER(O18,2)</f>
        <v>71.448043980000008</v>
      </c>
      <c r="L19" s="77" t="s">
        <v>34</v>
      </c>
      <c r="M19" s="79" t="s">
        <v>35</v>
      </c>
      <c r="N19" s="80">
        <f>(K21-K19)/K20</f>
        <v>-2.2248996702439627</v>
      </c>
      <c r="O19" s="81"/>
      <c r="P19" s="67"/>
      <c r="Q19" s="67"/>
      <c r="R19" s="67"/>
      <c r="S19" s="67"/>
      <c r="T19" s="67"/>
      <c r="U19" s="67"/>
      <c r="V19" s="67"/>
      <c r="W19" s="67"/>
    </row>
    <row r="20" spans="1:23" ht="15.75">
      <c r="A20" s="67"/>
      <c r="B20" s="25"/>
      <c r="C20" s="77"/>
      <c r="D20" s="82">
        <f>MOD(C19,7)</f>
        <v>6.5840168217708026</v>
      </c>
      <c r="E20" s="77" t="s">
        <v>36</v>
      </c>
      <c r="F20" s="77"/>
      <c r="G20" s="77"/>
      <c r="H20" s="77"/>
      <c r="I20" s="77"/>
      <c r="J20" s="77" t="s">
        <v>37</v>
      </c>
      <c r="K20" s="78">
        <f>-2.21626+0.0984894*O18</f>
        <v>6.9432542000000002</v>
      </c>
      <c r="L20" s="83"/>
      <c r="M20" s="77" t="s">
        <v>38</v>
      </c>
      <c r="N20" s="84">
        <f>K19-1.645*K20</f>
        <v>60.026390821000007</v>
      </c>
      <c r="O20" s="81"/>
      <c r="P20" s="67"/>
      <c r="Q20" s="67"/>
      <c r="R20" s="67"/>
      <c r="S20" s="67"/>
      <c r="T20" s="67"/>
      <c r="U20" s="67"/>
      <c r="V20" s="67"/>
      <c r="W20" s="67"/>
    </row>
    <row r="21" spans="1:23">
      <c r="A21" s="67"/>
      <c r="B21" s="25" t="s">
        <v>39</v>
      </c>
      <c r="C21" s="77"/>
      <c r="D21" s="77"/>
      <c r="E21" s="77"/>
      <c r="F21" s="77"/>
      <c r="G21" s="77"/>
      <c r="H21" s="77"/>
      <c r="I21" s="77"/>
      <c r="J21" s="77" t="s">
        <v>40</v>
      </c>
      <c r="K21" s="85">
        <v>56</v>
      </c>
      <c r="L21" s="77" t="s">
        <v>34</v>
      </c>
      <c r="M21" s="77" t="s">
        <v>41</v>
      </c>
      <c r="N21" s="84">
        <f>K19+1.645*K20</f>
        <v>82.86969713900001</v>
      </c>
      <c r="O21" s="81"/>
      <c r="P21" s="67"/>
      <c r="Q21" s="67"/>
      <c r="R21" s="67"/>
      <c r="S21" s="67"/>
      <c r="T21" s="67"/>
      <c r="U21" s="67"/>
      <c r="V21" s="67"/>
      <c r="W21" s="67"/>
    </row>
    <row r="22" spans="1:23" ht="15.75" thickBot="1">
      <c r="A22" s="67"/>
      <c r="B22" s="86"/>
      <c r="C22" s="87"/>
      <c r="D22" s="87"/>
      <c r="E22" s="87"/>
      <c r="F22" s="87"/>
      <c r="G22" s="87"/>
      <c r="H22" s="87"/>
      <c r="I22" s="87"/>
      <c r="J22" s="87"/>
      <c r="K22" s="87"/>
      <c r="L22" s="87"/>
      <c r="M22" s="87"/>
      <c r="N22" s="87"/>
      <c r="O22" s="88"/>
      <c r="P22" s="67"/>
      <c r="Q22" s="67"/>
      <c r="R22" s="67"/>
      <c r="S22" s="67"/>
      <c r="T22" s="67"/>
      <c r="U22" s="67"/>
      <c r="V22" s="67"/>
      <c r="W22" s="67"/>
    </row>
    <row r="23" spans="1:23">
      <c r="A23" s="67"/>
      <c r="B23" s="67"/>
      <c r="C23" s="67"/>
      <c r="D23" s="67"/>
      <c r="E23" s="67"/>
      <c r="F23" s="67"/>
      <c r="G23" s="67"/>
      <c r="H23" s="67"/>
      <c r="I23" s="67"/>
      <c r="J23" s="67"/>
      <c r="K23" s="67"/>
      <c r="L23" s="67"/>
      <c r="M23" s="67"/>
      <c r="N23" s="67"/>
      <c r="O23" s="67"/>
      <c r="P23" s="67"/>
      <c r="Q23" s="67"/>
      <c r="R23" s="67"/>
      <c r="S23" s="67"/>
      <c r="T23" s="67"/>
      <c r="U23" s="67"/>
      <c r="V23" s="67"/>
      <c r="W23" s="67"/>
    </row>
    <row r="24" spans="1:23">
      <c r="A24" s="67"/>
      <c r="B24" s="67"/>
      <c r="C24" s="67"/>
      <c r="D24" s="67"/>
      <c r="E24" s="67"/>
      <c r="F24" s="67"/>
      <c r="G24" s="67"/>
      <c r="H24" s="67"/>
      <c r="I24" s="67"/>
      <c r="J24" s="67"/>
      <c r="K24" s="67"/>
      <c r="L24" s="67"/>
      <c r="M24" s="67"/>
      <c r="N24" s="67"/>
      <c r="O24" s="67"/>
      <c r="P24" s="67"/>
      <c r="Q24" s="67"/>
      <c r="R24" s="67"/>
      <c r="S24" s="67"/>
      <c r="T24" s="67"/>
      <c r="U24" s="67"/>
      <c r="V24" s="67"/>
      <c r="W24" s="67"/>
    </row>
    <row r="25" spans="1:23">
      <c r="A25" s="67"/>
      <c r="B25" s="67"/>
      <c r="C25" s="67"/>
      <c r="D25" s="67"/>
      <c r="E25" s="67"/>
      <c r="F25" s="67"/>
      <c r="G25" s="67"/>
      <c r="H25" s="67"/>
      <c r="I25" s="67"/>
      <c r="J25" s="67"/>
      <c r="K25" s="67"/>
      <c r="L25" s="67"/>
      <c r="M25" s="67"/>
      <c r="N25" s="67"/>
      <c r="O25" s="67"/>
      <c r="P25" s="67"/>
      <c r="Q25" s="67"/>
      <c r="R25" s="67"/>
      <c r="S25" s="67"/>
      <c r="T25" s="67"/>
      <c r="U25" s="67"/>
      <c r="V25" s="67"/>
      <c r="W25" s="67"/>
    </row>
    <row r="26" spans="1:23">
      <c r="A26" s="67"/>
      <c r="B26" s="67"/>
      <c r="C26" s="67"/>
      <c r="D26" s="67"/>
      <c r="E26" s="67"/>
      <c r="F26" s="67"/>
      <c r="G26" s="67"/>
      <c r="H26" s="67"/>
      <c r="I26" s="67"/>
      <c r="J26" s="67"/>
      <c r="K26" s="67"/>
      <c r="L26" s="67"/>
      <c r="M26" s="67"/>
      <c r="N26" s="67"/>
      <c r="O26" s="67"/>
      <c r="P26" s="67"/>
      <c r="Q26" s="67"/>
      <c r="R26" s="67"/>
      <c r="S26" s="67"/>
      <c r="T26" s="67"/>
      <c r="U26" s="67"/>
      <c r="V26" s="67"/>
      <c r="W26" s="67"/>
    </row>
    <row r="27" spans="1:23">
      <c r="A27" s="67"/>
      <c r="B27" s="67"/>
      <c r="C27" s="67"/>
      <c r="D27" s="67"/>
      <c r="E27" s="67"/>
      <c r="F27" s="67"/>
      <c r="G27" s="67"/>
      <c r="H27" s="67"/>
      <c r="I27" s="67"/>
      <c r="J27" s="67"/>
      <c r="K27" s="67"/>
      <c r="L27" s="67"/>
      <c r="M27" s="67"/>
      <c r="N27" s="67"/>
      <c r="O27" s="67"/>
      <c r="P27" s="67"/>
      <c r="Q27" s="67"/>
      <c r="R27" s="67"/>
      <c r="S27" s="67"/>
      <c r="T27" s="67"/>
      <c r="U27" s="67"/>
      <c r="V27" s="67"/>
      <c r="W27" s="67"/>
    </row>
    <row r="28" spans="1:23">
      <c r="A28" s="67"/>
      <c r="B28" s="67"/>
      <c r="C28" s="67"/>
      <c r="D28" s="67"/>
      <c r="E28" s="67"/>
      <c r="F28" s="67"/>
      <c r="G28" s="67"/>
      <c r="H28" s="67"/>
      <c r="I28" s="67"/>
      <c r="J28" s="67"/>
      <c r="K28" s="67"/>
      <c r="L28" s="67"/>
      <c r="M28" s="67"/>
      <c r="N28" s="67"/>
      <c r="O28" s="67"/>
      <c r="P28" s="67"/>
      <c r="Q28" s="67"/>
      <c r="R28" s="67"/>
      <c r="S28" s="67"/>
      <c r="T28" s="67"/>
      <c r="U28" s="67"/>
      <c r="V28" s="67"/>
      <c r="W28" s="67"/>
    </row>
    <row r="29" spans="1:23">
      <c r="A29" s="67"/>
      <c r="B29" s="67"/>
      <c r="C29" s="67"/>
      <c r="D29" s="67"/>
      <c r="E29" s="67"/>
      <c r="F29" s="67"/>
      <c r="G29" s="67"/>
      <c r="H29" s="67"/>
      <c r="I29" s="67"/>
      <c r="J29" s="67"/>
      <c r="K29" s="67"/>
      <c r="L29" s="67"/>
      <c r="M29" s="67"/>
      <c r="N29" s="67"/>
      <c r="O29" s="67"/>
      <c r="P29" s="67"/>
      <c r="Q29" s="67"/>
      <c r="R29" s="67"/>
      <c r="S29" s="67"/>
      <c r="T29" s="67"/>
      <c r="U29" s="67"/>
      <c r="V29" s="67"/>
      <c r="W29" s="67"/>
    </row>
    <row r="30" spans="1:23">
      <c r="A30" s="67"/>
      <c r="B30" s="67"/>
      <c r="C30" s="67"/>
      <c r="D30" s="67"/>
      <c r="E30" s="67"/>
      <c r="F30" s="67"/>
      <c r="G30" s="67"/>
      <c r="H30" s="67"/>
      <c r="I30" s="67"/>
      <c r="J30" s="67"/>
      <c r="K30" s="67"/>
      <c r="L30" s="67"/>
      <c r="M30" s="67"/>
      <c r="N30" s="67"/>
      <c r="O30" s="67"/>
      <c r="P30" s="67"/>
      <c r="Q30" s="67"/>
      <c r="R30" s="67"/>
      <c r="S30" s="67"/>
      <c r="T30" s="67"/>
      <c r="U30" s="67"/>
      <c r="V30" s="67"/>
      <c r="W30" s="67"/>
    </row>
    <row r="31" spans="1:23">
      <c r="A31" s="67"/>
      <c r="B31" s="67"/>
      <c r="C31" s="67"/>
      <c r="D31" s="67"/>
      <c r="E31" s="67"/>
      <c r="F31" s="67"/>
      <c r="G31" s="67"/>
      <c r="H31" s="67"/>
      <c r="I31" s="67"/>
      <c r="J31" s="67"/>
      <c r="K31" s="67"/>
      <c r="L31" s="67"/>
      <c r="M31" s="67"/>
      <c r="N31" s="67"/>
      <c r="O31" s="67"/>
      <c r="P31" s="67"/>
      <c r="Q31" s="67"/>
      <c r="R31" s="67"/>
      <c r="S31" s="67"/>
      <c r="T31" s="67"/>
      <c r="U31" s="67"/>
      <c r="V31" s="67"/>
      <c r="W31" s="67"/>
    </row>
    <row r="32" spans="1:23">
      <c r="A32" s="67"/>
      <c r="P32" s="67"/>
      <c r="Q32" s="67"/>
      <c r="R32" s="67"/>
      <c r="S32" s="67"/>
      <c r="T32" s="67"/>
      <c r="U32" s="67"/>
      <c r="V32" s="67"/>
      <c r="W32" s="67"/>
    </row>
  </sheetData>
  <mergeCells count="6">
    <mergeCell ref="B17:S17"/>
    <mergeCell ref="C5:N5"/>
    <mergeCell ref="C7:Q7"/>
    <mergeCell ref="C9:R9"/>
    <mergeCell ref="C11:J11"/>
    <mergeCell ref="C13:J13"/>
  </mergeCell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7"/>
  <sheetViews>
    <sheetView showGridLines="0" tabSelected="1" showWhiteSpace="0" view="pageLayout" workbookViewId="0">
      <selection activeCell="D9" sqref="D9"/>
    </sheetView>
  </sheetViews>
  <sheetFormatPr defaultColWidth="8.85546875" defaultRowHeight="15"/>
  <cols>
    <col min="1" max="1" width="4.42578125" style="1" customWidth="1"/>
    <col min="2" max="2" width="61.140625" style="1" customWidth="1"/>
    <col min="3" max="3" width="41" style="4" hidden="1" customWidth="1"/>
    <col min="4" max="4" width="11.5703125" style="4" customWidth="1"/>
    <col min="5" max="5" width="12.140625" style="3" customWidth="1"/>
    <col min="6" max="6" width="14.85546875" style="3" customWidth="1"/>
    <col min="7" max="7" width="13.42578125" style="2" hidden="1" customWidth="1"/>
    <col min="8" max="8" width="15.42578125" style="2" hidden="1" customWidth="1"/>
    <col min="9" max="9" width="4.42578125" style="1" hidden="1" customWidth="1"/>
    <col min="10" max="11" width="0" style="1" hidden="1" customWidth="1"/>
    <col min="12" max="16384" width="8.85546875" style="1"/>
  </cols>
  <sheetData>
    <row r="1" spans="1:14" ht="24.95" customHeight="1" thickBot="1">
      <c r="A1" s="66"/>
      <c r="B1" s="65"/>
      <c r="C1" s="63"/>
      <c r="D1" s="64" t="s">
        <v>19</v>
      </c>
      <c r="E1" s="93" t="s">
        <v>18</v>
      </c>
      <c r="F1" s="94"/>
      <c r="G1" s="63"/>
      <c r="H1" s="63"/>
      <c r="I1" s="62"/>
    </row>
    <row r="2" spans="1:14" ht="24.95" customHeight="1" thickBot="1">
      <c r="A2" s="61"/>
      <c r="B2" s="60" t="s">
        <v>17</v>
      </c>
      <c r="C2" s="59"/>
      <c r="D2" s="58">
        <v>26</v>
      </c>
      <c r="E2" s="95">
        <v>0</v>
      </c>
      <c r="F2" s="96"/>
      <c r="I2" s="18"/>
    </row>
    <row r="3" spans="1:14" ht="24.95" customHeight="1" thickBot="1">
      <c r="A3" s="57"/>
      <c r="B3" s="56"/>
      <c r="C3" s="55"/>
      <c r="D3" s="54"/>
      <c r="E3" s="54"/>
      <c r="F3" s="53"/>
      <c r="I3" s="18"/>
    </row>
    <row r="4" spans="1:14" s="17" customFormat="1" ht="24.95" customHeight="1" thickBot="1">
      <c r="A4" s="33"/>
      <c r="B4" s="52" t="s">
        <v>16</v>
      </c>
      <c r="C4" s="51" t="s">
        <v>15</v>
      </c>
      <c r="D4" s="50"/>
      <c r="E4" s="49" t="s">
        <v>14</v>
      </c>
      <c r="F4" s="48" t="s">
        <v>13</v>
      </c>
      <c r="G4" s="19" t="s">
        <v>12</v>
      </c>
      <c r="H4" s="19" t="s">
        <v>11</v>
      </c>
      <c r="I4" s="18"/>
    </row>
    <row r="5" spans="1:14" s="17" customFormat="1" ht="24.95" customHeight="1">
      <c r="A5" s="33"/>
      <c r="B5" s="47" t="s">
        <v>10</v>
      </c>
      <c r="C5" s="46">
        <f>D2+E2/7</f>
        <v>26</v>
      </c>
      <c r="D5" s="45">
        <v>232</v>
      </c>
      <c r="E5" s="44">
        <f>IF(D5&gt;1,(D5-G5)/H5,"n/a")</f>
        <v>-0.9861013919734376</v>
      </c>
      <c r="F5" s="43">
        <f>IF(D5&gt;0,_xlfn.NORM.DIST(E5,0,1,TRUE)*100,"n/a")</f>
        <v>16.204168033126649</v>
      </c>
      <c r="G5" s="42">
        <f>-28.2849+1.69267*(C5^2)-(0.397485*(C5^2)*LN(C5))</f>
        <v>240.50993636714281</v>
      </c>
      <c r="H5" s="41">
        <f>1.98735+0.0136772*(C5^3)-(0.00726264*C5^3*LN(C5))+(0.000976253*C5^3*LN(C5)^2)</f>
        <v>8.6298796821615724</v>
      </c>
      <c r="I5" s="18"/>
      <c r="K5" s="17" t="s">
        <v>9</v>
      </c>
    </row>
    <row r="6" spans="1:14" s="17" customFormat="1" ht="24.95" customHeight="1">
      <c r="A6" s="33"/>
      <c r="B6" s="40" t="s">
        <v>8</v>
      </c>
      <c r="C6" s="39">
        <f>C5</f>
        <v>26</v>
      </c>
      <c r="D6" s="38">
        <v>201</v>
      </c>
      <c r="E6" s="37">
        <f>IF(D6&gt;1,(D6-G6)/H6,"n/a")</f>
        <v>-1.1007884553348435</v>
      </c>
      <c r="F6" s="36">
        <f>IF(D6&gt;0,_xlfn.NORM.DIST(E6,0,1,TRUE)*100,"n/a")</f>
        <v>13.549436871815871</v>
      </c>
      <c r="G6" s="35">
        <f>-81.3243+(11.6772*(C6))-0.000561865*(C6)^3</f>
        <v>212.40756076</v>
      </c>
      <c r="H6" s="34">
        <f>-4.36302+0.121445*(C6)^2-0.0130256*(C6)^3+0.00282143*(C6)^3*LN(C6)</f>
        <v>10.363081757184659</v>
      </c>
      <c r="I6" s="18"/>
    </row>
    <row r="7" spans="1:14" s="17" customFormat="1" ht="24.95" customHeight="1">
      <c r="A7" s="33"/>
      <c r="B7" s="40" t="s">
        <v>7</v>
      </c>
      <c r="C7" s="39">
        <f>C5</f>
        <v>26</v>
      </c>
      <c r="D7" s="38">
        <v>47</v>
      </c>
      <c r="E7" s="37">
        <f>IF(D7&gt;1,(D7-G7)/H7,"n/a")</f>
        <v>0.12977838046933102</v>
      </c>
      <c r="F7" s="36">
        <f>IF(D7&gt;0,_xlfn.NORM.DIST(E7,0,1,TRUE)*100,"n/a")</f>
        <v>55.1629115937059</v>
      </c>
      <c r="G7" s="35">
        <f>-39.9616+4.32298*(C7)-0.0380156*(C7)^2</f>
        <v>46.737334399999995</v>
      </c>
      <c r="H7" s="34">
        <f>EXP(0.605843-42.0014*(C7)^-2+0.00000917972*(C7)^3)</f>
        <v>2.0239549842593236</v>
      </c>
      <c r="I7" s="18"/>
    </row>
    <row r="8" spans="1:14" s="17" customFormat="1" ht="24.95" customHeight="1">
      <c r="A8" s="33"/>
      <c r="B8" s="40" t="s">
        <v>6</v>
      </c>
      <c r="C8" s="39">
        <f>C5</f>
        <v>26</v>
      </c>
      <c r="D8" s="38">
        <v>65</v>
      </c>
      <c r="E8" s="37">
        <f>IF(D8&gt;1,(D8-G8)/H8,"n/a")</f>
        <v>-0.92544993358219574</v>
      </c>
      <c r="F8" s="36">
        <f>IF(D8&gt;0,_xlfn.NORM.DIST(E8,0,1,TRUE)*100,"n/a")</f>
        <v>17.736595759727834</v>
      </c>
      <c r="G8" s="35">
        <f>5.608777 + (0.1583693*(C8^2)) + (-0.0025642 *((C8^3)))</f>
        <v>67.598044600000009</v>
      </c>
      <c r="H8" s="34">
        <f>EXP(0.101242+0.00150557*(C8^3)-0.000771535*(C8^3)*LN(C8)+0.0000999638*(C8)^3*LN(C8)^2)</f>
        <v>2.8073313376809033</v>
      </c>
      <c r="I8" s="18"/>
    </row>
    <row r="9" spans="1:14" s="17" customFormat="1" ht="24.95" customHeight="1" thickBot="1">
      <c r="A9" s="33"/>
      <c r="B9" s="32" t="s">
        <v>5</v>
      </c>
      <c r="C9" s="31">
        <f>C5</f>
        <v>26</v>
      </c>
      <c r="D9" s="30"/>
      <c r="E9" s="29" t="str">
        <f>IF(D9&gt;1,(D9-G9)/H9,"n/a")</f>
        <v>n/a</v>
      </c>
      <c r="F9" s="28" t="str">
        <f>IF(D9&gt;0,_xlfn.NORM.DIST(E9,0,1,TRUE)*100,"n/a")</f>
        <v>n/a</v>
      </c>
      <c r="G9" s="27">
        <f>-12.4097 + (0.626342*C9^2) + (-0.148075*(C9^2*LN(C9)))</f>
        <v>84.866264069549004</v>
      </c>
      <c r="H9" s="26">
        <f>(EXP((-0.880034+(0.0631165*C9^2)-(0.0317136*C9^2*LN(C9))+(0.00408302*C9^2*LN(C9)^2))))</f>
        <v>3.4472844677235837</v>
      </c>
      <c r="I9" s="18"/>
    </row>
    <row r="10" spans="1:14" s="17" customFormat="1" ht="24.95" customHeight="1" thickBot="1">
      <c r="A10" s="25"/>
      <c r="B10" s="24"/>
      <c r="C10" s="23"/>
      <c r="D10" s="22"/>
      <c r="E10" s="99" t="s">
        <v>14</v>
      </c>
      <c r="F10" s="100"/>
      <c r="G10" s="19"/>
      <c r="H10" s="19"/>
      <c r="I10" s="18"/>
      <c r="J10" s="17" t="s">
        <v>4</v>
      </c>
      <c r="N10" s="17" t="s">
        <v>43</v>
      </c>
    </row>
    <row r="11" spans="1:14" ht="41.1" customHeight="1" thickBot="1">
      <c r="A11" s="16"/>
      <c r="B11" s="15" t="s">
        <v>3</v>
      </c>
      <c r="C11" s="14">
        <f>C5</f>
        <v>26</v>
      </c>
      <c r="D11" s="13">
        <f>EXP(5.08482-(54.06633*(D6/1000)^3)-(95.80076*(D6/1000)^3*LN(D6/1000))+3.13637*(D5/1000))</f>
        <v>751.1493888626909</v>
      </c>
      <c r="E11" s="97">
        <f>IF(J13=0,E14,E15)</f>
        <v>-1.358583338295231</v>
      </c>
      <c r="F11" s="98"/>
      <c r="G11" s="5"/>
      <c r="H11" s="12"/>
      <c r="I11" s="11"/>
      <c r="J11" s="10">
        <f>LN(D11)</f>
        <v>6.6216045519058797</v>
      </c>
      <c r="K11" s="10"/>
    </row>
    <row r="12" spans="1:14">
      <c r="G12" s="9"/>
      <c r="J12" s="6" t="s">
        <v>2</v>
      </c>
    </row>
    <row r="13" spans="1:14">
      <c r="J13" s="5">
        <f>-4.257629-(2162.234/C5^2)+0.0002301829*C5^3</f>
        <v>-3.4105053555171594</v>
      </c>
    </row>
    <row r="14" spans="1:14">
      <c r="E14" s="8">
        <f>1/J17*LN(J11/J15)</f>
        <v>-1.3136919793235522</v>
      </c>
      <c r="J14" s="5" t="s">
        <v>1</v>
      </c>
    </row>
    <row r="15" spans="1:14">
      <c r="E15" s="7">
        <f>(J17*J13)^-1*((J11/J15)^J13-1)</f>
        <v>-1.358583338295231</v>
      </c>
      <c r="J15" s="6">
        <f>4.956737+0.0005019687*C5^3-0.0001227065*C5^3*LN(C5)</f>
        <v>6.7526364601161255</v>
      </c>
    </row>
    <row r="16" spans="1:14">
      <c r="J16" s="5" t="s">
        <v>0</v>
      </c>
    </row>
    <row r="17" spans="10:10">
      <c r="J17" s="5">
        <f>0.0001*(-6.997171+0.057559*C5^3-0.01493946*C5^3*LN(C5))</f>
        <v>1.4916202272571856E-2</v>
      </c>
    </row>
  </sheetData>
  <mergeCells count="4">
    <mergeCell ref="E1:F1"/>
    <mergeCell ref="E2:F2"/>
    <mergeCell ref="E11:F11"/>
    <mergeCell ref="E10:F10"/>
  </mergeCells>
  <phoneticPr fontId="21" type="noConversion"/>
  <pageMargins left="0.70000000000000007" right="0.70000000000000007" top="0.75000000000000011" bottom="0.75000000000000011" header="0.30000000000000004" footer="0.30000000000000004"/>
  <pageSetup paperSize="9" scale="69" orientation="landscape" r:id="rId1"/>
  <colBreaks count="1" manualBreakCount="1">
    <brk id="10" max="1048575" man="1"/>
  </colBreaks>
  <legacyDrawing r:id="rId2"/>
  <extLst>
    <ext xmlns:mx="http://schemas.microsoft.com/office/mac/excel/2008/main" uri="{64002731-A6B0-56B0-2670-7721B7C09600}">
      <mx:PLV Mode="1"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7"/>
  <sheetViews>
    <sheetView showGridLines="0" showWhiteSpace="0" view="pageLayout" workbookViewId="0">
      <selection activeCell="D11" sqref="D11"/>
    </sheetView>
  </sheetViews>
  <sheetFormatPr defaultColWidth="8.85546875" defaultRowHeight="15"/>
  <cols>
    <col min="1" max="1" width="4.42578125" style="1" customWidth="1"/>
    <col min="2" max="2" width="60.85546875" style="1" customWidth="1"/>
    <col min="3" max="3" width="41" style="4" hidden="1" customWidth="1"/>
    <col min="4" max="4" width="11.5703125" style="4" customWidth="1"/>
    <col min="5" max="5" width="12.140625" style="3" customWidth="1"/>
    <col min="6" max="6" width="14.85546875" style="3" customWidth="1"/>
    <col min="7" max="7" width="13.42578125" style="2" hidden="1" customWidth="1"/>
    <col min="8" max="8" width="15.42578125" style="2" hidden="1" customWidth="1"/>
    <col min="9" max="9" width="4.42578125" style="1" hidden="1" customWidth="1"/>
    <col min="10" max="11" width="0" style="1" hidden="1" customWidth="1"/>
    <col min="12" max="16384" width="8.85546875" style="1"/>
  </cols>
  <sheetData>
    <row r="1" spans="1:11" ht="24.95" customHeight="1" thickBot="1">
      <c r="A1" s="66"/>
      <c r="B1" s="65"/>
      <c r="C1" s="63"/>
      <c r="D1" s="64" t="s">
        <v>19</v>
      </c>
      <c r="E1" s="93" t="s">
        <v>18</v>
      </c>
      <c r="F1" s="94"/>
      <c r="G1" s="63"/>
      <c r="H1" s="63"/>
      <c r="I1" s="62"/>
    </row>
    <row r="2" spans="1:11" ht="24.95" customHeight="1" thickBot="1">
      <c r="A2" s="61"/>
      <c r="B2" s="60" t="s">
        <v>17</v>
      </c>
      <c r="C2" s="59"/>
      <c r="D2" s="58">
        <v>38</v>
      </c>
      <c r="E2" s="95">
        <v>5</v>
      </c>
      <c r="F2" s="96"/>
      <c r="I2" s="18"/>
    </row>
    <row r="3" spans="1:11" ht="24.95" customHeight="1" thickBot="1">
      <c r="A3" s="57"/>
      <c r="B3" s="56"/>
      <c r="C3" s="55"/>
      <c r="D3" s="54"/>
      <c r="E3" s="54"/>
      <c r="F3" s="53"/>
      <c r="I3" s="18"/>
    </row>
    <row r="4" spans="1:11" s="17" customFormat="1" ht="24.95" customHeight="1" thickBot="1">
      <c r="A4" s="33"/>
      <c r="B4" s="52" t="s">
        <v>16</v>
      </c>
      <c r="C4" s="51" t="s">
        <v>15</v>
      </c>
      <c r="D4" s="50"/>
      <c r="E4" s="49" t="s">
        <v>14</v>
      </c>
      <c r="F4" s="48" t="s">
        <v>13</v>
      </c>
      <c r="G4" s="19" t="s">
        <v>12</v>
      </c>
      <c r="H4" s="19" t="s">
        <v>11</v>
      </c>
      <c r="I4" s="18"/>
    </row>
    <row r="5" spans="1:11" s="17" customFormat="1" ht="24.95" customHeight="1">
      <c r="A5" s="33"/>
      <c r="B5" s="47" t="s">
        <v>10</v>
      </c>
      <c r="C5" s="46">
        <f>D2+E2/7</f>
        <v>38.714285714285715</v>
      </c>
      <c r="D5" s="45">
        <v>325</v>
      </c>
      <c r="E5" s="44">
        <f>IF(D5&gt;1,(D5-G5)/H5,"n/a")</f>
        <v>-0.4553808795637036</v>
      </c>
      <c r="F5" s="43">
        <f>IF(D5&gt;0,_xlfn.NORM.DIST(E5,0,1,TRUE)*100,"n/a")</f>
        <v>32.441762426939434</v>
      </c>
      <c r="G5" s="42">
        <f>-28.2849+1.69267*(C5^2)-(0.397485*(C5^2)*LN(C5))</f>
        <v>330.49970877556552</v>
      </c>
      <c r="H5" s="41">
        <f>1.98735+0.0136772*(C5^3)-(0.00726264*C5^3*LN(C5))+(0.000976253*C5^3*LN(C5)^2)</f>
        <v>12.077162266528944</v>
      </c>
      <c r="I5" s="18"/>
      <c r="K5" s="17" t="s">
        <v>9</v>
      </c>
    </row>
    <row r="6" spans="1:11" s="17" customFormat="1" ht="24.95" customHeight="1">
      <c r="A6" s="33"/>
      <c r="B6" s="40" t="s">
        <v>8</v>
      </c>
      <c r="C6" s="39">
        <f>C5</f>
        <v>38.714285714285715</v>
      </c>
      <c r="D6" s="38">
        <v>354</v>
      </c>
      <c r="E6" s="37">
        <f>IF(D6&gt;1,(D6-G6)/H6,"n/a")</f>
        <v>0.77633561016930608</v>
      </c>
      <c r="F6" s="36">
        <f>IF(D6&gt;0,_xlfn.NORM.DIST(E6,0,1,TRUE)*100,"n/a")</f>
        <v>78.122457378172228</v>
      </c>
      <c r="G6" s="35">
        <f>-81.3243+(11.6772*(C6))-0.000561865*(C6)^3</f>
        <v>338.14804535564139</v>
      </c>
      <c r="H6" s="34">
        <f>-4.36302+0.121445*(C6)^2-0.0130256*(C6)^3+0.00282143*(C6)^3*LN(C6)</f>
        <v>20.418945668229185</v>
      </c>
      <c r="I6" s="18"/>
    </row>
    <row r="7" spans="1:11" s="17" customFormat="1" ht="24.95" customHeight="1">
      <c r="A7" s="33"/>
      <c r="B7" s="40" t="s">
        <v>7</v>
      </c>
      <c r="C7" s="39">
        <f>C5</f>
        <v>38.714285714285715</v>
      </c>
      <c r="D7" s="38">
        <v>70</v>
      </c>
      <c r="E7" s="37">
        <f>IF(D7&gt;1,(D7-G7)/H7,"n/a")</f>
        <v>-0.13896118821470263</v>
      </c>
      <c r="F7" s="36">
        <f>IF(D7&gt;0,_xlfn.NORM.DIST(E7,0,1,TRUE)*100,"n/a")</f>
        <v>44.474040936775474</v>
      </c>
      <c r="G7" s="35">
        <f>-39.9616+4.32298*(C7)-0.0380156*(C7)^2</f>
        <v>70.421856742857145</v>
      </c>
      <c r="H7" s="34">
        <f>EXP(0.605843-42.0014*(C7)^-2+0.00000917972*(C7)^3)</f>
        <v>3.0357882533744096</v>
      </c>
      <c r="I7" s="18"/>
    </row>
    <row r="8" spans="1:11" s="17" customFormat="1" ht="24.95" customHeight="1">
      <c r="A8" s="33"/>
      <c r="B8" s="40" t="s">
        <v>6</v>
      </c>
      <c r="C8" s="39">
        <f>C5</f>
        <v>38.714285714285715</v>
      </c>
      <c r="D8" s="38"/>
      <c r="E8" s="37" t="str">
        <f>IF(D8&gt;1,(D8-G8)/H8,"n/a")</f>
        <v>n/a</v>
      </c>
      <c r="F8" s="36" t="str">
        <f>IF(D8&gt;0,_xlfn.NORM.DIST(E8,0,1,TRUE)*100,"n/a")</f>
        <v>n/a</v>
      </c>
      <c r="G8" s="35">
        <f>5.608777 + (0.1583693*(C8^2)) + (-0.0025642 *((C8^3)))</f>
        <v>94.184810886005806</v>
      </c>
      <c r="H8" s="34">
        <f>EXP(0.101242+0.00150557*(C8^3)-0.000771535*(C8^3)*LN(C8)+0.0000999638*(C8)^3*LN(C8)^2)</f>
        <v>3.738044467207605</v>
      </c>
      <c r="I8" s="18"/>
    </row>
    <row r="9" spans="1:11" s="17" customFormat="1" ht="24.95" customHeight="1" thickBot="1">
      <c r="A9" s="33"/>
      <c r="B9" s="32" t="s">
        <v>5</v>
      </c>
      <c r="C9" s="31">
        <f>C5</f>
        <v>38.714285714285715</v>
      </c>
      <c r="D9" s="30"/>
      <c r="E9" s="29" t="str">
        <f>IF(D9&gt;1,(D9-G9)/H9,"n/a")</f>
        <v>n/a</v>
      </c>
      <c r="F9" s="28" t="str">
        <f>IF(D9&gt;0,_xlfn.NORM.DIST(E9,0,1,TRUE)*100,"n/a")</f>
        <v>n/a</v>
      </c>
      <c r="G9" s="27">
        <f>-12.4097 + (0.626342*C9^2) + (-0.148075*(C9^2*LN(C9)))</f>
        <v>114.91136596809406</v>
      </c>
      <c r="H9" s="26">
        <f>(EXP((-0.880034+(0.0631165*C9^2)-(0.0317136*C9^2*LN(C9))+(0.00408302*C9^2*LN(C9)^2))))</f>
        <v>5.6812732359544897</v>
      </c>
      <c r="I9" s="18"/>
    </row>
    <row r="10" spans="1:11" s="17" customFormat="1" ht="24.95" customHeight="1" thickBot="1">
      <c r="A10" s="25"/>
      <c r="B10" s="24"/>
      <c r="C10" s="23"/>
      <c r="D10" s="22"/>
      <c r="E10" s="21"/>
      <c r="F10" s="20"/>
      <c r="G10" s="19"/>
      <c r="H10" s="19"/>
      <c r="I10" s="18"/>
      <c r="J10" s="17" t="s">
        <v>4</v>
      </c>
    </row>
    <row r="11" spans="1:11" ht="41.1" customHeight="1" thickBot="1">
      <c r="A11" s="16"/>
      <c r="B11" s="15" t="s">
        <v>42</v>
      </c>
      <c r="C11" s="14">
        <f>C5</f>
        <v>38.714285714285715</v>
      </c>
      <c r="D11" s="13">
        <f>EXP(5.08482-(54.06633*(D6/1000)^3)-(95.80076*(D6/1000)^3*LN(D6/1000))+3.13637*(D5/1000))</f>
        <v>3357.6667020206414</v>
      </c>
      <c r="E11" s="97">
        <f>IF(J13=0,E14,E15)</f>
        <v>0.53082069007193877</v>
      </c>
      <c r="F11" s="98"/>
      <c r="G11" s="5"/>
      <c r="H11" s="12"/>
      <c r="I11" s="11"/>
      <c r="J11" s="10">
        <f>LN(D11)</f>
        <v>8.1190015778038997</v>
      </c>
      <c r="K11" s="10"/>
    </row>
    <row r="12" spans="1:11">
      <c r="G12" s="9"/>
      <c r="J12" s="6" t="s">
        <v>2</v>
      </c>
    </row>
    <row r="13" spans="1:11">
      <c r="J13" s="5">
        <f>-4.257629-(2162.234/C5^2)+0.0002301829*C5^3</f>
        <v>7.6560434461151221</v>
      </c>
    </row>
    <row r="14" spans="1:11">
      <c r="E14" s="8">
        <f>1/J17*LN(J11/J15)</f>
        <v>0.51393592944120692</v>
      </c>
      <c r="J14" s="5" t="s">
        <v>1</v>
      </c>
    </row>
    <row r="15" spans="1:11">
      <c r="E15" s="7">
        <f>(J17*J13)^-1*((J11/J15)^J13-1)</f>
        <v>0.53082069007193877</v>
      </c>
      <c r="J15" s="6">
        <f>4.956737+0.0005019687*C5^3-0.0001227065*C5^3*LN(C5)</f>
        <v>8.0510918282521935</v>
      </c>
    </row>
    <row r="16" spans="1:11">
      <c r="J16" s="5" t="s">
        <v>0</v>
      </c>
    </row>
    <row r="17" spans="10:10">
      <c r="J17" s="5">
        <f>0.0001*(-6.997171+0.057559*C5^3-0.01493946*C5^3*LN(C5))</f>
        <v>1.6343428551411035E-2</v>
      </c>
    </row>
  </sheetData>
  <mergeCells count="3">
    <mergeCell ref="E1:F1"/>
    <mergeCell ref="E2:F2"/>
    <mergeCell ref="E11:F11"/>
  </mergeCells>
  <phoneticPr fontId="21" type="noConversion"/>
  <pageMargins left="0.70000000000000007" right="0.70000000000000007" top="0.75000000000000011" bottom="0.75000000000000011" header="0.30000000000000004" footer="0.30000000000000004"/>
  <pageSetup paperSize="9" scale="69" orientation="landscape" r:id="rId1"/>
  <colBreaks count="1" manualBreakCount="1">
    <brk id="10" max="1048575" man="1"/>
  </colBreaks>
  <legacyDrawing r:id="rId2"/>
  <extLst>
    <ext xmlns:mx="http://schemas.microsoft.com/office/mac/excel/2008/main" uri="{64002731-A6B0-56B0-2670-7721B7C09600}">
      <mx:PLV Mode="1"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I21</vt:lpstr>
      <vt:lpstr>Hadlock formula HC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 Thang</dc:creator>
  <cp:lastModifiedBy>PK San 2</cp:lastModifiedBy>
  <cp:lastPrinted>2017-10-25T02:56:30Z</cp:lastPrinted>
  <dcterms:created xsi:type="dcterms:W3CDTF">2017-03-01T12:29:46Z</dcterms:created>
  <dcterms:modified xsi:type="dcterms:W3CDTF">2018-12-08T12:42:13Z</dcterms:modified>
</cp:coreProperties>
</file>